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drawings/drawing1.xml" ContentType="application/vnd.openxmlformats-officedocument.drawing+xml"/>
  <Override PartName="/xl/comments14.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ento_zošit"/>
  <bookViews>
    <workbookView xWindow="0" yWindow="0" windowWidth="38400" windowHeight="17265" tabRatio="737"/>
  </bookViews>
  <sheets>
    <sheet name="Úvod" sheetId="5" r:id="rId1"/>
    <sheet name="Zoznam_Harkov" sheetId="40" r:id="rId2"/>
    <sheet name="Sumarizácia" sheetId="20" r:id="rId3"/>
    <sheet name="Zdroje Financovania" sheetId="39" r:id="rId4"/>
    <sheet name="CBA - Agendové IS" sheetId="2" r:id="rId5"/>
    <sheet name="Výdavky - Agendové IS" sheetId="6" r:id="rId6"/>
    <sheet name="Prínosy - Agendové IS" sheetId="4" r:id="rId7"/>
    <sheet name="Parametre - Agendové IS" sheetId="3" r:id="rId8"/>
    <sheet name="MODULY_CBA" sheetId="32" r:id="rId9"/>
    <sheet name="Parametre_ECF_TCF" sheetId="43" state="hidden" r:id="rId10"/>
    <sheet name="INKREMENTY" sheetId="36" r:id="rId11"/>
    <sheet name="KATALOG_POZIADAVKY" sheetId="30" r:id="rId12"/>
    <sheet name="TCF_v02" sheetId="33" r:id="rId13"/>
    <sheet name="ECF_v02" sheetId="34" r:id="rId14"/>
    <sheet name="UAW_v02" sheetId="35" r:id="rId15"/>
    <sheet name="Rozpocet - Vyvoj aplikacii" sheetId="26" r:id="rId16"/>
    <sheet name="AKTIVITY_POZICIE" sheetId="29" r:id="rId17"/>
    <sheet name="POZICIE_INTERNE" sheetId="37" r:id="rId18"/>
    <sheet name="ISCO_Prevodnik" sheetId="44" state="hidden" r:id="rId19"/>
    <sheet name="Rozpočet - HW a licencie" sheetId="27" r:id="rId20"/>
    <sheet name="Harmonogram" sheetId="28" r:id="rId21"/>
    <sheet name="TCO" sheetId="11" r:id="rId22"/>
    <sheet name="TCO AS IS - SW" sheetId="17" r:id="rId23"/>
    <sheet name="TCO AS IS - HW" sheetId="18" r:id="rId24"/>
    <sheet name="TCO TO BE- SW" sheetId="9" r:id="rId25"/>
    <sheet name="TCO TO BE - HW" sheetId="10" r:id="rId26"/>
    <sheet name="Faktory" sheetId="1" r:id="rId27"/>
    <sheet name="Ciselnik" sheetId="38" state="hidden" r:id="rId28"/>
    <sheet name="Procesné mapy" sheetId="22" r:id="rId29"/>
    <sheet name="Procesy - AS IS" sheetId="23" r:id="rId30"/>
    <sheet name="Procesy - TO BE" sheetId="24" r:id="rId31"/>
    <sheet name="Analyza citlivosti - AgendovéIS" sheetId="7" r:id="rId32"/>
    <sheet name="Rozdelenie prínosov" sheetId="14" state="hidden" r:id="rId33"/>
  </sheets>
  <externalReferences>
    <externalReference r:id="rId34"/>
    <externalReference r:id="rId35"/>
  </externalReferences>
  <definedNames>
    <definedName name="_xlnm._FilterDatabase" localSheetId="11" hidden="1">KATALOG_POZIADAVKY!$A$2:$AE$616</definedName>
    <definedName name="_xlnm._FilterDatabase" localSheetId="15" hidden="1">'Rozpocet - Vyvoj aplikacii'!$A$2:$L$65</definedName>
    <definedName name="_xlnm._FilterDatabase" localSheetId="19" hidden="1">'Rozpočet - HW a licencie'!$A$2:$J$44</definedName>
    <definedName name="_ftn1" localSheetId="25">'TCO TO BE - HW'!$AB$81</definedName>
    <definedName name="_ftnref1" localSheetId="25">'TCO TO BE - HW'!$AB$76</definedName>
    <definedName name="Bezpecnost">ISCO_Prevodnik!$J$2:$J$3</definedName>
    <definedName name="Databazy">ISCO_Prevodnik!$H$2:$H$3</definedName>
    <definedName name="Faza" localSheetId="17">POZICIE_INTERNE!$A$4:$A$7</definedName>
    <definedName name="Faza">AKTIVITY_POZICIE!$A$4:$A$7</definedName>
    <definedName name="Ine">ISCO_Prevodnik!$L$2:$L$8</definedName>
    <definedName name="Infrastrutkura">ISCO_Prevodnik!$G$2</definedName>
    <definedName name="Inkrement">INKREMENTY!$A$2:$A$21</definedName>
    <definedName name="IT_analytik">ISCO_Prevodnik!$C$2</definedName>
    <definedName name="IT_architekt">ISCO_Prevodnik!$D$2:$D$3</definedName>
    <definedName name="IT_konzultant">ISCO_Prevodnik!$I$2</definedName>
    <definedName name="IT_programator">ISCO_Prevodnik!$B$2:$B$3</definedName>
    <definedName name="IT_tester">ISCO_Prevodnik!$F$2</definedName>
    <definedName name="Kvalita">ISCO_Prevodnik!$E$2</definedName>
    <definedName name="MODULY">MODULY_CBA!$B$3:$B$23</definedName>
    <definedName name="Moduly_2">MODULY_CBA!$B$3:$B$21</definedName>
    <definedName name="PF">[1]CISELNIK!$A$2:$A$6</definedName>
    <definedName name="Poziadavky">[1]CISELNIK!$B$2:$B$4</definedName>
    <definedName name="Pozicia" localSheetId="17">POZICIE_INTERNE!$M$4:$M$27</definedName>
    <definedName name="Pozicia">AKTIVITY_POZICIE!$Q$4:$Q$15</definedName>
    <definedName name="PozicieKomplet">AKTIVITY_POZICIE!$Q$4:$Q$27</definedName>
    <definedName name="Projektovy_manazer">ISCO_Prevodnik!$A$2</definedName>
    <definedName name="Projektový_manažér">ISCO_Prevodnik!$A$2</definedName>
    <definedName name="Subjekt">Ciselnik!$A$2:$A$9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90" i="30" l="1"/>
  <c r="L90" i="30"/>
  <c r="M90" i="30"/>
  <c r="N90" i="30"/>
  <c r="Q90" i="30"/>
  <c r="K91" i="30"/>
  <c r="L91" i="30"/>
  <c r="O91" i="30" s="1"/>
  <c r="P91" i="30" s="1"/>
  <c r="M91" i="30"/>
  <c r="N91" i="30"/>
  <c r="Q91" i="30"/>
  <c r="K371" i="30"/>
  <c r="L371" i="30"/>
  <c r="O371" i="30" s="1"/>
  <c r="P371" i="30" s="1"/>
  <c r="M371" i="30"/>
  <c r="N371" i="30"/>
  <c r="Q371" i="30"/>
  <c r="K380" i="30"/>
  <c r="L380" i="30"/>
  <c r="O380" i="30" s="1"/>
  <c r="P380" i="30" s="1"/>
  <c r="M380" i="30"/>
  <c r="N380" i="30"/>
  <c r="Q380" i="30"/>
  <c r="K381" i="30"/>
  <c r="L381" i="30"/>
  <c r="O381" i="30" s="1"/>
  <c r="P381" i="30" s="1"/>
  <c r="M381" i="30"/>
  <c r="N381" i="30"/>
  <c r="Q381" i="30"/>
  <c r="K382" i="30"/>
  <c r="L382" i="30"/>
  <c r="M382" i="30"/>
  <c r="N382" i="30"/>
  <c r="Q382" i="30"/>
  <c r="O90" i="30" l="1"/>
  <c r="P90" i="30" s="1"/>
  <c r="O382" i="30"/>
  <c r="P382" i="30" s="1"/>
  <c r="W7" i="3"/>
  <c r="W8" i="3" s="1"/>
  <c r="W9" i="3" s="1"/>
  <c r="W10" i="3" s="1"/>
  <c r="W11" i="3" s="1"/>
  <c r="W12" i="3" s="1"/>
  <c r="W13" i="3" s="1"/>
  <c r="W14" i="3" s="1"/>
  <c r="AO7" i="3"/>
  <c r="AO8" i="3"/>
  <c r="AO9" i="3"/>
  <c r="AO10" i="3" s="1"/>
  <c r="AO11" i="3" s="1"/>
  <c r="AO12" i="3" s="1"/>
  <c r="AO13" i="3" s="1"/>
  <c r="AO14" i="3" s="1"/>
  <c r="G3" i="36" l="1"/>
  <c r="E56" i="3" l="1"/>
  <c r="E57" i="3"/>
  <c r="E58" i="3"/>
  <c r="E59" i="3"/>
  <c r="E60" i="3"/>
  <c r="E61" i="3"/>
  <c r="E62" i="3"/>
  <c r="E63" i="3"/>
  <c r="AI8" i="3" l="1"/>
  <c r="AI9" i="3" s="1"/>
  <c r="AI10" i="3" s="1"/>
  <c r="AI11" i="3" s="1"/>
  <c r="AI12" i="3" s="1"/>
  <c r="AI13" i="3" s="1"/>
  <c r="AI14" i="3" s="1"/>
  <c r="AI7" i="3"/>
  <c r="AF8" i="3"/>
  <c r="AF9" i="3" s="1"/>
  <c r="AF10" i="3" s="1"/>
  <c r="AF11" i="3" s="1"/>
  <c r="AF12" i="3" s="1"/>
  <c r="AF13" i="3" s="1"/>
  <c r="AF14" i="3" s="1"/>
  <c r="AF7" i="3"/>
  <c r="F2" i="36"/>
  <c r="I4" i="27" l="1"/>
  <c r="I5" i="27"/>
  <c r="I6" i="27"/>
  <c r="I7" i="27"/>
  <c r="I8" i="27"/>
  <c r="I9" i="27"/>
  <c r="I10" i="27"/>
  <c r="I11" i="27"/>
  <c r="I3" i="27"/>
  <c r="AD35" i="3"/>
  <c r="AD36" i="3"/>
  <c r="AD37" i="3"/>
  <c r="AD38" i="3"/>
  <c r="AD39" i="3"/>
  <c r="AD40" i="3"/>
  <c r="AD41" i="3"/>
  <c r="AD42" i="3"/>
  <c r="AD43" i="3"/>
  <c r="AD44" i="3"/>
  <c r="I21" i="32"/>
  <c r="H21" i="32"/>
  <c r="D21" i="32"/>
  <c r="C21" i="32"/>
  <c r="I20" i="32"/>
  <c r="H20" i="32"/>
  <c r="D20" i="32"/>
  <c r="C20" i="32"/>
  <c r="I19" i="32"/>
  <c r="H19" i="32"/>
  <c r="D19" i="32"/>
  <c r="C19" i="32"/>
  <c r="I18" i="32"/>
  <c r="H18" i="32"/>
  <c r="D18" i="32"/>
  <c r="C18" i="32"/>
  <c r="I17" i="32"/>
  <c r="H17" i="32"/>
  <c r="D17" i="32"/>
  <c r="C17" i="32"/>
  <c r="I16" i="32"/>
  <c r="H16" i="32"/>
  <c r="D16" i="32"/>
  <c r="C16" i="32"/>
  <c r="I15" i="32"/>
  <c r="H15" i="32"/>
  <c r="D15" i="32"/>
  <c r="C15" i="32"/>
  <c r="H14" i="32"/>
  <c r="D14" i="32"/>
  <c r="C14" i="32"/>
  <c r="H13" i="32"/>
  <c r="D13" i="32"/>
  <c r="C13" i="32"/>
  <c r="I12" i="32"/>
  <c r="H12" i="32"/>
  <c r="D12" i="32"/>
  <c r="C12" i="32"/>
  <c r="H11" i="32"/>
  <c r="D11" i="32"/>
  <c r="C11" i="32"/>
  <c r="H10" i="32"/>
  <c r="D10" i="32"/>
  <c r="C10" i="32"/>
  <c r="H9" i="32"/>
  <c r="D9" i="32"/>
  <c r="C9" i="32"/>
  <c r="BQ64" i="3" l="1"/>
  <c r="BN64" i="3"/>
  <c r="BK64" i="3"/>
  <c r="BH64" i="3"/>
  <c r="BE64" i="3"/>
  <c r="BB64" i="3"/>
  <c r="AY64" i="3"/>
  <c r="AV64" i="3"/>
  <c r="AS64" i="3"/>
  <c r="AP64" i="3"/>
  <c r="AM64" i="3"/>
  <c r="AJ64" i="3"/>
  <c r="AG64" i="3"/>
  <c r="AD64" i="3"/>
  <c r="AA64" i="3"/>
  <c r="X64" i="3"/>
  <c r="U64" i="3"/>
  <c r="R64" i="3"/>
  <c r="O64" i="3"/>
  <c r="L64" i="3"/>
  <c r="I64" i="3"/>
  <c r="BQ63" i="3"/>
  <c r="BN63" i="3"/>
  <c r="BK63" i="3"/>
  <c r="BH63" i="3"/>
  <c r="BE63" i="3"/>
  <c r="BB63" i="3"/>
  <c r="AY63" i="3"/>
  <c r="AV63" i="3"/>
  <c r="AS63" i="3"/>
  <c r="AP63" i="3"/>
  <c r="AM63" i="3"/>
  <c r="AJ63" i="3"/>
  <c r="AG63" i="3"/>
  <c r="AD63" i="3"/>
  <c r="AA63" i="3"/>
  <c r="X63" i="3"/>
  <c r="U63" i="3"/>
  <c r="R63" i="3"/>
  <c r="O63" i="3"/>
  <c r="L63" i="3"/>
  <c r="I63" i="3"/>
  <c r="BQ62" i="3"/>
  <c r="BN62" i="3"/>
  <c r="BK62" i="3"/>
  <c r="BH62" i="3"/>
  <c r="BE62" i="3"/>
  <c r="BB62" i="3"/>
  <c r="AY62" i="3"/>
  <c r="AV62" i="3"/>
  <c r="AS62" i="3"/>
  <c r="AP62" i="3"/>
  <c r="AM62" i="3"/>
  <c r="AJ62" i="3"/>
  <c r="AG62" i="3"/>
  <c r="AD62" i="3"/>
  <c r="AA62" i="3"/>
  <c r="X62" i="3"/>
  <c r="U62" i="3"/>
  <c r="R62" i="3"/>
  <c r="O62" i="3"/>
  <c r="L62" i="3"/>
  <c r="I62" i="3"/>
  <c r="BQ61" i="3"/>
  <c r="BN61" i="3"/>
  <c r="BK61" i="3"/>
  <c r="BH61" i="3"/>
  <c r="BE61" i="3"/>
  <c r="BB61" i="3"/>
  <c r="AY61" i="3"/>
  <c r="AV61" i="3"/>
  <c r="AS61" i="3"/>
  <c r="AP61" i="3"/>
  <c r="AM61" i="3"/>
  <c r="AJ61" i="3"/>
  <c r="AG61" i="3"/>
  <c r="AD61" i="3"/>
  <c r="AA61" i="3"/>
  <c r="X61" i="3"/>
  <c r="U61" i="3"/>
  <c r="R61" i="3"/>
  <c r="O61" i="3"/>
  <c r="L61" i="3"/>
  <c r="I61" i="3"/>
  <c r="BQ60" i="3"/>
  <c r="BN60" i="3"/>
  <c r="BK60" i="3"/>
  <c r="BH60" i="3"/>
  <c r="BE60" i="3"/>
  <c r="BB60" i="3"/>
  <c r="AY60" i="3"/>
  <c r="AV60" i="3"/>
  <c r="AS60" i="3"/>
  <c r="AP60" i="3"/>
  <c r="AM60" i="3"/>
  <c r="AJ60" i="3"/>
  <c r="AG60" i="3"/>
  <c r="AD60" i="3"/>
  <c r="AA60" i="3"/>
  <c r="X60" i="3"/>
  <c r="U60" i="3"/>
  <c r="R60" i="3"/>
  <c r="O60" i="3"/>
  <c r="L60" i="3"/>
  <c r="I60" i="3"/>
  <c r="BQ59" i="3"/>
  <c r="BN59" i="3"/>
  <c r="BK59" i="3"/>
  <c r="BH59" i="3"/>
  <c r="BE59" i="3"/>
  <c r="BB59" i="3"/>
  <c r="AY59" i="3"/>
  <c r="AV59" i="3"/>
  <c r="AS59" i="3"/>
  <c r="AP59" i="3"/>
  <c r="AM59" i="3"/>
  <c r="AJ59" i="3"/>
  <c r="AG59" i="3"/>
  <c r="AD59" i="3"/>
  <c r="AA59" i="3"/>
  <c r="X59" i="3"/>
  <c r="U59" i="3"/>
  <c r="R59" i="3"/>
  <c r="O59" i="3"/>
  <c r="L59" i="3"/>
  <c r="I59" i="3"/>
  <c r="BQ58" i="3"/>
  <c r="BN58" i="3"/>
  <c r="BK58" i="3"/>
  <c r="BH58" i="3"/>
  <c r="BE58" i="3"/>
  <c r="BB58" i="3"/>
  <c r="AY58" i="3"/>
  <c r="AV58" i="3"/>
  <c r="AS58" i="3"/>
  <c r="AP58" i="3"/>
  <c r="AM58" i="3"/>
  <c r="AJ58" i="3"/>
  <c r="AG58" i="3"/>
  <c r="AD58" i="3"/>
  <c r="AA58" i="3"/>
  <c r="X58" i="3"/>
  <c r="U58" i="3"/>
  <c r="R58" i="3"/>
  <c r="O58" i="3"/>
  <c r="L58" i="3"/>
  <c r="I58" i="3"/>
  <c r="BQ57" i="3"/>
  <c r="BN57" i="3"/>
  <c r="BK57" i="3"/>
  <c r="BH57" i="3"/>
  <c r="BE57" i="3"/>
  <c r="BB57" i="3"/>
  <c r="AY57" i="3"/>
  <c r="AV57" i="3"/>
  <c r="AS57" i="3"/>
  <c r="AP57" i="3"/>
  <c r="AM57" i="3"/>
  <c r="AJ57" i="3"/>
  <c r="AG57" i="3"/>
  <c r="AD57" i="3"/>
  <c r="AA57" i="3"/>
  <c r="X57" i="3"/>
  <c r="U57" i="3"/>
  <c r="R57" i="3"/>
  <c r="O57" i="3"/>
  <c r="L57" i="3"/>
  <c r="I57" i="3"/>
  <c r="BQ56" i="3"/>
  <c r="BN56" i="3"/>
  <c r="BK56" i="3"/>
  <c r="BH56" i="3"/>
  <c r="BE56" i="3"/>
  <c r="BB56" i="3"/>
  <c r="AY56" i="3"/>
  <c r="AV56" i="3"/>
  <c r="AS56" i="3"/>
  <c r="AP56" i="3"/>
  <c r="AM56" i="3"/>
  <c r="AJ56" i="3"/>
  <c r="AG56" i="3"/>
  <c r="AD56" i="3"/>
  <c r="AA56" i="3"/>
  <c r="X56" i="3"/>
  <c r="U56" i="3"/>
  <c r="R56" i="3"/>
  <c r="O56" i="3"/>
  <c r="L56" i="3"/>
  <c r="I56" i="3"/>
  <c r="BQ55" i="3"/>
  <c r="BN55" i="3"/>
  <c r="BK55" i="3"/>
  <c r="BH55" i="3"/>
  <c r="BE55" i="3"/>
  <c r="BB55" i="3"/>
  <c r="AY55" i="3"/>
  <c r="AV55" i="3"/>
  <c r="AS55" i="3"/>
  <c r="AP55" i="3"/>
  <c r="AM55" i="3"/>
  <c r="AJ55" i="3"/>
  <c r="AG55" i="3"/>
  <c r="AD55" i="3"/>
  <c r="AA55" i="3"/>
  <c r="X55" i="3"/>
  <c r="U55" i="3"/>
  <c r="R55" i="3"/>
  <c r="O55" i="3"/>
  <c r="L55" i="3"/>
  <c r="I55" i="3"/>
  <c r="BQ54" i="3"/>
  <c r="BN54" i="3"/>
  <c r="BK54" i="3"/>
  <c r="BH54" i="3"/>
  <c r="BE54" i="3"/>
  <c r="BB54" i="3"/>
  <c r="AY54" i="3"/>
  <c r="AV54" i="3"/>
  <c r="AS54" i="3"/>
  <c r="AP54" i="3"/>
  <c r="AM54" i="3"/>
  <c r="AJ54" i="3"/>
  <c r="AG54" i="3"/>
  <c r="AD54" i="3"/>
  <c r="AA54" i="3"/>
  <c r="X54" i="3"/>
  <c r="U54" i="3"/>
  <c r="R54" i="3"/>
  <c r="O54" i="3"/>
  <c r="L54" i="3"/>
  <c r="I54" i="3"/>
  <c r="BQ53" i="3"/>
  <c r="BN53" i="3"/>
  <c r="BK53" i="3"/>
  <c r="BH53" i="3"/>
  <c r="BE53" i="3"/>
  <c r="BB53" i="3"/>
  <c r="AY53" i="3"/>
  <c r="AV53" i="3"/>
  <c r="AS53" i="3"/>
  <c r="AP53" i="3"/>
  <c r="AM53" i="3"/>
  <c r="AJ53" i="3"/>
  <c r="AG53" i="3"/>
  <c r="AD53" i="3"/>
  <c r="AA53" i="3"/>
  <c r="X53" i="3"/>
  <c r="U53" i="3"/>
  <c r="R53" i="3"/>
  <c r="O53" i="3"/>
  <c r="L53" i="3"/>
  <c r="I53" i="3"/>
  <c r="BQ52" i="3"/>
  <c r="BN52" i="3"/>
  <c r="BK52" i="3"/>
  <c r="BH52" i="3"/>
  <c r="BE52" i="3"/>
  <c r="BB52" i="3"/>
  <c r="AY52" i="3"/>
  <c r="AV52" i="3"/>
  <c r="AS52" i="3"/>
  <c r="AP52" i="3"/>
  <c r="AM52" i="3"/>
  <c r="AJ52" i="3"/>
  <c r="AG52" i="3"/>
  <c r="AD52" i="3"/>
  <c r="AA52" i="3"/>
  <c r="X52" i="3"/>
  <c r="U52" i="3"/>
  <c r="R52" i="3"/>
  <c r="O52" i="3"/>
  <c r="L52" i="3"/>
  <c r="I52" i="3"/>
  <c r="BQ51" i="3"/>
  <c r="BN51" i="3"/>
  <c r="BK51" i="3"/>
  <c r="BH51" i="3"/>
  <c r="BE51" i="3"/>
  <c r="BB51" i="3"/>
  <c r="AY51" i="3"/>
  <c r="AV51" i="3"/>
  <c r="AS51" i="3"/>
  <c r="AP51" i="3"/>
  <c r="AM51" i="3"/>
  <c r="AJ51" i="3"/>
  <c r="AG51" i="3"/>
  <c r="AD51" i="3"/>
  <c r="AA51" i="3"/>
  <c r="X51" i="3"/>
  <c r="U51" i="3"/>
  <c r="R51" i="3"/>
  <c r="O51" i="3"/>
  <c r="L51" i="3"/>
  <c r="I51" i="3"/>
  <c r="BQ50" i="3"/>
  <c r="BN50" i="3"/>
  <c r="BK50" i="3"/>
  <c r="BH50" i="3"/>
  <c r="BE50" i="3"/>
  <c r="BB50" i="3"/>
  <c r="AY50" i="3"/>
  <c r="AV50" i="3"/>
  <c r="AS50" i="3"/>
  <c r="AP50" i="3"/>
  <c r="AM50" i="3"/>
  <c r="AJ50" i="3"/>
  <c r="AG50" i="3"/>
  <c r="AD50" i="3"/>
  <c r="AA50" i="3"/>
  <c r="X50" i="3"/>
  <c r="U50" i="3"/>
  <c r="R50" i="3"/>
  <c r="O50" i="3"/>
  <c r="L50" i="3"/>
  <c r="I50" i="3"/>
  <c r="BQ49" i="3"/>
  <c r="BN49" i="3"/>
  <c r="BK49" i="3"/>
  <c r="BH49" i="3"/>
  <c r="BE49" i="3"/>
  <c r="BB49" i="3"/>
  <c r="AY49" i="3"/>
  <c r="AV49" i="3"/>
  <c r="AS49" i="3"/>
  <c r="AP49" i="3"/>
  <c r="AM49" i="3"/>
  <c r="AJ49" i="3"/>
  <c r="AG49" i="3"/>
  <c r="AD49" i="3"/>
  <c r="AA49" i="3"/>
  <c r="X49" i="3"/>
  <c r="U49" i="3"/>
  <c r="R49" i="3"/>
  <c r="O49" i="3"/>
  <c r="L49" i="3"/>
  <c r="I49" i="3"/>
  <c r="BQ48" i="3"/>
  <c r="BN48" i="3"/>
  <c r="BK48" i="3"/>
  <c r="BH48" i="3"/>
  <c r="BE48" i="3"/>
  <c r="BB48" i="3"/>
  <c r="AY48" i="3"/>
  <c r="AV48" i="3"/>
  <c r="AS48" i="3"/>
  <c r="AP48" i="3"/>
  <c r="AM48" i="3"/>
  <c r="AJ48" i="3"/>
  <c r="AG48" i="3"/>
  <c r="AD48" i="3"/>
  <c r="AA48" i="3"/>
  <c r="X48" i="3"/>
  <c r="U48" i="3"/>
  <c r="R48" i="3"/>
  <c r="O48" i="3"/>
  <c r="L48" i="3"/>
  <c r="I48" i="3"/>
  <c r="BQ47" i="3"/>
  <c r="BN47" i="3"/>
  <c r="BK47" i="3"/>
  <c r="BH47" i="3"/>
  <c r="BE47" i="3"/>
  <c r="BB47" i="3"/>
  <c r="AY47" i="3"/>
  <c r="AV47" i="3"/>
  <c r="AS47" i="3"/>
  <c r="AP47" i="3"/>
  <c r="AM47" i="3"/>
  <c r="AJ47" i="3"/>
  <c r="AG47" i="3"/>
  <c r="AD47" i="3"/>
  <c r="AA47" i="3"/>
  <c r="X47" i="3"/>
  <c r="U47" i="3"/>
  <c r="R47" i="3"/>
  <c r="O47" i="3"/>
  <c r="L47" i="3"/>
  <c r="I47" i="3"/>
  <c r="BQ46" i="3"/>
  <c r="BN46" i="3"/>
  <c r="BK46" i="3"/>
  <c r="BH46" i="3"/>
  <c r="BE46" i="3"/>
  <c r="BB46" i="3"/>
  <c r="AY46" i="3"/>
  <c r="AV46" i="3"/>
  <c r="AS46" i="3"/>
  <c r="AP46" i="3"/>
  <c r="AM46" i="3"/>
  <c r="AJ46" i="3"/>
  <c r="AG46" i="3"/>
  <c r="AD46" i="3"/>
  <c r="AA46" i="3"/>
  <c r="X46" i="3"/>
  <c r="U46" i="3"/>
  <c r="R46" i="3"/>
  <c r="O46" i="3"/>
  <c r="L46" i="3"/>
  <c r="I46" i="3"/>
  <c r="BQ45" i="3"/>
  <c r="BN45" i="3"/>
  <c r="BK45" i="3"/>
  <c r="BH45" i="3"/>
  <c r="BE45" i="3"/>
  <c r="BB45" i="3"/>
  <c r="AY45" i="3"/>
  <c r="AV45" i="3"/>
  <c r="AS45" i="3"/>
  <c r="AP45" i="3"/>
  <c r="AM45" i="3"/>
  <c r="AJ45" i="3"/>
  <c r="AG45" i="3"/>
  <c r="AD45" i="3"/>
  <c r="AA45" i="3"/>
  <c r="X45" i="3"/>
  <c r="U45" i="3"/>
  <c r="R45" i="3"/>
  <c r="O45" i="3"/>
  <c r="L45" i="3"/>
  <c r="I45" i="3"/>
  <c r="BQ44" i="3"/>
  <c r="BN44" i="3"/>
  <c r="BK44" i="3"/>
  <c r="BH44" i="3"/>
  <c r="BE44" i="3"/>
  <c r="BB44" i="3"/>
  <c r="AY44" i="3"/>
  <c r="AV44" i="3"/>
  <c r="AS44" i="3"/>
  <c r="AP44" i="3"/>
  <c r="AM44" i="3"/>
  <c r="AJ44" i="3"/>
  <c r="AG44" i="3"/>
  <c r="AA44" i="3"/>
  <c r="X44" i="3"/>
  <c r="U44" i="3"/>
  <c r="R44" i="3"/>
  <c r="O44" i="3"/>
  <c r="L44" i="3"/>
  <c r="I44" i="3"/>
  <c r="BQ43" i="3"/>
  <c r="BN43" i="3"/>
  <c r="BK43" i="3"/>
  <c r="BH43" i="3"/>
  <c r="BE43" i="3"/>
  <c r="BB43" i="3"/>
  <c r="AY43" i="3"/>
  <c r="AV43" i="3"/>
  <c r="AS43" i="3"/>
  <c r="AP43" i="3"/>
  <c r="AM43" i="3"/>
  <c r="AJ43" i="3"/>
  <c r="AG43" i="3"/>
  <c r="AA43" i="3"/>
  <c r="X43" i="3"/>
  <c r="U43" i="3"/>
  <c r="R43" i="3"/>
  <c r="O43" i="3"/>
  <c r="L43" i="3"/>
  <c r="I43" i="3"/>
  <c r="BQ42" i="3"/>
  <c r="BN42" i="3"/>
  <c r="BK42" i="3"/>
  <c r="BH42" i="3"/>
  <c r="BE42" i="3"/>
  <c r="BB42" i="3"/>
  <c r="AY42" i="3"/>
  <c r="AV42" i="3"/>
  <c r="AS42" i="3"/>
  <c r="AP42" i="3"/>
  <c r="AM42" i="3"/>
  <c r="AJ42" i="3"/>
  <c r="AG42" i="3"/>
  <c r="AA42" i="3"/>
  <c r="X42" i="3"/>
  <c r="U42" i="3"/>
  <c r="R42" i="3"/>
  <c r="O42" i="3"/>
  <c r="L42" i="3"/>
  <c r="I42" i="3"/>
  <c r="BQ41" i="3"/>
  <c r="BN41" i="3"/>
  <c r="BK41" i="3"/>
  <c r="BH41" i="3"/>
  <c r="BE41" i="3"/>
  <c r="BB41" i="3"/>
  <c r="AY41" i="3"/>
  <c r="AV41" i="3"/>
  <c r="AS41" i="3"/>
  <c r="AP41" i="3"/>
  <c r="AM41" i="3"/>
  <c r="AJ41" i="3"/>
  <c r="AG41" i="3"/>
  <c r="AA41" i="3"/>
  <c r="X41" i="3"/>
  <c r="U41" i="3"/>
  <c r="R41" i="3"/>
  <c r="O41" i="3"/>
  <c r="L41" i="3"/>
  <c r="I41" i="3"/>
  <c r="BQ40" i="3"/>
  <c r="BN40" i="3"/>
  <c r="BK40" i="3"/>
  <c r="BH40" i="3"/>
  <c r="BE40" i="3"/>
  <c r="BB40" i="3"/>
  <c r="AY40" i="3"/>
  <c r="AV40" i="3"/>
  <c r="AS40" i="3"/>
  <c r="AP40" i="3"/>
  <c r="AM40" i="3"/>
  <c r="AJ40" i="3"/>
  <c r="AG40" i="3"/>
  <c r="AA40" i="3"/>
  <c r="X40" i="3"/>
  <c r="U40" i="3"/>
  <c r="R40" i="3"/>
  <c r="O40" i="3"/>
  <c r="L40" i="3"/>
  <c r="I40" i="3"/>
  <c r="BQ39" i="3"/>
  <c r="BN39" i="3"/>
  <c r="BK39" i="3"/>
  <c r="BH39" i="3"/>
  <c r="BE39" i="3"/>
  <c r="BB39" i="3"/>
  <c r="AY39" i="3"/>
  <c r="AV39" i="3"/>
  <c r="AS39" i="3"/>
  <c r="AP39" i="3"/>
  <c r="AM39" i="3"/>
  <c r="AJ39" i="3"/>
  <c r="AG39" i="3"/>
  <c r="AA39" i="3"/>
  <c r="X39" i="3"/>
  <c r="U39" i="3"/>
  <c r="R39" i="3"/>
  <c r="O39" i="3"/>
  <c r="L39" i="3"/>
  <c r="I39" i="3"/>
  <c r="BQ38" i="3"/>
  <c r="BN38" i="3"/>
  <c r="BK38" i="3"/>
  <c r="BH38" i="3"/>
  <c r="BE38" i="3"/>
  <c r="BB38" i="3"/>
  <c r="AY38" i="3"/>
  <c r="AV38" i="3"/>
  <c r="AS38" i="3"/>
  <c r="AP38" i="3"/>
  <c r="AM38" i="3"/>
  <c r="AJ38" i="3"/>
  <c r="AG38" i="3"/>
  <c r="AA38" i="3"/>
  <c r="X38" i="3"/>
  <c r="U38" i="3"/>
  <c r="R38" i="3"/>
  <c r="O38" i="3"/>
  <c r="L38" i="3"/>
  <c r="I38" i="3"/>
  <c r="BQ37" i="3"/>
  <c r="BN37" i="3"/>
  <c r="BK37" i="3"/>
  <c r="BH37" i="3"/>
  <c r="BE37" i="3"/>
  <c r="BB37" i="3"/>
  <c r="AY37" i="3"/>
  <c r="AV37" i="3"/>
  <c r="AS37" i="3"/>
  <c r="AP37" i="3"/>
  <c r="AM37" i="3"/>
  <c r="AJ37" i="3"/>
  <c r="AG37" i="3"/>
  <c r="AA37" i="3"/>
  <c r="X37" i="3"/>
  <c r="U37" i="3"/>
  <c r="R37" i="3"/>
  <c r="O37" i="3"/>
  <c r="L37" i="3"/>
  <c r="I37" i="3"/>
  <c r="BQ36" i="3"/>
  <c r="BN36" i="3"/>
  <c r="BK36" i="3"/>
  <c r="BH36" i="3"/>
  <c r="BE36" i="3"/>
  <c r="BB36" i="3"/>
  <c r="AY36" i="3"/>
  <c r="AV36" i="3"/>
  <c r="AS36" i="3"/>
  <c r="AP36" i="3"/>
  <c r="AM36" i="3"/>
  <c r="AJ36" i="3"/>
  <c r="AG36" i="3"/>
  <c r="AA36" i="3"/>
  <c r="X36" i="3"/>
  <c r="U36" i="3"/>
  <c r="R36" i="3"/>
  <c r="O36" i="3"/>
  <c r="L36" i="3"/>
  <c r="I36" i="3"/>
  <c r="BQ35" i="3"/>
  <c r="BN35" i="3"/>
  <c r="BK35" i="3"/>
  <c r="BH35" i="3"/>
  <c r="BE35" i="3"/>
  <c r="BB35" i="3"/>
  <c r="AY35" i="3"/>
  <c r="AV35" i="3"/>
  <c r="AS35" i="3"/>
  <c r="AP35" i="3"/>
  <c r="AM35" i="3"/>
  <c r="AJ35" i="3"/>
  <c r="AG35" i="3"/>
  <c r="AA35" i="3"/>
  <c r="X35" i="3"/>
  <c r="U35" i="3"/>
  <c r="R35" i="3"/>
  <c r="O35" i="3"/>
  <c r="L35" i="3"/>
  <c r="I35" i="3"/>
  <c r="BQ34" i="3"/>
  <c r="BN34" i="3"/>
  <c r="BK34" i="3"/>
  <c r="BH34" i="3"/>
  <c r="BE34" i="3"/>
  <c r="BB34" i="3"/>
  <c r="AY34" i="3"/>
  <c r="AS34" i="3"/>
  <c r="AP34" i="3"/>
  <c r="AM34" i="3"/>
  <c r="AJ34" i="3"/>
  <c r="AG34" i="3"/>
  <c r="AA34" i="3"/>
  <c r="X34" i="3"/>
  <c r="U34" i="3"/>
  <c r="R34" i="3"/>
  <c r="O34" i="3"/>
  <c r="L34" i="3"/>
  <c r="I34" i="3"/>
  <c r="BQ33" i="3"/>
  <c r="BN33" i="3"/>
  <c r="BK33" i="3"/>
  <c r="BH33" i="3"/>
  <c r="BE33" i="3"/>
  <c r="BB33" i="3"/>
  <c r="AY33" i="3"/>
  <c r="AS33" i="3"/>
  <c r="AP33" i="3"/>
  <c r="AM33" i="3"/>
  <c r="AJ33" i="3"/>
  <c r="AG33" i="3"/>
  <c r="AA33" i="3"/>
  <c r="X33" i="3"/>
  <c r="U33" i="3"/>
  <c r="R33" i="3"/>
  <c r="O33" i="3"/>
  <c r="L33" i="3"/>
  <c r="I33" i="3"/>
  <c r="BQ32" i="3"/>
  <c r="BN32" i="3"/>
  <c r="BK32" i="3"/>
  <c r="BH32" i="3"/>
  <c r="BE32" i="3"/>
  <c r="BB32" i="3"/>
  <c r="AY32" i="3"/>
  <c r="AS32" i="3"/>
  <c r="AP32" i="3"/>
  <c r="AM32" i="3"/>
  <c r="AJ32" i="3"/>
  <c r="AG32" i="3"/>
  <c r="AA32" i="3"/>
  <c r="X32" i="3"/>
  <c r="U32" i="3"/>
  <c r="R32" i="3"/>
  <c r="O32" i="3"/>
  <c r="L32" i="3"/>
  <c r="I32" i="3"/>
  <c r="BQ31" i="3"/>
  <c r="BN31" i="3"/>
  <c r="BK31" i="3"/>
  <c r="BH31" i="3"/>
  <c r="BE31" i="3"/>
  <c r="BB31" i="3"/>
  <c r="AY31" i="3"/>
  <c r="AS31" i="3"/>
  <c r="AP31" i="3"/>
  <c r="AM31" i="3"/>
  <c r="AJ31" i="3"/>
  <c r="AG31" i="3"/>
  <c r="AA31" i="3"/>
  <c r="X31" i="3"/>
  <c r="U31" i="3"/>
  <c r="R31" i="3"/>
  <c r="O31" i="3"/>
  <c r="L31" i="3"/>
  <c r="I31" i="3"/>
  <c r="BQ30" i="3"/>
  <c r="BN30" i="3"/>
  <c r="BK30" i="3"/>
  <c r="BH30" i="3"/>
  <c r="BE30" i="3"/>
  <c r="BB30" i="3"/>
  <c r="AY30" i="3"/>
  <c r="AS30" i="3"/>
  <c r="AP30" i="3"/>
  <c r="AM30" i="3"/>
  <c r="AJ30" i="3"/>
  <c r="AG30" i="3"/>
  <c r="AA30" i="3"/>
  <c r="X30" i="3"/>
  <c r="U30" i="3"/>
  <c r="R30" i="3"/>
  <c r="O30" i="3"/>
  <c r="L30" i="3"/>
  <c r="I30" i="3"/>
  <c r="BQ29" i="3"/>
  <c r="BN29" i="3"/>
  <c r="BK29" i="3"/>
  <c r="BH29" i="3"/>
  <c r="BE29" i="3"/>
  <c r="BB29" i="3"/>
  <c r="AY29" i="3"/>
  <c r="AS29" i="3"/>
  <c r="AP29" i="3"/>
  <c r="AM29" i="3"/>
  <c r="AJ29" i="3"/>
  <c r="AG29" i="3"/>
  <c r="AA29" i="3"/>
  <c r="X29" i="3"/>
  <c r="U29" i="3"/>
  <c r="R29" i="3"/>
  <c r="O29" i="3"/>
  <c r="L29" i="3"/>
  <c r="I29" i="3"/>
  <c r="BQ28" i="3"/>
  <c r="BN28" i="3"/>
  <c r="BK28" i="3"/>
  <c r="BH28" i="3"/>
  <c r="BE28" i="3"/>
  <c r="BB28" i="3"/>
  <c r="AY28" i="3"/>
  <c r="AS28" i="3"/>
  <c r="AP28" i="3"/>
  <c r="AM28" i="3"/>
  <c r="AJ28" i="3"/>
  <c r="AG28" i="3"/>
  <c r="AA28" i="3"/>
  <c r="X28" i="3"/>
  <c r="U28" i="3"/>
  <c r="R28" i="3"/>
  <c r="O28" i="3"/>
  <c r="L28" i="3"/>
  <c r="I28" i="3"/>
  <c r="BQ27" i="3"/>
  <c r="BN27" i="3"/>
  <c r="BK27" i="3"/>
  <c r="BH27" i="3"/>
  <c r="BE27" i="3"/>
  <c r="BB27" i="3"/>
  <c r="AY27" i="3"/>
  <c r="AS27" i="3"/>
  <c r="AP27" i="3"/>
  <c r="AM27" i="3"/>
  <c r="AJ27" i="3"/>
  <c r="AG27" i="3"/>
  <c r="AA27" i="3"/>
  <c r="X27" i="3"/>
  <c r="U27" i="3"/>
  <c r="R27" i="3"/>
  <c r="O27" i="3"/>
  <c r="L27" i="3"/>
  <c r="I27" i="3"/>
  <c r="BQ26" i="3"/>
  <c r="BN26" i="3"/>
  <c r="BK26" i="3"/>
  <c r="BH26" i="3"/>
  <c r="BE26" i="3"/>
  <c r="BB26" i="3"/>
  <c r="AY26" i="3"/>
  <c r="AS26" i="3"/>
  <c r="AP26" i="3"/>
  <c r="AM26" i="3"/>
  <c r="AJ26" i="3"/>
  <c r="AG26" i="3"/>
  <c r="AA26" i="3"/>
  <c r="X26" i="3"/>
  <c r="U26" i="3"/>
  <c r="R26" i="3"/>
  <c r="O26" i="3"/>
  <c r="L26" i="3"/>
  <c r="I26" i="3"/>
  <c r="BQ25" i="3"/>
  <c r="BN25" i="3"/>
  <c r="BK25" i="3"/>
  <c r="BH25" i="3"/>
  <c r="BE25" i="3"/>
  <c r="BB25" i="3"/>
  <c r="AY25" i="3"/>
  <c r="AS25" i="3"/>
  <c r="AP25" i="3"/>
  <c r="AM25" i="3"/>
  <c r="AJ25" i="3"/>
  <c r="AG25" i="3"/>
  <c r="AA25" i="3"/>
  <c r="X25" i="3"/>
  <c r="U25" i="3"/>
  <c r="R25" i="3"/>
  <c r="O25" i="3"/>
  <c r="L25" i="3"/>
  <c r="I25" i="3"/>
  <c r="BQ24" i="3"/>
  <c r="BN24" i="3"/>
  <c r="BK24" i="3"/>
  <c r="BH24" i="3"/>
  <c r="BE24" i="3"/>
  <c r="BB24" i="3"/>
  <c r="AY24" i="3"/>
  <c r="AV24" i="3"/>
  <c r="AS24" i="3"/>
  <c r="AP24" i="3"/>
  <c r="AM24" i="3"/>
  <c r="AJ24" i="3"/>
  <c r="AG24" i="3"/>
  <c r="AD24" i="3"/>
  <c r="AA24" i="3"/>
  <c r="X24" i="3"/>
  <c r="U24" i="3"/>
  <c r="R24" i="3"/>
  <c r="O24" i="3"/>
  <c r="L24" i="3"/>
  <c r="I24" i="3"/>
  <c r="BQ23" i="3"/>
  <c r="BN23" i="3"/>
  <c r="BK23" i="3"/>
  <c r="BH23" i="3"/>
  <c r="BE23" i="3"/>
  <c r="BB23" i="3"/>
  <c r="AY23" i="3"/>
  <c r="AV23" i="3"/>
  <c r="AS23" i="3"/>
  <c r="AP23" i="3"/>
  <c r="AM23" i="3"/>
  <c r="AJ23" i="3"/>
  <c r="AG23" i="3"/>
  <c r="AD23" i="3"/>
  <c r="AA23" i="3"/>
  <c r="X23" i="3"/>
  <c r="U23" i="3"/>
  <c r="R23" i="3"/>
  <c r="O23" i="3"/>
  <c r="L23" i="3"/>
  <c r="I23" i="3"/>
  <c r="BQ22" i="3"/>
  <c r="BN22" i="3"/>
  <c r="BK22" i="3"/>
  <c r="BH22" i="3"/>
  <c r="BE22" i="3"/>
  <c r="BB22" i="3"/>
  <c r="AY22" i="3"/>
  <c r="AV22" i="3"/>
  <c r="AS22" i="3"/>
  <c r="AP22" i="3"/>
  <c r="AM22" i="3"/>
  <c r="AJ22" i="3"/>
  <c r="AG22" i="3"/>
  <c r="AD22" i="3"/>
  <c r="AA22" i="3"/>
  <c r="X22" i="3"/>
  <c r="U22" i="3"/>
  <c r="R22" i="3"/>
  <c r="O22" i="3"/>
  <c r="L22" i="3"/>
  <c r="I22" i="3"/>
  <c r="BQ21" i="3"/>
  <c r="BN21" i="3"/>
  <c r="BK21" i="3"/>
  <c r="BH21" i="3"/>
  <c r="BE21" i="3"/>
  <c r="BB21" i="3"/>
  <c r="AY21" i="3"/>
  <c r="AV21" i="3"/>
  <c r="AS21" i="3"/>
  <c r="AP21" i="3"/>
  <c r="AM21" i="3"/>
  <c r="AJ21" i="3"/>
  <c r="AG21" i="3"/>
  <c r="AD21" i="3"/>
  <c r="AA21" i="3"/>
  <c r="X21" i="3"/>
  <c r="U21" i="3"/>
  <c r="R21" i="3"/>
  <c r="O21" i="3"/>
  <c r="L21" i="3"/>
  <c r="I21" i="3"/>
  <c r="BQ20" i="3"/>
  <c r="BN20" i="3"/>
  <c r="BK20" i="3"/>
  <c r="BH20" i="3"/>
  <c r="BE20" i="3"/>
  <c r="BB20" i="3"/>
  <c r="AY20" i="3"/>
  <c r="AV20" i="3"/>
  <c r="AS20" i="3"/>
  <c r="AP20" i="3"/>
  <c r="AM20" i="3"/>
  <c r="AJ20" i="3"/>
  <c r="AG20" i="3"/>
  <c r="AD20" i="3"/>
  <c r="AA20" i="3"/>
  <c r="X20" i="3"/>
  <c r="U20" i="3"/>
  <c r="R20" i="3"/>
  <c r="O20" i="3"/>
  <c r="L20" i="3"/>
  <c r="I20" i="3"/>
  <c r="BQ19" i="3"/>
  <c r="BN19" i="3"/>
  <c r="BK19" i="3"/>
  <c r="BH19" i="3"/>
  <c r="BE19" i="3"/>
  <c r="BB19" i="3"/>
  <c r="AY19" i="3"/>
  <c r="AV19" i="3"/>
  <c r="AS19" i="3"/>
  <c r="AP19" i="3"/>
  <c r="AM19" i="3"/>
  <c r="AJ19" i="3"/>
  <c r="AG19" i="3"/>
  <c r="AD19" i="3"/>
  <c r="AA19" i="3"/>
  <c r="X19" i="3"/>
  <c r="U19" i="3"/>
  <c r="R19" i="3"/>
  <c r="O19" i="3"/>
  <c r="L19" i="3"/>
  <c r="I19" i="3"/>
  <c r="BQ18" i="3"/>
  <c r="BN18" i="3"/>
  <c r="BK18" i="3"/>
  <c r="BH18" i="3"/>
  <c r="BE18" i="3"/>
  <c r="BB18" i="3"/>
  <c r="AY18" i="3"/>
  <c r="AV18" i="3"/>
  <c r="AS18" i="3"/>
  <c r="AP18" i="3"/>
  <c r="AM18" i="3"/>
  <c r="AJ18" i="3"/>
  <c r="AG18" i="3"/>
  <c r="AD18" i="3"/>
  <c r="AA18" i="3"/>
  <c r="X18" i="3"/>
  <c r="U18" i="3"/>
  <c r="R18" i="3"/>
  <c r="O18" i="3"/>
  <c r="L18" i="3"/>
  <c r="I18" i="3"/>
  <c r="BQ17" i="3"/>
  <c r="BN17" i="3"/>
  <c r="BK17" i="3"/>
  <c r="BH17" i="3"/>
  <c r="BE17" i="3"/>
  <c r="BB17" i="3"/>
  <c r="AY17" i="3"/>
  <c r="AV17" i="3"/>
  <c r="AS17" i="3"/>
  <c r="AP17" i="3"/>
  <c r="AM17" i="3"/>
  <c r="AJ17" i="3"/>
  <c r="AG17" i="3"/>
  <c r="AD17" i="3"/>
  <c r="AA17" i="3"/>
  <c r="X17" i="3"/>
  <c r="U17" i="3"/>
  <c r="R17" i="3"/>
  <c r="O17" i="3"/>
  <c r="L17" i="3"/>
  <c r="I17" i="3"/>
  <c r="BQ16" i="3"/>
  <c r="BN16" i="3"/>
  <c r="BK16" i="3"/>
  <c r="BH16" i="3"/>
  <c r="BE16" i="3"/>
  <c r="BB16" i="3"/>
  <c r="AY16" i="3"/>
  <c r="AV16" i="3"/>
  <c r="AS16" i="3"/>
  <c r="AP16" i="3"/>
  <c r="AM16" i="3"/>
  <c r="AJ16" i="3"/>
  <c r="AG16" i="3"/>
  <c r="AD16" i="3"/>
  <c r="AA16" i="3"/>
  <c r="X16" i="3"/>
  <c r="U16" i="3"/>
  <c r="R16" i="3"/>
  <c r="O16" i="3"/>
  <c r="L16" i="3"/>
  <c r="I16" i="3"/>
  <c r="BQ15" i="3"/>
  <c r="BN15" i="3"/>
  <c r="BK15" i="3"/>
  <c r="BH15" i="3"/>
  <c r="BE15" i="3"/>
  <c r="BB15" i="3"/>
  <c r="AY15" i="3"/>
  <c r="AV15" i="3"/>
  <c r="AS15" i="3"/>
  <c r="AP15" i="3"/>
  <c r="AM15" i="3"/>
  <c r="AJ15" i="3"/>
  <c r="AG15" i="3"/>
  <c r="AD15" i="3"/>
  <c r="AA15" i="3"/>
  <c r="X15" i="3"/>
  <c r="U15" i="3"/>
  <c r="R15" i="3"/>
  <c r="O15" i="3"/>
  <c r="L15" i="3"/>
  <c r="I15" i="3"/>
  <c r="BQ14" i="3"/>
  <c r="BN14" i="3"/>
  <c r="BK14" i="3"/>
  <c r="BH14" i="3"/>
  <c r="BE14" i="3"/>
  <c r="BB14" i="3"/>
  <c r="AY14" i="3"/>
  <c r="AV14" i="3"/>
  <c r="AS14" i="3"/>
  <c r="AP14" i="3"/>
  <c r="AM14" i="3"/>
  <c r="AJ14" i="3"/>
  <c r="AG14" i="3"/>
  <c r="AD14" i="3"/>
  <c r="AA14" i="3"/>
  <c r="X14" i="3"/>
  <c r="U14" i="3"/>
  <c r="R14" i="3"/>
  <c r="O14" i="3"/>
  <c r="L14" i="3"/>
  <c r="I14" i="3"/>
  <c r="BQ13" i="3"/>
  <c r="BN13" i="3"/>
  <c r="BK13" i="3"/>
  <c r="BH13" i="3"/>
  <c r="BE13" i="3"/>
  <c r="BB13" i="3"/>
  <c r="AY13" i="3"/>
  <c r="AV13" i="3"/>
  <c r="AS13" i="3"/>
  <c r="AP13" i="3"/>
  <c r="AM13" i="3"/>
  <c r="AJ13" i="3"/>
  <c r="AG13" i="3"/>
  <c r="AD13" i="3"/>
  <c r="AA13" i="3"/>
  <c r="X13" i="3"/>
  <c r="U13" i="3"/>
  <c r="R13" i="3"/>
  <c r="O13" i="3"/>
  <c r="L13" i="3"/>
  <c r="I13" i="3"/>
  <c r="BQ12" i="3"/>
  <c r="BN12" i="3"/>
  <c r="BK12" i="3"/>
  <c r="BH12" i="3"/>
  <c r="BE12" i="3"/>
  <c r="BB12" i="3"/>
  <c r="AY12" i="3"/>
  <c r="AV12" i="3"/>
  <c r="AS12" i="3"/>
  <c r="AP12" i="3"/>
  <c r="AM12" i="3"/>
  <c r="AJ12" i="3"/>
  <c r="AG12" i="3"/>
  <c r="AD12" i="3"/>
  <c r="AA12" i="3"/>
  <c r="X12" i="3"/>
  <c r="U12" i="3"/>
  <c r="R12" i="3"/>
  <c r="O12" i="3"/>
  <c r="L12" i="3"/>
  <c r="I12" i="3"/>
  <c r="BQ11" i="3"/>
  <c r="BN11" i="3"/>
  <c r="BK11" i="3"/>
  <c r="BH11" i="3"/>
  <c r="BE11" i="3"/>
  <c r="BB11" i="3"/>
  <c r="AY11" i="3"/>
  <c r="AV11" i="3"/>
  <c r="AS11" i="3"/>
  <c r="AP11" i="3"/>
  <c r="AM11" i="3"/>
  <c r="AJ11" i="3"/>
  <c r="AG11" i="3"/>
  <c r="AD11" i="3"/>
  <c r="AA11" i="3"/>
  <c r="X11" i="3"/>
  <c r="U11" i="3"/>
  <c r="R11" i="3"/>
  <c r="O11" i="3"/>
  <c r="L11" i="3"/>
  <c r="I11" i="3"/>
  <c r="BQ10" i="3"/>
  <c r="BN10" i="3"/>
  <c r="BK10" i="3"/>
  <c r="BH10" i="3"/>
  <c r="BE10" i="3"/>
  <c r="BB10" i="3"/>
  <c r="AY10" i="3"/>
  <c r="AV10" i="3"/>
  <c r="AS10" i="3"/>
  <c r="AP10" i="3"/>
  <c r="AM10" i="3"/>
  <c r="AJ10" i="3"/>
  <c r="AG10" i="3"/>
  <c r="AD10" i="3"/>
  <c r="AA10" i="3"/>
  <c r="X10" i="3"/>
  <c r="U10" i="3"/>
  <c r="R10" i="3"/>
  <c r="O10" i="3"/>
  <c r="L10" i="3"/>
  <c r="I10" i="3"/>
  <c r="BQ9" i="3"/>
  <c r="BN9" i="3"/>
  <c r="BK9" i="3"/>
  <c r="BH9" i="3"/>
  <c r="BE9" i="3"/>
  <c r="BB9" i="3"/>
  <c r="AY9" i="3"/>
  <c r="AV9" i="3"/>
  <c r="AS9" i="3"/>
  <c r="AP9" i="3"/>
  <c r="AM9" i="3"/>
  <c r="AJ9" i="3"/>
  <c r="AG9" i="3"/>
  <c r="AD9" i="3"/>
  <c r="AA9" i="3"/>
  <c r="X9" i="3"/>
  <c r="U9" i="3"/>
  <c r="R9" i="3"/>
  <c r="O9" i="3"/>
  <c r="L9" i="3"/>
  <c r="I9" i="3"/>
  <c r="BQ8" i="3"/>
  <c r="BN8" i="3"/>
  <c r="BK8" i="3"/>
  <c r="BH8" i="3"/>
  <c r="BE8" i="3"/>
  <c r="BB8" i="3"/>
  <c r="AY8" i="3"/>
  <c r="AV8" i="3"/>
  <c r="AS8" i="3"/>
  <c r="AP8" i="3"/>
  <c r="AM8" i="3"/>
  <c r="AJ8" i="3"/>
  <c r="AG8" i="3"/>
  <c r="AD8" i="3"/>
  <c r="AA8" i="3"/>
  <c r="X8" i="3"/>
  <c r="U8" i="3"/>
  <c r="R8" i="3"/>
  <c r="O8" i="3"/>
  <c r="L8" i="3"/>
  <c r="I8" i="3"/>
  <c r="BQ7" i="3"/>
  <c r="BN7" i="3"/>
  <c r="BK7" i="3"/>
  <c r="BH7" i="3"/>
  <c r="BE7" i="3"/>
  <c r="BB7" i="3"/>
  <c r="AY7" i="3"/>
  <c r="AV7" i="3"/>
  <c r="AS7" i="3"/>
  <c r="AP7" i="3"/>
  <c r="AM7" i="3"/>
  <c r="AJ7" i="3"/>
  <c r="AG7" i="3"/>
  <c r="AD7" i="3"/>
  <c r="AA7" i="3"/>
  <c r="X7" i="3"/>
  <c r="U7" i="3"/>
  <c r="R7" i="3"/>
  <c r="O7" i="3"/>
  <c r="L7" i="3"/>
  <c r="I7" i="3"/>
  <c r="BQ6" i="3"/>
  <c r="BN6" i="3"/>
  <c r="BK6" i="3"/>
  <c r="BH6" i="3"/>
  <c r="BE6" i="3"/>
  <c r="BB6" i="3"/>
  <c r="AY6" i="3"/>
  <c r="AV6" i="3"/>
  <c r="AS6" i="3"/>
  <c r="AP6" i="3"/>
  <c r="AM6" i="3"/>
  <c r="AJ6" i="3"/>
  <c r="AG6" i="3"/>
  <c r="AD6" i="3"/>
  <c r="AA6" i="3"/>
  <c r="X6" i="3"/>
  <c r="U6" i="3"/>
  <c r="R6" i="3"/>
  <c r="O6" i="3"/>
  <c r="L6" i="3"/>
  <c r="I6" i="3"/>
  <c r="BQ5" i="3"/>
  <c r="BN5" i="3"/>
  <c r="BK5" i="3"/>
  <c r="BH5" i="3"/>
  <c r="BE5" i="3"/>
  <c r="BB5" i="3"/>
  <c r="AY5" i="3"/>
  <c r="AV5" i="3"/>
  <c r="AS5" i="3"/>
  <c r="AP5" i="3"/>
  <c r="AM5" i="3"/>
  <c r="AJ5" i="3"/>
  <c r="AG5" i="3"/>
  <c r="AD5" i="3"/>
  <c r="AA5" i="3"/>
  <c r="X5" i="3"/>
  <c r="U5" i="3"/>
  <c r="R5" i="3"/>
  <c r="O5" i="3"/>
  <c r="L5" i="3"/>
  <c r="I5" i="3"/>
  <c r="H97" i="28"/>
  <c r="H96" i="28"/>
  <c r="H95" i="28"/>
  <c r="H94" i="28"/>
  <c r="H92" i="28"/>
  <c r="H91" i="28"/>
  <c r="H90" i="28"/>
  <c r="H89" i="28"/>
  <c r="H87" i="28"/>
  <c r="H86" i="28"/>
  <c r="H85" i="28"/>
  <c r="H84" i="28"/>
  <c r="H82" i="28"/>
  <c r="H81" i="28"/>
  <c r="H80" i="28"/>
  <c r="H79" i="28"/>
  <c r="H77" i="28"/>
  <c r="H76" i="28"/>
  <c r="H75" i="28"/>
  <c r="H74" i="28"/>
  <c r="H72" i="28"/>
  <c r="H71" i="28"/>
  <c r="H70" i="28"/>
  <c r="H69" i="28"/>
  <c r="H67" i="28"/>
  <c r="H66" i="28"/>
  <c r="H65" i="28"/>
  <c r="H64" i="28"/>
  <c r="H62" i="28"/>
  <c r="H61" i="28"/>
  <c r="H60" i="28"/>
  <c r="H59" i="28"/>
  <c r="H57" i="28"/>
  <c r="H56" i="28"/>
  <c r="H55" i="28"/>
  <c r="H54" i="28"/>
  <c r="H52" i="28"/>
  <c r="H51" i="28"/>
  <c r="H50" i="28"/>
  <c r="H49" i="28"/>
  <c r="H47" i="28"/>
  <c r="H46" i="28"/>
  <c r="H45" i="28"/>
  <c r="H44" i="28"/>
  <c r="H42" i="28"/>
  <c r="H41" i="28"/>
  <c r="H40" i="28"/>
  <c r="H39" i="28"/>
  <c r="H37" i="28"/>
  <c r="H36" i="28"/>
  <c r="H35" i="28"/>
  <c r="H34" i="28"/>
  <c r="H32" i="28"/>
  <c r="H31" i="28"/>
  <c r="H30" i="28"/>
  <c r="H29" i="28"/>
  <c r="H27" i="28"/>
  <c r="H26" i="28"/>
  <c r="H25" i="28"/>
  <c r="H24" i="28"/>
  <c r="H22" i="28"/>
  <c r="H21" i="28"/>
  <c r="H20" i="28"/>
  <c r="H19" i="28"/>
  <c r="H17" i="28"/>
  <c r="H16" i="28"/>
  <c r="H15" i="28"/>
  <c r="H14" i="28"/>
  <c r="H12" i="28"/>
  <c r="H11" i="28"/>
  <c r="H10" i="28"/>
  <c r="H9" i="28"/>
  <c r="H7" i="28"/>
  <c r="H6" i="28"/>
  <c r="H5" i="28"/>
  <c r="H4" i="28"/>
  <c r="I37" i="29"/>
  <c r="G37" i="29"/>
  <c r="I36" i="29"/>
  <c r="G36" i="29"/>
  <c r="I35" i="29"/>
  <c r="G35" i="29"/>
  <c r="I34" i="29"/>
  <c r="G34" i="29"/>
  <c r="I33" i="29"/>
  <c r="G33" i="29"/>
  <c r="I32" i="29"/>
  <c r="G32" i="29"/>
  <c r="I31" i="29"/>
  <c r="G31" i="29"/>
  <c r="I30" i="29"/>
  <c r="G30" i="29"/>
  <c r="I29" i="29"/>
  <c r="G29" i="29"/>
  <c r="I28" i="29"/>
  <c r="G28" i="29"/>
  <c r="I24" i="29"/>
  <c r="G24" i="29"/>
  <c r="I23" i="29"/>
  <c r="G23" i="29"/>
  <c r="I22" i="29"/>
  <c r="G22" i="29"/>
  <c r="I21" i="29"/>
  <c r="G21" i="29"/>
  <c r="I20" i="29"/>
  <c r="G20" i="29"/>
  <c r="I19" i="29"/>
  <c r="G19" i="29"/>
  <c r="I18" i="29"/>
  <c r="G18" i="29"/>
  <c r="I17" i="29"/>
  <c r="G17" i="29"/>
  <c r="I16" i="29"/>
  <c r="G16" i="29"/>
  <c r="I10" i="29"/>
  <c r="G10" i="29"/>
  <c r="I9" i="29"/>
  <c r="G9" i="29"/>
  <c r="I8" i="29"/>
  <c r="G8" i="29"/>
  <c r="I7" i="29"/>
  <c r="G7" i="29"/>
  <c r="I6" i="29"/>
  <c r="G6" i="29"/>
  <c r="I5" i="29"/>
  <c r="G5" i="29"/>
  <c r="I4" i="29"/>
  <c r="G4" i="29"/>
  <c r="K263" i="30"/>
  <c r="Q263" i="30"/>
  <c r="K264" i="30"/>
  <c r="Q264" i="30"/>
  <c r="K265" i="30"/>
  <c r="Q265" i="30"/>
  <c r="K266" i="30"/>
  <c r="Q266" i="30"/>
  <c r="K267" i="30"/>
  <c r="Q267" i="30"/>
  <c r="K268" i="30"/>
  <c r="Q268" i="30"/>
  <c r="K269" i="30"/>
  <c r="Q269" i="30"/>
  <c r="K270" i="30"/>
  <c r="Q270" i="30"/>
  <c r="K271" i="30"/>
  <c r="Q271" i="30"/>
  <c r="K272" i="30"/>
  <c r="Q272" i="30"/>
  <c r="K273" i="30"/>
  <c r="Q273" i="30"/>
  <c r="K274" i="30"/>
  <c r="Q274" i="30"/>
  <c r="K275" i="30"/>
  <c r="Q275" i="30"/>
  <c r="K276" i="30"/>
  <c r="Q276" i="30"/>
  <c r="K277" i="30"/>
  <c r="Q277" i="30"/>
  <c r="K278" i="30"/>
  <c r="Q278" i="30"/>
  <c r="K279" i="30"/>
  <c r="Q279" i="30"/>
  <c r="K280" i="30"/>
  <c r="Q280" i="30"/>
  <c r="K281" i="30"/>
  <c r="Q281" i="30"/>
  <c r="K282" i="30"/>
  <c r="Q282" i="30"/>
  <c r="K283" i="30"/>
  <c r="M283" i="30"/>
  <c r="N283" i="30"/>
  <c r="Q283" i="30"/>
  <c r="K284" i="30"/>
  <c r="M284" i="30"/>
  <c r="N284" i="30"/>
  <c r="Q284" i="30"/>
  <c r="K285" i="30"/>
  <c r="M285" i="30"/>
  <c r="N285" i="30"/>
  <c r="Q285" i="30"/>
  <c r="K286" i="30"/>
  <c r="M286" i="30"/>
  <c r="N286" i="30"/>
  <c r="Q286" i="30"/>
  <c r="K287" i="30"/>
  <c r="M287" i="30"/>
  <c r="N287" i="30"/>
  <c r="Q287" i="30"/>
  <c r="K288" i="30"/>
  <c r="M288" i="30"/>
  <c r="N288" i="30"/>
  <c r="Q288" i="30"/>
  <c r="K289" i="30"/>
  <c r="M289" i="30"/>
  <c r="N289" i="30"/>
  <c r="Q289" i="30"/>
  <c r="K290" i="30"/>
  <c r="M290" i="30"/>
  <c r="N290" i="30"/>
  <c r="Q290" i="30"/>
  <c r="K291" i="30"/>
  <c r="M291" i="30"/>
  <c r="N291" i="30"/>
  <c r="Q291" i="30"/>
  <c r="K292" i="30"/>
  <c r="M292" i="30"/>
  <c r="N292" i="30"/>
  <c r="Q292" i="30"/>
  <c r="K293" i="30"/>
  <c r="M293" i="30"/>
  <c r="N293" i="30"/>
  <c r="Q293" i="30"/>
  <c r="K294" i="30"/>
  <c r="M294" i="30"/>
  <c r="N294" i="30"/>
  <c r="Q294" i="30"/>
  <c r="K295" i="30"/>
  <c r="M295" i="30"/>
  <c r="N295" i="30"/>
  <c r="Q295" i="30"/>
  <c r="K296" i="30"/>
  <c r="M296" i="30"/>
  <c r="N296" i="30"/>
  <c r="Q296" i="30"/>
  <c r="K297" i="30"/>
  <c r="M297" i="30"/>
  <c r="N297" i="30"/>
  <c r="Q297" i="30"/>
  <c r="K298" i="30"/>
  <c r="M298" i="30"/>
  <c r="N298" i="30"/>
  <c r="Q298" i="30"/>
  <c r="K299" i="30"/>
  <c r="M299" i="30"/>
  <c r="N299" i="30"/>
  <c r="Q299" i="30"/>
  <c r="K300" i="30"/>
  <c r="M300" i="30"/>
  <c r="N300" i="30"/>
  <c r="Q300" i="30"/>
  <c r="K301" i="30"/>
  <c r="M301" i="30"/>
  <c r="N301" i="30"/>
  <c r="Q301" i="30"/>
  <c r="K302" i="30"/>
  <c r="M302" i="30"/>
  <c r="N302" i="30"/>
  <c r="Q302" i="30"/>
  <c r="K303" i="30"/>
  <c r="M303" i="30"/>
  <c r="N303" i="30"/>
  <c r="Q303" i="30"/>
  <c r="K304" i="30"/>
  <c r="M304" i="30"/>
  <c r="N304" i="30"/>
  <c r="Q304" i="30"/>
  <c r="K305" i="30"/>
  <c r="M305" i="30"/>
  <c r="N305" i="30"/>
  <c r="Q305" i="30"/>
  <c r="K306" i="30"/>
  <c r="M306" i="30"/>
  <c r="N306" i="30"/>
  <c r="Q306" i="30"/>
  <c r="K307" i="30"/>
  <c r="M307" i="30"/>
  <c r="N307" i="30"/>
  <c r="Q307" i="30"/>
  <c r="K308" i="30"/>
  <c r="M308" i="30"/>
  <c r="N308" i="30"/>
  <c r="Q308" i="30"/>
  <c r="K309" i="30"/>
  <c r="M309" i="30"/>
  <c r="N309" i="30"/>
  <c r="Q309" i="30"/>
  <c r="K310" i="30"/>
  <c r="M310" i="30"/>
  <c r="N310" i="30"/>
  <c r="Q310" i="30"/>
  <c r="K311" i="30"/>
  <c r="M311" i="30"/>
  <c r="N311" i="30"/>
  <c r="Q311" i="30"/>
  <c r="K312" i="30"/>
  <c r="M312" i="30"/>
  <c r="N312" i="30"/>
  <c r="Q312" i="30"/>
  <c r="K313" i="30"/>
  <c r="M313" i="30"/>
  <c r="N313" i="30"/>
  <c r="Q313" i="30"/>
  <c r="K314" i="30"/>
  <c r="M314" i="30"/>
  <c r="N314" i="30"/>
  <c r="Q314" i="30"/>
  <c r="K315" i="30"/>
  <c r="M315" i="30"/>
  <c r="N315" i="30"/>
  <c r="Q315" i="30"/>
  <c r="K316" i="30"/>
  <c r="M316" i="30"/>
  <c r="N316" i="30"/>
  <c r="Q316" i="30"/>
  <c r="K317" i="30"/>
  <c r="M317" i="30"/>
  <c r="N317" i="30"/>
  <c r="Q317" i="30"/>
  <c r="K318" i="30"/>
  <c r="M318" i="30"/>
  <c r="N318" i="30"/>
  <c r="Q318" i="30"/>
  <c r="K319" i="30"/>
  <c r="M319" i="30"/>
  <c r="N319" i="30"/>
  <c r="Q319" i="30"/>
  <c r="K320" i="30"/>
  <c r="M320" i="30"/>
  <c r="N320" i="30"/>
  <c r="Q320" i="30"/>
  <c r="K321" i="30"/>
  <c r="M321" i="30"/>
  <c r="N321" i="30"/>
  <c r="Q321" i="30"/>
  <c r="K322" i="30"/>
  <c r="M322" i="30"/>
  <c r="N322" i="30"/>
  <c r="Q322" i="30"/>
  <c r="K323" i="30"/>
  <c r="M323" i="30"/>
  <c r="N323" i="30"/>
  <c r="Q323" i="30"/>
  <c r="K324" i="30"/>
  <c r="M324" i="30"/>
  <c r="N324" i="30"/>
  <c r="Q324" i="30"/>
  <c r="K325" i="30"/>
  <c r="M325" i="30"/>
  <c r="N325" i="30"/>
  <c r="Q325" i="30"/>
  <c r="K326" i="30"/>
  <c r="M326" i="30"/>
  <c r="N326" i="30"/>
  <c r="Q326" i="30"/>
  <c r="K327" i="30"/>
  <c r="M327" i="30"/>
  <c r="N327" i="30"/>
  <c r="Q327" i="30"/>
  <c r="K328" i="30"/>
  <c r="M328" i="30"/>
  <c r="N328" i="30"/>
  <c r="Q328" i="30"/>
  <c r="K329" i="30"/>
  <c r="M329" i="30"/>
  <c r="N329" i="30"/>
  <c r="Q329" i="30"/>
  <c r="K330" i="30"/>
  <c r="M330" i="30"/>
  <c r="N330" i="30"/>
  <c r="Q330" i="30"/>
  <c r="K331" i="30"/>
  <c r="M331" i="30"/>
  <c r="N331" i="30"/>
  <c r="Q331" i="30"/>
  <c r="K332" i="30"/>
  <c r="M332" i="30"/>
  <c r="N332" i="30"/>
  <c r="Q332" i="30"/>
  <c r="K333" i="30"/>
  <c r="M333" i="30"/>
  <c r="N333" i="30"/>
  <c r="Q333" i="30"/>
  <c r="K334" i="30"/>
  <c r="M334" i="30"/>
  <c r="N334" i="30"/>
  <c r="Q334" i="30"/>
  <c r="K335" i="30"/>
  <c r="M335" i="30"/>
  <c r="N335" i="30"/>
  <c r="Q335" i="30"/>
  <c r="K336" i="30"/>
  <c r="M336" i="30"/>
  <c r="N336" i="30"/>
  <c r="Q336" i="30"/>
  <c r="K337" i="30"/>
  <c r="M337" i="30"/>
  <c r="N337" i="30"/>
  <c r="Q337" i="30"/>
  <c r="K338" i="30"/>
  <c r="M338" i="30"/>
  <c r="N338" i="30"/>
  <c r="Q338" i="30"/>
  <c r="K339" i="30"/>
  <c r="M339" i="30"/>
  <c r="N339" i="30"/>
  <c r="Q339" i="30"/>
  <c r="K340" i="30"/>
  <c r="M340" i="30"/>
  <c r="N340" i="30"/>
  <c r="Q340" i="30"/>
  <c r="K341" i="30"/>
  <c r="M341" i="30"/>
  <c r="N341" i="30"/>
  <c r="Q341" i="30"/>
  <c r="K342" i="30"/>
  <c r="M342" i="30"/>
  <c r="N342" i="30"/>
  <c r="Q342" i="30"/>
  <c r="K343" i="30"/>
  <c r="M343" i="30"/>
  <c r="N343" i="30"/>
  <c r="Q343" i="30"/>
  <c r="K344" i="30"/>
  <c r="M344" i="30"/>
  <c r="N344" i="30"/>
  <c r="Q344" i="30"/>
  <c r="K345" i="30"/>
  <c r="M345" i="30"/>
  <c r="N345" i="30"/>
  <c r="Q345" i="30"/>
  <c r="K346" i="30"/>
  <c r="M346" i="30"/>
  <c r="N346" i="30"/>
  <c r="Q346" i="30"/>
  <c r="K347" i="30"/>
  <c r="M347" i="30"/>
  <c r="N347" i="30"/>
  <c r="Q347" i="30"/>
  <c r="K348" i="30"/>
  <c r="M348" i="30"/>
  <c r="N348" i="30"/>
  <c r="Q348" i="30"/>
  <c r="K349" i="30"/>
  <c r="M349" i="30"/>
  <c r="N349" i="30"/>
  <c r="Q349" i="30"/>
  <c r="K350" i="30"/>
  <c r="M350" i="30"/>
  <c r="N350" i="30"/>
  <c r="Q350" i="30"/>
  <c r="K351" i="30"/>
  <c r="M351" i="30"/>
  <c r="N351" i="30"/>
  <c r="Q351" i="30"/>
  <c r="K352" i="30"/>
  <c r="M352" i="30"/>
  <c r="N352" i="30"/>
  <c r="Q352" i="30"/>
  <c r="K353" i="30"/>
  <c r="M353" i="30"/>
  <c r="N353" i="30"/>
  <c r="Q353" i="30"/>
  <c r="K354" i="30"/>
  <c r="M354" i="30"/>
  <c r="N354" i="30"/>
  <c r="Q354" i="30"/>
  <c r="K355" i="30"/>
  <c r="M355" i="30"/>
  <c r="N355" i="30"/>
  <c r="Q355" i="30"/>
  <c r="K356" i="30"/>
  <c r="M356" i="30"/>
  <c r="N356" i="30"/>
  <c r="Q356" i="30"/>
  <c r="K357" i="30"/>
  <c r="M357" i="30"/>
  <c r="N357" i="30"/>
  <c r="Q357" i="30"/>
  <c r="K358" i="30"/>
  <c r="M358" i="30"/>
  <c r="N358" i="30"/>
  <c r="Q358" i="30"/>
  <c r="K359" i="30"/>
  <c r="M359" i="30"/>
  <c r="N359" i="30"/>
  <c r="Q359" i="30"/>
  <c r="K360" i="30"/>
  <c r="M360" i="30"/>
  <c r="N360" i="30"/>
  <c r="Q360" i="30"/>
  <c r="K361" i="30"/>
  <c r="M361" i="30"/>
  <c r="N361" i="30"/>
  <c r="Q361" i="30"/>
  <c r="K362" i="30"/>
  <c r="M362" i="30"/>
  <c r="N362" i="30"/>
  <c r="Q362" i="30"/>
  <c r="K363" i="30"/>
  <c r="M363" i="30"/>
  <c r="N363" i="30"/>
  <c r="Q363" i="30"/>
  <c r="K364" i="30"/>
  <c r="M364" i="30"/>
  <c r="N364" i="30"/>
  <c r="Q364" i="30"/>
  <c r="K365" i="30"/>
  <c r="M365" i="30"/>
  <c r="N365" i="30"/>
  <c r="Q365" i="30"/>
  <c r="K366" i="30"/>
  <c r="M366" i="30"/>
  <c r="N366" i="30"/>
  <c r="Q366" i="30"/>
  <c r="K367" i="30"/>
  <c r="M367" i="30"/>
  <c r="N367" i="30"/>
  <c r="Q367" i="30"/>
  <c r="K368" i="30"/>
  <c r="M368" i="30"/>
  <c r="N368" i="30"/>
  <c r="Q368" i="30"/>
  <c r="K369" i="30"/>
  <c r="M369" i="30"/>
  <c r="N369" i="30"/>
  <c r="Q369" i="30"/>
  <c r="K370" i="30"/>
  <c r="M370" i="30"/>
  <c r="N370" i="30"/>
  <c r="Q370" i="30"/>
  <c r="K372" i="30"/>
  <c r="Q372" i="30"/>
  <c r="K373" i="30"/>
  <c r="Q373" i="30"/>
  <c r="K374" i="30"/>
  <c r="Q374" i="30"/>
  <c r="K375" i="30"/>
  <c r="Q375" i="30"/>
  <c r="K376" i="30"/>
  <c r="Q376" i="30"/>
  <c r="K377" i="30"/>
  <c r="Q377" i="30"/>
  <c r="K378" i="30"/>
  <c r="Q378" i="30"/>
  <c r="K379" i="30"/>
  <c r="Q379" i="30"/>
  <c r="K383" i="30"/>
  <c r="Q383" i="30"/>
  <c r="K384" i="30"/>
  <c r="Q384" i="30"/>
  <c r="K385" i="30"/>
  <c r="Q385" i="30"/>
  <c r="K386" i="30"/>
  <c r="Q386" i="30"/>
  <c r="K387" i="30"/>
  <c r="Q387" i="30"/>
  <c r="K388" i="30"/>
  <c r="Q388" i="30"/>
  <c r="K389" i="30"/>
  <c r="Q389" i="30"/>
  <c r="K390" i="30"/>
  <c r="Q390" i="30"/>
  <c r="K391" i="30"/>
  <c r="Q391" i="30"/>
  <c r="K392" i="30"/>
  <c r="Q392" i="30"/>
  <c r="K393" i="30"/>
  <c r="Q393" i="30"/>
  <c r="K394" i="30"/>
  <c r="Q394" i="30"/>
  <c r="K395" i="30"/>
  <c r="Q395" i="30"/>
  <c r="K396" i="30"/>
  <c r="Q396" i="30"/>
  <c r="K397" i="30"/>
  <c r="Q397" i="30"/>
  <c r="K398" i="30"/>
  <c r="Q398" i="30"/>
  <c r="K399" i="30"/>
  <c r="Q399" i="30"/>
  <c r="K400" i="30"/>
  <c r="Q400" i="30"/>
  <c r="K401" i="30"/>
  <c r="Q401" i="30"/>
  <c r="K402" i="30"/>
  <c r="Q402" i="30"/>
  <c r="K403" i="30"/>
  <c r="Q403" i="30"/>
  <c r="K404" i="30"/>
  <c r="Q404" i="30"/>
  <c r="K405" i="30"/>
  <c r="Q405" i="30"/>
  <c r="K406" i="30"/>
  <c r="Q406" i="30"/>
  <c r="K407" i="30"/>
  <c r="Q407" i="30"/>
  <c r="K408" i="30"/>
  <c r="Q408" i="30"/>
  <c r="K409" i="30"/>
  <c r="Q409" i="30"/>
  <c r="K410" i="30"/>
  <c r="Q410" i="30"/>
  <c r="K411" i="30"/>
  <c r="Q411" i="30"/>
  <c r="K412" i="30"/>
  <c r="Q412" i="30"/>
  <c r="K413" i="30"/>
  <c r="Q413" i="30"/>
  <c r="K414" i="30"/>
  <c r="Q414" i="30"/>
  <c r="K415" i="30"/>
  <c r="Q415" i="30"/>
  <c r="K416" i="30"/>
  <c r="Q416" i="30"/>
  <c r="K417" i="30"/>
  <c r="Q417" i="30"/>
  <c r="K418" i="30"/>
  <c r="Q418" i="30"/>
  <c r="K419" i="30"/>
  <c r="Q419" i="30"/>
  <c r="K420" i="30"/>
  <c r="Q420" i="30"/>
  <c r="K421" i="30"/>
  <c r="Q421" i="30"/>
  <c r="K422" i="30"/>
  <c r="Q422" i="30"/>
  <c r="K423" i="30"/>
  <c r="Q423" i="30"/>
  <c r="K424" i="30"/>
  <c r="Q424" i="30"/>
  <c r="K425" i="30"/>
  <c r="Q425" i="30"/>
  <c r="K426" i="30"/>
  <c r="Q426" i="30"/>
  <c r="K427" i="30"/>
  <c r="Q427" i="30"/>
  <c r="K428" i="30"/>
  <c r="Q428" i="30"/>
  <c r="K429" i="30"/>
  <c r="Q429" i="30"/>
  <c r="K430" i="30"/>
  <c r="Q430" i="30"/>
  <c r="K431" i="30"/>
  <c r="L431" i="30"/>
  <c r="M431" i="30"/>
  <c r="N431" i="30"/>
  <c r="Q431" i="30"/>
  <c r="K432" i="30"/>
  <c r="L432" i="30"/>
  <c r="M432" i="30"/>
  <c r="N432" i="30"/>
  <c r="Q432" i="30"/>
  <c r="K433" i="30"/>
  <c r="L433" i="30"/>
  <c r="M433" i="30"/>
  <c r="N433" i="30"/>
  <c r="Q433" i="30"/>
  <c r="K434" i="30"/>
  <c r="L434" i="30"/>
  <c r="M434" i="30"/>
  <c r="N434" i="30"/>
  <c r="Q434" i="30"/>
  <c r="K435" i="30"/>
  <c r="L435" i="30"/>
  <c r="M435" i="30"/>
  <c r="N435" i="30"/>
  <c r="Q435" i="30"/>
  <c r="K436" i="30"/>
  <c r="L436" i="30"/>
  <c r="M436" i="30"/>
  <c r="N436" i="30"/>
  <c r="Q436" i="30"/>
  <c r="K437" i="30"/>
  <c r="L437" i="30"/>
  <c r="M437" i="30"/>
  <c r="N437" i="30"/>
  <c r="Q437" i="30"/>
  <c r="K438" i="30"/>
  <c r="L438" i="30"/>
  <c r="M438" i="30"/>
  <c r="N438" i="30"/>
  <c r="Q438" i="30"/>
  <c r="K439" i="30"/>
  <c r="L439" i="30"/>
  <c r="M439" i="30"/>
  <c r="N439" i="30"/>
  <c r="Q439" i="30"/>
  <c r="K440" i="30"/>
  <c r="L440" i="30"/>
  <c r="M440" i="30"/>
  <c r="N440" i="30"/>
  <c r="Q440" i="30"/>
  <c r="K441" i="30"/>
  <c r="L441" i="30"/>
  <c r="M441" i="30"/>
  <c r="N441" i="30"/>
  <c r="Q441" i="30"/>
  <c r="K442" i="30"/>
  <c r="L442" i="30"/>
  <c r="M442" i="30"/>
  <c r="N442" i="30"/>
  <c r="Q442" i="30"/>
  <c r="K443" i="30"/>
  <c r="L443" i="30"/>
  <c r="M443" i="30"/>
  <c r="N443" i="30"/>
  <c r="Q443" i="30"/>
  <c r="K444" i="30"/>
  <c r="Q444" i="30"/>
  <c r="K445" i="30"/>
  <c r="Q445" i="30"/>
  <c r="K446" i="30"/>
  <c r="Q446" i="30"/>
  <c r="K447" i="30"/>
  <c r="Q447" i="30"/>
  <c r="K448" i="30"/>
  <c r="Q448" i="30"/>
  <c r="K449" i="30"/>
  <c r="Q449" i="30"/>
  <c r="K450" i="30"/>
  <c r="Q450" i="30"/>
  <c r="K451" i="30"/>
  <c r="Q451" i="30"/>
  <c r="K452" i="30"/>
  <c r="Q452" i="30"/>
  <c r="K453" i="30"/>
  <c r="Q453" i="30"/>
  <c r="K454" i="30"/>
  <c r="Q454" i="30"/>
  <c r="K455" i="30"/>
  <c r="Q455" i="30"/>
  <c r="K456" i="30"/>
  <c r="Q456" i="30"/>
  <c r="K457" i="30"/>
  <c r="Q457" i="30"/>
  <c r="K458" i="30"/>
  <c r="Q458" i="30"/>
  <c r="K459" i="30"/>
  <c r="Q459" i="30"/>
  <c r="K460" i="30"/>
  <c r="Q460" i="30"/>
  <c r="K461" i="30"/>
  <c r="Q461" i="30"/>
  <c r="K462" i="30"/>
  <c r="Q462" i="30"/>
  <c r="K463" i="30"/>
  <c r="Q463" i="30"/>
  <c r="K464" i="30"/>
  <c r="Q464" i="30"/>
  <c r="K465" i="30"/>
  <c r="Q465" i="30"/>
  <c r="K466" i="30"/>
  <c r="Q466" i="30"/>
  <c r="K467" i="30"/>
  <c r="Q467" i="30"/>
  <c r="K468" i="30"/>
  <c r="Q468" i="30"/>
  <c r="K469" i="30"/>
  <c r="Q469" i="30"/>
  <c r="K470" i="30"/>
  <c r="Q470" i="30"/>
  <c r="K471" i="30"/>
  <c r="Q471" i="30"/>
  <c r="K472" i="30"/>
  <c r="Q472" i="30"/>
  <c r="K473" i="30"/>
  <c r="Q473" i="30"/>
  <c r="K474" i="30"/>
  <c r="Q474" i="30"/>
  <c r="K475" i="30"/>
  <c r="Q475" i="30"/>
  <c r="K476" i="30"/>
  <c r="Q476" i="30"/>
  <c r="K477" i="30"/>
  <c r="Q477" i="30"/>
  <c r="K478" i="30"/>
  <c r="Q478" i="30"/>
  <c r="K479" i="30"/>
  <c r="Q479" i="30"/>
  <c r="K480" i="30"/>
  <c r="Q480" i="30"/>
  <c r="K481" i="30"/>
  <c r="Q481" i="30"/>
  <c r="K482" i="30"/>
  <c r="Q482" i="30"/>
  <c r="K483" i="30"/>
  <c r="Q483" i="30"/>
  <c r="K484" i="30"/>
  <c r="Q484" i="30"/>
  <c r="K485" i="30"/>
  <c r="Q485" i="30"/>
  <c r="K486" i="30"/>
  <c r="Q486" i="30"/>
  <c r="K487" i="30"/>
  <c r="Q487" i="30"/>
  <c r="K488" i="30"/>
  <c r="Q488" i="30"/>
  <c r="K489" i="30"/>
  <c r="Q489" i="30"/>
  <c r="K490" i="30"/>
  <c r="Q490" i="30"/>
  <c r="K491" i="30"/>
  <c r="Q491" i="30"/>
  <c r="K492" i="30"/>
  <c r="Q492" i="30"/>
  <c r="K493" i="30"/>
  <c r="Q493" i="30"/>
  <c r="K494" i="30"/>
  <c r="Q494" i="30"/>
  <c r="K495" i="30"/>
  <c r="Q495" i="30"/>
  <c r="K496" i="30"/>
  <c r="Q496" i="30"/>
  <c r="K497" i="30"/>
  <c r="Q497" i="30"/>
  <c r="K498" i="30"/>
  <c r="Q498" i="30"/>
  <c r="K499" i="30"/>
  <c r="Q499" i="30"/>
  <c r="K500" i="30"/>
  <c r="Q500" i="30"/>
  <c r="K501" i="30"/>
  <c r="Q501" i="30"/>
  <c r="K502" i="30"/>
  <c r="Q502" i="30"/>
  <c r="K503" i="30"/>
  <c r="Q503" i="30"/>
  <c r="K504" i="30"/>
  <c r="Q504" i="30"/>
  <c r="K505" i="30"/>
  <c r="Q505" i="30"/>
  <c r="K506" i="30"/>
  <c r="Q506" i="30"/>
  <c r="K507" i="30"/>
  <c r="Q507" i="30"/>
  <c r="K508" i="30"/>
  <c r="Q508" i="30"/>
  <c r="K509" i="30"/>
  <c r="Q509" i="30"/>
  <c r="K510" i="30"/>
  <c r="Q510" i="30"/>
  <c r="K511" i="30"/>
  <c r="Q511" i="30"/>
  <c r="K512" i="30"/>
  <c r="Q512" i="30"/>
  <c r="K513" i="30"/>
  <c r="Q513" i="30"/>
  <c r="K514" i="30"/>
  <c r="Q514" i="30"/>
  <c r="K515" i="30"/>
  <c r="Q515" i="30"/>
  <c r="K516" i="30"/>
  <c r="Q516" i="30"/>
  <c r="K517" i="30"/>
  <c r="Q517" i="30"/>
  <c r="K518" i="30"/>
  <c r="Q518" i="30"/>
  <c r="K519" i="30"/>
  <c r="Q519" i="30"/>
  <c r="K520" i="30"/>
  <c r="L520" i="30"/>
  <c r="M520" i="30"/>
  <c r="N520" i="30"/>
  <c r="Q520" i="30"/>
  <c r="K521" i="30"/>
  <c r="Q521" i="30"/>
  <c r="K522" i="30"/>
  <c r="Q522" i="30"/>
  <c r="K523" i="30"/>
  <c r="Q523" i="30"/>
  <c r="K524" i="30"/>
  <c r="Q524" i="30"/>
  <c r="K525" i="30"/>
  <c r="M525" i="30"/>
  <c r="N525" i="30"/>
  <c r="Q525" i="30"/>
  <c r="K526" i="30"/>
  <c r="M526" i="30"/>
  <c r="N526" i="30"/>
  <c r="Q526" i="30"/>
  <c r="K527" i="30"/>
  <c r="M527" i="30"/>
  <c r="N527" i="30"/>
  <c r="Q527" i="30"/>
  <c r="K528" i="30"/>
  <c r="M528" i="30"/>
  <c r="N528" i="30"/>
  <c r="Q528" i="30"/>
  <c r="K529" i="30"/>
  <c r="M529" i="30"/>
  <c r="N529" i="30"/>
  <c r="Q529" i="30"/>
  <c r="K530" i="30"/>
  <c r="M530" i="30"/>
  <c r="N530" i="30"/>
  <c r="Q530" i="30"/>
  <c r="K531" i="30"/>
  <c r="M531" i="30"/>
  <c r="N531" i="30"/>
  <c r="Q531" i="30"/>
  <c r="K532" i="30"/>
  <c r="M532" i="30"/>
  <c r="N532" i="30"/>
  <c r="Q532" i="30"/>
  <c r="K533" i="30"/>
  <c r="M533" i="30"/>
  <c r="N533" i="30"/>
  <c r="Q533" i="30"/>
  <c r="K534" i="30"/>
  <c r="M534" i="30"/>
  <c r="N534" i="30"/>
  <c r="Q534" i="30"/>
  <c r="K535" i="30"/>
  <c r="M535" i="30"/>
  <c r="N535" i="30"/>
  <c r="Q535" i="30"/>
  <c r="K536" i="30"/>
  <c r="M536" i="30"/>
  <c r="N536" i="30"/>
  <c r="Q536" i="30"/>
  <c r="K537" i="30"/>
  <c r="M537" i="30"/>
  <c r="N537" i="30"/>
  <c r="Q537" i="30"/>
  <c r="K538" i="30"/>
  <c r="M538" i="30"/>
  <c r="N538" i="30"/>
  <c r="Q538" i="30"/>
  <c r="K539" i="30"/>
  <c r="M539" i="30"/>
  <c r="N539" i="30"/>
  <c r="Q539" i="30"/>
  <c r="K540" i="30"/>
  <c r="M540" i="30"/>
  <c r="N540" i="30"/>
  <c r="Q540" i="30"/>
  <c r="K541" i="30"/>
  <c r="M541" i="30"/>
  <c r="N541" i="30"/>
  <c r="Q541" i="30"/>
  <c r="K542" i="30"/>
  <c r="M542" i="30"/>
  <c r="N542" i="30"/>
  <c r="Q542" i="30"/>
  <c r="K543" i="30"/>
  <c r="M543" i="30"/>
  <c r="N543" i="30"/>
  <c r="Q543" i="30"/>
  <c r="K544" i="30"/>
  <c r="M544" i="30"/>
  <c r="N544" i="30"/>
  <c r="Q544" i="30"/>
  <c r="K545" i="30"/>
  <c r="M545" i="30"/>
  <c r="N545" i="30"/>
  <c r="Q545" i="30"/>
  <c r="K546" i="30"/>
  <c r="M546" i="30"/>
  <c r="N546" i="30"/>
  <c r="Q546" i="30"/>
  <c r="K547" i="30"/>
  <c r="M547" i="30"/>
  <c r="N547" i="30"/>
  <c r="Q547" i="30"/>
  <c r="K548" i="30"/>
  <c r="M548" i="30"/>
  <c r="N548" i="30"/>
  <c r="Q548" i="30"/>
  <c r="K549" i="30"/>
  <c r="M549" i="30"/>
  <c r="N549" i="30"/>
  <c r="Q549" i="30"/>
  <c r="K550" i="30"/>
  <c r="M550" i="30"/>
  <c r="N550" i="30"/>
  <c r="Q550" i="30"/>
  <c r="K551" i="30"/>
  <c r="M551" i="30"/>
  <c r="N551" i="30"/>
  <c r="Q551" i="30"/>
  <c r="K552" i="30"/>
  <c r="M552" i="30"/>
  <c r="N552" i="30"/>
  <c r="Q552" i="30"/>
  <c r="K553" i="30"/>
  <c r="M553" i="30"/>
  <c r="N553" i="30"/>
  <c r="Q553" i="30"/>
  <c r="K554" i="30"/>
  <c r="M554" i="30"/>
  <c r="N554" i="30"/>
  <c r="Q554" i="30"/>
  <c r="K555" i="30"/>
  <c r="M555" i="30"/>
  <c r="N555" i="30"/>
  <c r="Q555" i="30"/>
  <c r="K556" i="30"/>
  <c r="M556" i="30"/>
  <c r="N556" i="30"/>
  <c r="Q556" i="30"/>
  <c r="K557" i="30"/>
  <c r="M557" i="30"/>
  <c r="N557" i="30"/>
  <c r="Q557" i="30"/>
  <c r="K558" i="30"/>
  <c r="M558" i="30"/>
  <c r="N558" i="30"/>
  <c r="Q558" i="30"/>
  <c r="K559" i="30"/>
  <c r="M559" i="30"/>
  <c r="N559" i="30"/>
  <c r="Q559" i="30"/>
  <c r="K560" i="30"/>
  <c r="M560" i="30"/>
  <c r="N560" i="30"/>
  <c r="Q560" i="30"/>
  <c r="K561" i="30"/>
  <c r="M561" i="30"/>
  <c r="N561" i="30"/>
  <c r="Q561" i="30"/>
  <c r="K562" i="30"/>
  <c r="M562" i="30"/>
  <c r="N562" i="30"/>
  <c r="Q562" i="30"/>
  <c r="K563" i="30"/>
  <c r="M563" i="30"/>
  <c r="N563" i="30"/>
  <c r="Q563" i="30"/>
  <c r="K564" i="30"/>
  <c r="M564" i="30"/>
  <c r="N564" i="30"/>
  <c r="Q564" i="30"/>
  <c r="K565" i="30"/>
  <c r="M565" i="30"/>
  <c r="N565" i="30"/>
  <c r="Q565" i="30"/>
  <c r="K566" i="30"/>
  <c r="M566" i="30"/>
  <c r="N566" i="30"/>
  <c r="Q566" i="30"/>
  <c r="K567" i="30"/>
  <c r="M567" i="30"/>
  <c r="N567" i="30"/>
  <c r="Q567" i="30"/>
  <c r="K568" i="30"/>
  <c r="M568" i="30"/>
  <c r="N568" i="30"/>
  <c r="Q568" i="30"/>
  <c r="K569" i="30"/>
  <c r="M569" i="30"/>
  <c r="N569" i="30"/>
  <c r="Q569" i="30"/>
  <c r="K570" i="30"/>
  <c r="M570" i="30"/>
  <c r="N570" i="30"/>
  <c r="Q570" i="30"/>
  <c r="K571" i="30"/>
  <c r="Q571" i="30"/>
  <c r="K572" i="30"/>
  <c r="Q572" i="30"/>
  <c r="K573" i="30"/>
  <c r="Q573" i="30"/>
  <c r="K574" i="30"/>
  <c r="Q574" i="30"/>
  <c r="K575" i="30"/>
  <c r="Q575" i="30"/>
  <c r="K576" i="30"/>
  <c r="Q576" i="30"/>
  <c r="K577" i="30"/>
  <c r="Q577" i="30"/>
  <c r="K578" i="30"/>
  <c r="Q578" i="30"/>
  <c r="K579" i="30"/>
  <c r="Q579" i="30"/>
  <c r="K580" i="30"/>
  <c r="Q580" i="30"/>
  <c r="K581" i="30"/>
  <c r="Q581" i="30"/>
  <c r="K582" i="30"/>
  <c r="Q582" i="30"/>
  <c r="K583" i="30"/>
  <c r="Q583" i="30"/>
  <c r="K584" i="30"/>
  <c r="Q584" i="30"/>
  <c r="K585" i="30"/>
  <c r="Q585" i="30"/>
  <c r="K586" i="30"/>
  <c r="Q586" i="30"/>
  <c r="K587" i="30"/>
  <c r="Q587" i="30"/>
  <c r="K588" i="30"/>
  <c r="Q588" i="30"/>
  <c r="K589" i="30"/>
  <c r="Q589" i="30"/>
  <c r="K590" i="30"/>
  <c r="Q590" i="30"/>
  <c r="K591" i="30"/>
  <c r="Q591" i="30"/>
  <c r="K592" i="30"/>
  <c r="Q592" i="30"/>
  <c r="K593" i="30"/>
  <c r="Q593" i="30"/>
  <c r="K594" i="30"/>
  <c r="Q594" i="30"/>
  <c r="K595" i="30"/>
  <c r="Q595" i="30"/>
  <c r="K596" i="30"/>
  <c r="Q596" i="30"/>
  <c r="K597" i="30"/>
  <c r="Q597" i="30"/>
  <c r="K598" i="30"/>
  <c r="Q598" i="30"/>
  <c r="K599" i="30"/>
  <c r="Q599" i="30"/>
  <c r="K600" i="30"/>
  <c r="Q600" i="30"/>
  <c r="K601" i="30"/>
  <c r="Q601" i="30"/>
  <c r="K602" i="30"/>
  <c r="Q602" i="30"/>
  <c r="K603" i="30"/>
  <c r="Q603" i="30"/>
  <c r="K604" i="30"/>
  <c r="Q604" i="30"/>
  <c r="K605" i="30"/>
  <c r="Q605" i="30"/>
  <c r="K606" i="30"/>
  <c r="Q606" i="30"/>
  <c r="K607" i="30"/>
  <c r="Q607" i="30"/>
  <c r="K608" i="30"/>
  <c r="Q608" i="30"/>
  <c r="K609" i="30"/>
  <c r="Q609" i="30"/>
  <c r="K610" i="30"/>
  <c r="Q610" i="30"/>
  <c r="K611" i="30"/>
  <c r="L611" i="30"/>
  <c r="M611" i="30"/>
  <c r="N611" i="30"/>
  <c r="Q611" i="30"/>
  <c r="K612" i="30"/>
  <c r="L612" i="30"/>
  <c r="M612" i="30"/>
  <c r="N612" i="30"/>
  <c r="Q612" i="30"/>
  <c r="K613" i="30"/>
  <c r="L613" i="30"/>
  <c r="M613" i="30"/>
  <c r="N613" i="30"/>
  <c r="Q613" i="30"/>
  <c r="K614" i="30"/>
  <c r="L614" i="30"/>
  <c r="M614" i="30"/>
  <c r="N614" i="30"/>
  <c r="Q614" i="30"/>
  <c r="K615" i="30"/>
  <c r="L615" i="30"/>
  <c r="M615" i="30"/>
  <c r="N615" i="30"/>
  <c r="Q615" i="30"/>
  <c r="K616" i="30"/>
  <c r="L616" i="30"/>
  <c r="M616" i="30"/>
  <c r="N616" i="30"/>
  <c r="Q616" i="30"/>
  <c r="H64" i="37"/>
  <c r="A63" i="37"/>
  <c r="A64" i="37"/>
  <c r="B64" i="37"/>
  <c r="G11" i="29"/>
  <c r="I11" i="29"/>
  <c r="G12" i="29"/>
  <c r="I12" i="29"/>
  <c r="G13" i="29"/>
  <c r="I13" i="29"/>
  <c r="G14" i="29"/>
  <c r="I14" i="29"/>
  <c r="G15" i="29"/>
  <c r="I15" i="29"/>
  <c r="G25" i="29"/>
  <c r="I25" i="29"/>
  <c r="G26" i="29"/>
  <c r="I26" i="29"/>
  <c r="G27" i="29"/>
  <c r="I27" i="29"/>
  <c r="O442" i="30" l="1"/>
  <c r="P442" i="30" s="1"/>
  <c r="O520" i="30"/>
  <c r="P520" i="30" s="1"/>
  <c r="O433" i="30"/>
  <c r="P433" i="30" s="1"/>
  <c r="O616" i="30"/>
  <c r="P616" i="30" s="1"/>
  <c r="O443" i="30"/>
  <c r="P443" i="30" s="1"/>
  <c r="O436" i="30"/>
  <c r="P436" i="30" s="1"/>
  <c r="O614" i="30"/>
  <c r="P614" i="30" s="1"/>
  <c r="O613" i="30"/>
  <c r="P613" i="30" s="1"/>
  <c r="O615" i="30"/>
  <c r="P615" i="30" s="1"/>
  <c r="O434" i="30"/>
  <c r="P434" i="30" s="1"/>
  <c r="O431" i="30"/>
  <c r="P431" i="30" s="1"/>
  <c r="O441" i="30"/>
  <c r="P441" i="30" s="1"/>
  <c r="O611" i="30"/>
  <c r="P611" i="30" s="1"/>
  <c r="O612" i="30"/>
  <c r="P612" i="30" s="1"/>
  <c r="O437" i="30"/>
  <c r="P437" i="30" s="1"/>
  <c r="O435" i="30"/>
  <c r="P435" i="30" s="1"/>
  <c r="O440" i="30"/>
  <c r="P440" i="30" s="1"/>
  <c r="O438" i="30"/>
  <c r="P438" i="30" s="1"/>
  <c r="O432" i="30"/>
  <c r="P432" i="30" s="1"/>
  <c r="O439" i="30"/>
  <c r="P439" i="30" s="1"/>
  <c r="I5" i="4"/>
  <c r="I4" i="4"/>
  <c r="H5" i="4"/>
  <c r="H4" i="4"/>
  <c r="G5" i="4"/>
  <c r="G4" i="4"/>
  <c r="F5" i="4"/>
  <c r="F4" i="4"/>
  <c r="Q262" i="30"/>
  <c r="K262" i="30"/>
  <c r="J262" i="30"/>
  <c r="Q261" i="30"/>
  <c r="K261" i="30"/>
  <c r="J261" i="30"/>
  <c r="Q260" i="30"/>
  <c r="K260" i="30"/>
  <c r="J260" i="30"/>
  <c r="Q259" i="30"/>
  <c r="K259" i="30"/>
  <c r="J259" i="30"/>
  <c r="Q258" i="30"/>
  <c r="K258" i="30"/>
  <c r="J258" i="30"/>
  <c r="Q257" i="30"/>
  <c r="K257" i="30"/>
  <c r="J257" i="30"/>
  <c r="Q256" i="30"/>
  <c r="K256" i="30"/>
  <c r="J256" i="30"/>
  <c r="Q255" i="30"/>
  <c r="K255" i="30"/>
  <c r="J255" i="30"/>
  <c r="Q254" i="30"/>
  <c r="K254" i="30"/>
  <c r="J254" i="30"/>
  <c r="Q253" i="30"/>
  <c r="K253" i="30"/>
  <c r="J253" i="30"/>
  <c r="Q252" i="30"/>
  <c r="K252" i="30"/>
  <c r="J252" i="30"/>
  <c r="Q251" i="30"/>
  <c r="K251" i="30"/>
  <c r="J251" i="30"/>
  <c r="Q250" i="30"/>
  <c r="K250" i="30"/>
  <c r="J250" i="30"/>
  <c r="Q249" i="30"/>
  <c r="K249" i="30"/>
  <c r="J249" i="30"/>
  <c r="Q248" i="30"/>
  <c r="K248" i="30"/>
  <c r="J248" i="30"/>
  <c r="Q247" i="30"/>
  <c r="N247" i="30"/>
  <c r="M247" i="30"/>
  <c r="L247" i="30"/>
  <c r="K247" i="30"/>
  <c r="J247" i="30"/>
  <c r="Q246" i="30"/>
  <c r="K246" i="30"/>
  <c r="J246" i="30"/>
  <c r="Q245" i="30"/>
  <c r="K245" i="30"/>
  <c r="J245" i="30"/>
  <c r="Q244" i="30"/>
  <c r="K244" i="30"/>
  <c r="J244" i="30"/>
  <c r="Q243" i="30"/>
  <c r="K243" i="30"/>
  <c r="J243" i="30"/>
  <c r="Q242" i="30"/>
  <c r="K242" i="30"/>
  <c r="J242" i="30"/>
  <c r="Q241" i="30"/>
  <c r="K241" i="30"/>
  <c r="J241" i="30"/>
  <c r="Q240" i="30"/>
  <c r="K240" i="30"/>
  <c r="J240" i="30"/>
  <c r="Q239" i="30"/>
  <c r="K239" i="30"/>
  <c r="J239" i="30"/>
  <c r="Q238" i="30"/>
  <c r="K238" i="30"/>
  <c r="J238" i="30"/>
  <c r="Q237" i="30"/>
  <c r="K237" i="30"/>
  <c r="J237" i="30"/>
  <c r="Q236" i="30"/>
  <c r="K236" i="30"/>
  <c r="J236" i="30"/>
  <c r="Q235" i="30"/>
  <c r="K235" i="30"/>
  <c r="J235" i="30"/>
  <c r="Q234" i="30"/>
  <c r="K234" i="30"/>
  <c r="J234" i="30"/>
  <c r="Q233" i="30"/>
  <c r="K233" i="30"/>
  <c r="J233" i="30"/>
  <c r="Q232" i="30"/>
  <c r="K232" i="30"/>
  <c r="J232" i="30"/>
  <c r="Q231" i="30"/>
  <c r="K231" i="30"/>
  <c r="J231" i="30"/>
  <c r="Q230" i="30"/>
  <c r="K230" i="30"/>
  <c r="J230" i="30"/>
  <c r="Q229" i="30"/>
  <c r="K229" i="30"/>
  <c r="J229" i="30"/>
  <c r="Q228" i="30"/>
  <c r="K228" i="30"/>
  <c r="J228" i="30"/>
  <c r="Q227" i="30"/>
  <c r="K227" i="30"/>
  <c r="J227" i="30"/>
  <c r="Q226" i="30"/>
  <c r="K226" i="30"/>
  <c r="J226" i="30"/>
  <c r="Q225" i="30"/>
  <c r="K225" i="30"/>
  <c r="J225" i="30"/>
  <c r="Q224" i="30"/>
  <c r="K224" i="30"/>
  <c r="J224" i="30"/>
  <c r="Q223" i="30"/>
  <c r="K223" i="30"/>
  <c r="J223" i="30"/>
  <c r="Q222" i="30"/>
  <c r="K222" i="30"/>
  <c r="J222" i="30"/>
  <c r="Q221" i="30"/>
  <c r="K221" i="30"/>
  <c r="J221" i="30"/>
  <c r="Q220" i="30"/>
  <c r="K220" i="30"/>
  <c r="J220" i="30"/>
  <c r="Q219" i="30"/>
  <c r="K219" i="30"/>
  <c r="J219" i="30"/>
  <c r="Q218" i="30"/>
  <c r="K218" i="30"/>
  <c r="J218" i="30"/>
  <c r="Q217" i="30"/>
  <c r="K217" i="30"/>
  <c r="J217" i="30"/>
  <c r="Q216" i="30"/>
  <c r="K216" i="30"/>
  <c r="J216" i="30"/>
  <c r="Q215" i="30"/>
  <c r="K215" i="30"/>
  <c r="J215" i="30"/>
  <c r="Q214" i="30"/>
  <c r="K214" i="30"/>
  <c r="J214" i="30"/>
  <c r="Q213" i="30"/>
  <c r="K213" i="30"/>
  <c r="J213" i="30"/>
  <c r="Q212" i="30"/>
  <c r="K212" i="30"/>
  <c r="J212" i="30"/>
  <c r="Q211" i="30"/>
  <c r="K211" i="30"/>
  <c r="J211" i="30"/>
  <c r="Q210" i="30"/>
  <c r="K210" i="30"/>
  <c r="J210" i="30"/>
  <c r="Q209" i="30"/>
  <c r="K209" i="30"/>
  <c r="J209" i="30"/>
  <c r="Q208" i="30"/>
  <c r="K208" i="30"/>
  <c r="J208" i="30"/>
  <c r="Q207" i="30"/>
  <c r="N207" i="30"/>
  <c r="M207" i="30"/>
  <c r="K207" i="30"/>
  <c r="J207" i="30"/>
  <c r="Q206" i="30"/>
  <c r="N206" i="30"/>
  <c r="M206" i="30"/>
  <c r="K206" i="30"/>
  <c r="J206" i="30"/>
  <c r="Q205" i="30"/>
  <c r="N205" i="30"/>
  <c r="M205" i="30"/>
  <c r="K205" i="30"/>
  <c r="J205" i="30"/>
  <c r="Q204" i="30"/>
  <c r="N204" i="30"/>
  <c r="M204" i="30"/>
  <c r="K204" i="30"/>
  <c r="J204" i="30"/>
  <c r="Q203" i="30"/>
  <c r="N203" i="30"/>
  <c r="M203" i="30"/>
  <c r="K203" i="30"/>
  <c r="J203" i="30"/>
  <c r="Q202" i="30"/>
  <c r="N202" i="30"/>
  <c r="M202" i="30"/>
  <c r="K202" i="30"/>
  <c r="J202" i="30"/>
  <c r="Q201" i="30"/>
  <c r="N201" i="30"/>
  <c r="M201" i="30"/>
  <c r="K201" i="30"/>
  <c r="J201" i="30"/>
  <c r="Q200" i="30"/>
  <c r="N200" i="30"/>
  <c r="M200" i="30"/>
  <c r="K200" i="30"/>
  <c r="J200" i="30"/>
  <c r="Q199" i="30"/>
  <c r="N199" i="30"/>
  <c r="M199" i="30"/>
  <c r="K199" i="30"/>
  <c r="J199" i="30"/>
  <c r="Q198" i="30"/>
  <c r="N198" i="30"/>
  <c r="M198" i="30"/>
  <c r="K198" i="30"/>
  <c r="J198" i="30"/>
  <c r="Q197" i="30"/>
  <c r="N197" i="30"/>
  <c r="M197" i="30"/>
  <c r="K197" i="30"/>
  <c r="J197" i="30"/>
  <c r="Q196" i="30"/>
  <c r="N196" i="30"/>
  <c r="M196" i="30"/>
  <c r="K196" i="30"/>
  <c r="J196" i="30"/>
  <c r="Q195" i="30"/>
  <c r="N195" i="30"/>
  <c r="M195" i="30"/>
  <c r="K195" i="30"/>
  <c r="J195" i="30"/>
  <c r="Q194" i="30"/>
  <c r="N194" i="30"/>
  <c r="M194" i="30"/>
  <c r="K194" i="30"/>
  <c r="J194" i="30"/>
  <c r="Q193" i="30"/>
  <c r="N193" i="30"/>
  <c r="M193" i="30"/>
  <c r="K193" i="30"/>
  <c r="J193" i="30"/>
  <c r="Q192" i="30"/>
  <c r="N192" i="30"/>
  <c r="M192" i="30"/>
  <c r="K192" i="30"/>
  <c r="J192" i="30"/>
  <c r="Q191" i="30"/>
  <c r="N191" i="30"/>
  <c r="M191" i="30"/>
  <c r="K191" i="30"/>
  <c r="J191" i="30"/>
  <c r="Q190" i="30"/>
  <c r="N190" i="30"/>
  <c r="M190" i="30"/>
  <c r="K190" i="30"/>
  <c r="J190" i="30"/>
  <c r="Q189" i="30"/>
  <c r="N189" i="30"/>
  <c r="M189" i="30"/>
  <c r="K189" i="30"/>
  <c r="J189" i="30"/>
  <c r="Q188" i="30"/>
  <c r="K188" i="30"/>
  <c r="J188" i="30"/>
  <c r="Q187" i="30"/>
  <c r="K187" i="30"/>
  <c r="J187" i="30"/>
  <c r="Q186" i="30"/>
  <c r="K186" i="30"/>
  <c r="J186" i="30"/>
  <c r="Q185" i="30"/>
  <c r="K185" i="30"/>
  <c r="J185" i="30"/>
  <c r="Q184" i="30"/>
  <c r="K184" i="30"/>
  <c r="J184" i="30"/>
  <c r="Q183" i="30"/>
  <c r="K183" i="30"/>
  <c r="J183" i="30"/>
  <c r="Q182" i="30"/>
  <c r="K182" i="30"/>
  <c r="J182" i="30"/>
  <c r="Q181" i="30"/>
  <c r="K181" i="30"/>
  <c r="J181" i="30"/>
  <c r="Q180" i="30"/>
  <c r="K180" i="30"/>
  <c r="J180" i="30"/>
  <c r="Q179" i="30"/>
  <c r="K179" i="30"/>
  <c r="J179" i="30"/>
  <c r="Q178" i="30"/>
  <c r="K178" i="30"/>
  <c r="J178" i="30"/>
  <c r="Q177" i="30"/>
  <c r="K177" i="30"/>
  <c r="J177" i="30"/>
  <c r="Q176" i="30"/>
  <c r="K176" i="30"/>
  <c r="J176" i="30"/>
  <c r="Q175" i="30"/>
  <c r="N175" i="30"/>
  <c r="M175" i="30"/>
  <c r="K175" i="30"/>
  <c r="J175" i="30"/>
  <c r="Q174" i="30"/>
  <c r="N174" i="30"/>
  <c r="M174" i="30"/>
  <c r="K174" i="30"/>
  <c r="J174" i="30"/>
  <c r="Q173" i="30"/>
  <c r="N173" i="30"/>
  <c r="M173" i="30"/>
  <c r="K173" i="30"/>
  <c r="J173" i="30"/>
  <c r="Q172" i="30"/>
  <c r="N172" i="30"/>
  <c r="M172" i="30"/>
  <c r="K172" i="30"/>
  <c r="J172" i="30"/>
  <c r="Q171" i="30"/>
  <c r="N171" i="30"/>
  <c r="M171" i="30"/>
  <c r="K171" i="30"/>
  <c r="J171" i="30"/>
  <c r="Q170" i="30"/>
  <c r="N170" i="30"/>
  <c r="M170" i="30"/>
  <c r="K170" i="30"/>
  <c r="J170" i="30"/>
  <c r="Q169" i="30"/>
  <c r="N169" i="30"/>
  <c r="M169" i="30"/>
  <c r="K169" i="30"/>
  <c r="J169" i="30"/>
  <c r="Q168" i="30"/>
  <c r="N168" i="30"/>
  <c r="M168" i="30"/>
  <c r="K168" i="30"/>
  <c r="J168" i="30"/>
  <c r="Q167" i="30"/>
  <c r="N167" i="30"/>
  <c r="M167" i="30"/>
  <c r="K167" i="30"/>
  <c r="J167" i="30"/>
  <c r="Q166" i="30"/>
  <c r="N166" i="30"/>
  <c r="M166" i="30"/>
  <c r="K166" i="30"/>
  <c r="J166" i="30"/>
  <c r="Q165" i="30"/>
  <c r="N165" i="30"/>
  <c r="M165" i="30"/>
  <c r="K165" i="30"/>
  <c r="J165" i="30"/>
  <c r="Q164" i="30"/>
  <c r="N164" i="30"/>
  <c r="M164" i="30"/>
  <c r="K164" i="30"/>
  <c r="J164" i="30"/>
  <c r="Q163" i="30"/>
  <c r="N163" i="30"/>
  <c r="M163" i="30"/>
  <c r="K163" i="30"/>
  <c r="J163" i="30"/>
  <c r="Q162" i="30"/>
  <c r="N162" i="30"/>
  <c r="M162" i="30"/>
  <c r="K162" i="30"/>
  <c r="J162" i="30"/>
  <c r="Q161" i="30"/>
  <c r="N161" i="30"/>
  <c r="M161" i="30"/>
  <c r="K161" i="30"/>
  <c r="J161" i="30"/>
  <c r="Q160" i="30"/>
  <c r="N160" i="30"/>
  <c r="M160" i="30"/>
  <c r="K160" i="30"/>
  <c r="J160" i="30"/>
  <c r="Q159" i="30"/>
  <c r="N159" i="30"/>
  <c r="M159" i="30"/>
  <c r="K159" i="30"/>
  <c r="J159" i="30"/>
  <c r="Q158" i="30"/>
  <c r="N158" i="30"/>
  <c r="M158" i="30"/>
  <c r="K158" i="30"/>
  <c r="J158" i="30"/>
  <c r="Q157" i="30"/>
  <c r="N157" i="30"/>
  <c r="M157" i="30"/>
  <c r="K157" i="30"/>
  <c r="J157" i="30"/>
  <c r="Q156" i="30"/>
  <c r="N156" i="30"/>
  <c r="M156" i="30"/>
  <c r="K156" i="30"/>
  <c r="J156" i="30"/>
  <c r="Q155" i="30"/>
  <c r="N155" i="30"/>
  <c r="M155" i="30"/>
  <c r="K155" i="30"/>
  <c r="J155" i="30"/>
  <c r="Q154" i="30"/>
  <c r="N154" i="30"/>
  <c r="M154" i="30"/>
  <c r="K154" i="30"/>
  <c r="J154" i="30"/>
  <c r="Q153" i="30"/>
  <c r="N153" i="30"/>
  <c r="M153" i="30"/>
  <c r="K153" i="30"/>
  <c r="J153" i="30"/>
  <c r="Q152" i="30"/>
  <c r="N152" i="30"/>
  <c r="M152" i="30"/>
  <c r="K152" i="30"/>
  <c r="J152" i="30"/>
  <c r="Q151" i="30"/>
  <c r="N151" i="30"/>
  <c r="M151" i="30"/>
  <c r="K151" i="30"/>
  <c r="J151" i="30"/>
  <c r="Q150" i="30"/>
  <c r="N150" i="30"/>
  <c r="M150" i="30"/>
  <c r="K150" i="30"/>
  <c r="J150" i="30"/>
  <c r="Q149" i="30"/>
  <c r="N149" i="30"/>
  <c r="M149" i="30"/>
  <c r="K149" i="30"/>
  <c r="J149" i="30"/>
  <c r="Q148" i="30"/>
  <c r="N148" i="30"/>
  <c r="M148" i="30"/>
  <c r="K148" i="30"/>
  <c r="J148" i="30"/>
  <c r="Q147" i="30"/>
  <c r="N147" i="30"/>
  <c r="M147" i="30"/>
  <c r="K147" i="30"/>
  <c r="J147" i="30"/>
  <c r="Q146" i="30"/>
  <c r="N146" i="30"/>
  <c r="M146" i="30"/>
  <c r="K146" i="30"/>
  <c r="J146" i="30"/>
  <c r="Q145" i="30"/>
  <c r="N145" i="30"/>
  <c r="M145" i="30"/>
  <c r="K145" i="30"/>
  <c r="J145" i="30"/>
  <c r="Q144" i="30"/>
  <c r="N144" i="30"/>
  <c r="M144" i="30"/>
  <c r="K144" i="30"/>
  <c r="J144" i="30"/>
  <c r="Q143" i="30"/>
  <c r="N143" i="30"/>
  <c r="M143" i="30"/>
  <c r="K143" i="30"/>
  <c r="J143" i="30"/>
  <c r="J12" i="30"/>
  <c r="K12" i="30"/>
  <c r="M12" i="30"/>
  <c r="N12" i="30"/>
  <c r="Q12" i="30"/>
  <c r="L39" i="29"/>
  <c r="L38" i="29"/>
  <c r="L37" i="29"/>
  <c r="L36" i="29"/>
  <c r="L35" i="29"/>
  <c r="L34" i="29"/>
  <c r="L33" i="29"/>
  <c r="L32" i="29"/>
  <c r="L31" i="29"/>
  <c r="L30" i="29"/>
  <c r="L29" i="29"/>
  <c r="L28" i="29"/>
  <c r="L27" i="29"/>
  <c r="L26" i="29"/>
  <c r="L25" i="29"/>
  <c r="L24" i="29"/>
  <c r="L23" i="29"/>
  <c r="L22" i="29"/>
  <c r="L21" i="29"/>
  <c r="L20" i="29"/>
  <c r="L19" i="29"/>
  <c r="L18" i="29"/>
  <c r="L17" i="29"/>
  <c r="L16" i="29"/>
  <c r="L15" i="29"/>
  <c r="L14" i="29"/>
  <c r="L13" i="29"/>
  <c r="L12" i="29"/>
  <c r="L11" i="29"/>
  <c r="L10" i="29"/>
  <c r="L9" i="29"/>
  <c r="L8" i="29"/>
  <c r="L7" i="29"/>
  <c r="L6" i="29"/>
  <c r="L5" i="29"/>
  <c r="L4" i="29"/>
  <c r="L102" i="30"/>
  <c r="H21" i="39"/>
  <c r="H20" i="39"/>
  <c r="H18" i="39"/>
  <c r="H17" i="39"/>
  <c r="H16" i="39"/>
  <c r="H15" i="39"/>
  <c r="H14" i="39"/>
  <c r="H12" i="39"/>
  <c r="H11" i="39"/>
  <c r="H8" i="39"/>
  <c r="H3" i="39"/>
  <c r="C5" i="35"/>
  <c r="D5" i="35"/>
  <c r="E5" i="35"/>
  <c r="F5" i="35"/>
  <c r="G5" i="35"/>
  <c r="H5" i="35"/>
  <c r="I5" i="35"/>
  <c r="J5" i="35"/>
  <c r="K5" i="35"/>
  <c r="L5" i="35"/>
  <c r="M5" i="35"/>
  <c r="N5" i="35"/>
  <c r="O5" i="35"/>
  <c r="P5" i="35"/>
  <c r="K4" i="30"/>
  <c r="G3" i="39"/>
  <c r="S3" i="39" s="1"/>
  <c r="F167" i="9"/>
  <c r="G167" i="9"/>
  <c r="H167" i="9"/>
  <c r="I167" i="9"/>
  <c r="J167" i="9"/>
  <c r="K167" i="9"/>
  <c r="L167" i="9"/>
  <c r="M167" i="9"/>
  <c r="N167" i="9"/>
  <c r="O167" i="9"/>
  <c r="P167" i="9"/>
  <c r="Q167" i="9"/>
  <c r="R167" i="9"/>
  <c r="S167" i="9"/>
  <c r="T167" i="9"/>
  <c r="U167" i="9"/>
  <c r="V167" i="9"/>
  <c r="W167" i="9"/>
  <c r="X167" i="9"/>
  <c r="Y167" i="9"/>
  <c r="Z167" i="9"/>
  <c r="F168" i="9"/>
  <c r="G168" i="9"/>
  <c r="H168" i="9"/>
  <c r="I168" i="9"/>
  <c r="J168" i="9"/>
  <c r="K168" i="9"/>
  <c r="L168" i="9"/>
  <c r="M168" i="9"/>
  <c r="N168" i="9"/>
  <c r="O168" i="9"/>
  <c r="P168" i="9"/>
  <c r="Q168" i="9"/>
  <c r="R168" i="9"/>
  <c r="S168" i="9"/>
  <c r="T168" i="9"/>
  <c r="U168" i="9"/>
  <c r="V168" i="9"/>
  <c r="W168" i="9"/>
  <c r="X168" i="9"/>
  <c r="Y168" i="9"/>
  <c r="Z168" i="9"/>
  <c r="F169" i="9"/>
  <c r="G169" i="9"/>
  <c r="H169" i="9"/>
  <c r="I169" i="9"/>
  <c r="J169" i="9"/>
  <c r="K169" i="9"/>
  <c r="L169" i="9"/>
  <c r="M169" i="9"/>
  <c r="N169" i="9"/>
  <c r="O169" i="9"/>
  <c r="P169" i="9"/>
  <c r="Q169" i="9"/>
  <c r="R169" i="9"/>
  <c r="S169" i="9"/>
  <c r="T169" i="9"/>
  <c r="U169" i="9"/>
  <c r="V169" i="9"/>
  <c r="W169" i="9"/>
  <c r="X169" i="9"/>
  <c r="Y169" i="9"/>
  <c r="Z169" i="9"/>
  <c r="F170" i="9"/>
  <c r="G170" i="9"/>
  <c r="H170" i="9"/>
  <c r="I170" i="9"/>
  <c r="J170" i="9"/>
  <c r="K170" i="9"/>
  <c r="L170" i="9"/>
  <c r="M170" i="9"/>
  <c r="N170" i="9"/>
  <c r="O170" i="9"/>
  <c r="P170" i="9"/>
  <c r="Q170" i="9"/>
  <c r="R170" i="9"/>
  <c r="S170" i="9"/>
  <c r="T170" i="9"/>
  <c r="U170" i="9"/>
  <c r="V170" i="9"/>
  <c r="W170" i="9"/>
  <c r="X170" i="9"/>
  <c r="Y170" i="9"/>
  <c r="Z170" i="9"/>
  <c r="F157" i="9"/>
  <c r="G157" i="9"/>
  <c r="H157" i="9"/>
  <c r="I157" i="9"/>
  <c r="J157" i="9"/>
  <c r="K157" i="9"/>
  <c r="L157" i="9"/>
  <c r="M157" i="9"/>
  <c r="N157" i="9"/>
  <c r="O157" i="9"/>
  <c r="P157" i="9"/>
  <c r="Q157" i="9"/>
  <c r="R157" i="9"/>
  <c r="S157" i="9"/>
  <c r="T157" i="9"/>
  <c r="U157" i="9"/>
  <c r="V157" i="9"/>
  <c r="W157" i="9"/>
  <c r="X157" i="9"/>
  <c r="Y157" i="9"/>
  <c r="Z157" i="9"/>
  <c r="F158" i="9"/>
  <c r="G158" i="9"/>
  <c r="H158" i="9"/>
  <c r="I158" i="9"/>
  <c r="J158" i="9"/>
  <c r="K158" i="9"/>
  <c r="L158" i="9"/>
  <c r="M158" i="9"/>
  <c r="N158" i="9"/>
  <c r="O158" i="9"/>
  <c r="P158" i="9"/>
  <c r="Q158" i="9"/>
  <c r="R158" i="9"/>
  <c r="S158" i="9"/>
  <c r="T158" i="9"/>
  <c r="U158" i="9"/>
  <c r="V158" i="9"/>
  <c r="W158" i="9"/>
  <c r="X158" i="9"/>
  <c r="Y158" i="9"/>
  <c r="Z158" i="9"/>
  <c r="F159" i="9"/>
  <c r="G159" i="9"/>
  <c r="H159" i="9"/>
  <c r="I159" i="9"/>
  <c r="J159" i="9"/>
  <c r="K159" i="9"/>
  <c r="L159" i="9"/>
  <c r="M159" i="9"/>
  <c r="N159" i="9"/>
  <c r="O159" i="9"/>
  <c r="P159" i="9"/>
  <c r="Q159" i="9"/>
  <c r="R159" i="9"/>
  <c r="S159" i="9"/>
  <c r="T159" i="9"/>
  <c r="U159" i="9"/>
  <c r="V159" i="9"/>
  <c r="W159" i="9"/>
  <c r="X159" i="9"/>
  <c r="Y159" i="9"/>
  <c r="Z159" i="9"/>
  <c r="F160" i="9"/>
  <c r="G160" i="9"/>
  <c r="H160" i="9"/>
  <c r="I160" i="9"/>
  <c r="J160" i="9"/>
  <c r="K160" i="9"/>
  <c r="L160" i="9"/>
  <c r="M160" i="9"/>
  <c r="N160" i="9"/>
  <c r="O160" i="9"/>
  <c r="P160" i="9"/>
  <c r="Q160" i="9"/>
  <c r="R160" i="9"/>
  <c r="S160" i="9"/>
  <c r="T160" i="9"/>
  <c r="U160" i="9"/>
  <c r="V160" i="9"/>
  <c r="W160" i="9"/>
  <c r="X160" i="9"/>
  <c r="Y160" i="9"/>
  <c r="Z160" i="9"/>
  <c r="BA14" i="20"/>
  <c r="AZ14" i="20"/>
  <c r="AY14" i="20"/>
  <c r="AX14" i="20"/>
  <c r="AW14" i="20"/>
  <c r="AV14" i="20"/>
  <c r="AU14" i="20"/>
  <c r="AT14" i="20"/>
  <c r="AS14" i="20"/>
  <c r="AR14" i="20"/>
  <c r="AQ14" i="20"/>
  <c r="AP14" i="20"/>
  <c r="AO14" i="20"/>
  <c r="AN14" i="20"/>
  <c r="AM14" i="20"/>
  <c r="AL14" i="20"/>
  <c r="AK14" i="20"/>
  <c r="AJ14" i="20"/>
  <c r="AI14" i="20"/>
  <c r="AH14" i="20"/>
  <c r="AG14" i="20"/>
  <c r="H2" i="10"/>
  <c r="H5" i="10" s="1"/>
  <c r="G2" i="10"/>
  <c r="G7" i="10" s="1"/>
  <c r="G5" i="10"/>
  <c r="G8" i="10"/>
  <c r="G10" i="10"/>
  <c r="G11" i="10"/>
  <c r="G12" i="10"/>
  <c r="G14" i="10"/>
  <c r="G15" i="10"/>
  <c r="G16" i="10"/>
  <c r="G17" i="10"/>
  <c r="G19" i="10"/>
  <c r="G20" i="10"/>
  <c r="G21" i="10"/>
  <c r="G23" i="10"/>
  <c r="G24" i="10"/>
  <c r="H2" i="9"/>
  <c r="H7" i="9" s="1"/>
  <c r="G2" i="9"/>
  <c r="G10" i="9" s="1"/>
  <c r="F2" i="10"/>
  <c r="F11" i="10" s="1"/>
  <c r="F2" i="9"/>
  <c r="G2" i="3" s="1"/>
  <c r="A2" i="14" s="1"/>
  <c r="BR66" i="3"/>
  <c r="K67" i="3" s="1"/>
  <c r="BR45" i="3"/>
  <c r="BR35" i="3"/>
  <c r="BR126" i="3"/>
  <c r="K127" i="3" s="1"/>
  <c r="G40" i="37"/>
  <c r="S11" i="37" s="1"/>
  <c r="G41" i="37"/>
  <c r="S13" i="37" s="1"/>
  <c r="G42" i="37"/>
  <c r="S14" i="37" s="1"/>
  <c r="H42" i="37"/>
  <c r="G43" i="37"/>
  <c r="S16" i="37" s="1"/>
  <c r="H43" i="37"/>
  <c r="G44" i="37"/>
  <c r="S10" i="37" s="1"/>
  <c r="G45" i="37"/>
  <c r="H45" i="37"/>
  <c r="G46" i="37"/>
  <c r="H46" i="37"/>
  <c r="G47" i="37"/>
  <c r="H47" i="37"/>
  <c r="G48" i="37"/>
  <c r="H48" i="37"/>
  <c r="G49" i="37"/>
  <c r="H49" i="37"/>
  <c r="G50" i="37"/>
  <c r="H50" i="37"/>
  <c r="G51" i="37"/>
  <c r="H51" i="37"/>
  <c r="G52" i="37"/>
  <c r="H52" i="37"/>
  <c r="G53" i="37"/>
  <c r="H53" i="37"/>
  <c r="G54" i="37"/>
  <c r="H54" i="37"/>
  <c r="G55" i="37"/>
  <c r="H55" i="37"/>
  <c r="G56" i="37"/>
  <c r="H56" i="37"/>
  <c r="G57" i="37"/>
  <c r="H57" i="37"/>
  <c r="G58" i="37"/>
  <c r="H58" i="37"/>
  <c r="G59" i="37"/>
  <c r="H59" i="37"/>
  <c r="G60" i="37"/>
  <c r="H60" i="37"/>
  <c r="G61" i="37"/>
  <c r="H61" i="37"/>
  <c r="G62" i="37"/>
  <c r="H62" i="37"/>
  <c r="L42" i="29"/>
  <c r="K42" i="29"/>
  <c r="K43" i="29"/>
  <c r="L43" i="29"/>
  <c r="L41" i="29"/>
  <c r="L44" i="29"/>
  <c r="L45" i="29"/>
  <c r="L46" i="29"/>
  <c r="L47" i="29"/>
  <c r="L48" i="29"/>
  <c r="L49" i="29"/>
  <c r="L50" i="29"/>
  <c r="L51" i="29"/>
  <c r="L52" i="29"/>
  <c r="L53" i="29"/>
  <c r="L54" i="29"/>
  <c r="L55" i="29"/>
  <c r="L56" i="29"/>
  <c r="L57" i="29"/>
  <c r="L58" i="29"/>
  <c r="L59" i="29"/>
  <c r="L60" i="29"/>
  <c r="L61" i="29"/>
  <c r="L62" i="29"/>
  <c r="L63" i="29"/>
  <c r="L64" i="29"/>
  <c r="M64" i="29" s="1"/>
  <c r="X5" i="6"/>
  <c r="X4" i="6"/>
  <c r="Q20" i="37"/>
  <c r="R20" i="37" s="1"/>
  <c r="G4" i="37"/>
  <c r="G16" i="37"/>
  <c r="S12" i="37" s="1"/>
  <c r="G5" i="33"/>
  <c r="G6" i="33"/>
  <c r="G7" i="33"/>
  <c r="G8" i="33"/>
  <c r="G9" i="33"/>
  <c r="G10" i="33"/>
  <c r="G11" i="33"/>
  <c r="G12" i="33"/>
  <c r="G13" i="33"/>
  <c r="G14" i="33"/>
  <c r="G15" i="33"/>
  <c r="G16" i="33"/>
  <c r="G17" i="33"/>
  <c r="K3" i="30"/>
  <c r="K5" i="30"/>
  <c r="K6" i="30"/>
  <c r="K7" i="30"/>
  <c r="K8" i="30"/>
  <c r="K9" i="30"/>
  <c r="K10" i="30"/>
  <c r="K11" i="30"/>
  <c r="G5" i="37"/>
  <c r="G6" i="37"/>
  <c r="G7" i="37"/>
  <c r="G8" i="37"/>
  <c r="G9" i="37"/>
  <c r="H9" i="37"/>
  <c r="G10" i="37"/>
  <c r="H10" i="37"/>
  <c r="G11" i="37"/>
  <c r="H11" i="37"/>
  <c r="G12" i="37"/>
  <c r="H12" i="37"/>
  <c r="G13" i="37"/>
  <c r="H13" i="37"/>
  <c r="G14" i="37"/>
  <c r="H14" i="37"/>
  <c r="G15" i="37"/>
  <c r="H15" i="37"/>
  <c r="G17" i="37"/>
  <c r="G18" i="37"/>
  <c r="G19" i="37"/>
  <c r="G20" i="37"/>
  <c r="G21" i="37"/>
  <c r="H21" i="37"/>
  <c r="G22" i="37"/>
  <c r="H22" i="37"/>
  <c r="G23" i="37"/>
  <c r="H23" i="37"/>
  <c r="G24" i="37"/>
  <c r="H24" i="37"/>
  <c r="G25" i="37"/>
  <c r="H25" i="37"/>
  <c r="G26" i="37"/>
  <c r="H26" i="37"/>
  <c r="G27" i="37"/>
  <c r="H27" i="37"/>
  <c r="G28" i="37"/>
  <c r="G29" i="37"/>
  <c r="G30" i="37"/>
  <c r="G31" i="37"/>
  <c r="G32" i="37"/>
  <c r="G33" i="37"/>
  <c r="H33" i="37"/>
  <c r="G34" i="37"/>
  <c r="H34" i="37"/>
  <c r="G35" i="37"/>
  <c r="H35" i="37"/>
  <c r="G36" i="37"/>
  <c r="H36" i="37"/>
  <c r="G37" i="37"/>
  <c r="H37" i="37"/>
  <c r="G38" i="37"/>
  <c r="H38" i="37"/>
  <c r="G39" i="37"/>
  <c r="H39" i="37"/>
  <c r="K41" i="29"/>
  <c r="S27" i="37"/>
  <c r="S21" i="37"/>
  <c r="T15" i="37"/>
  <c r="T17" i="37"/>
  <c r="T18" i="37"/>
  <c r="T22" i="37"/>
  <c r="T23" i="37"/>
  <c r="T24" i="37"/>
  <c r="T25" i="37"/>
  <c r="T26" i="37"/>
  <c r="S15" i="37"/>
  <c r="S17" i="37"/>
  <c r="S18" i="37"/>
  <c r="S19" i="37"/>
  <c r="S22" i="37"/>
  <c r="S23" i="37"/>
  <c r="S24" i="37"/>
  <c r="S25" i="37"/>
  <c r="S26" i="37"/>
  <c r="U27" i="37"/>
  <c r="Q27" i="37"/>
  <c r="R27" i="37" s="1"/>
  <c r="U26" i="37"/>
  <c r="Q26" i="37"/>
  <c r="R26" i="37" s="1"/>
  <c r="U5" i="37"/>
  <c r="U6" i="37"/>
  <c r="U7" i="37"/>
  <c r="U8" i="37"/>
  <c r="U9" i="37"/>
  <c r="U10" i="37"/>
  <c r="U11" i="37"/>
  <c r="U12" i="37"/>
  <c r="U13" i="37"/>
  <c r="U14" i="37"/>
  <c r="U15" i="37"/>
  <c r="U16" i="37"/>
  <c r="U17" i="37"/>
  <c r="U18" i="37"/>
  <c r="U19" i="37"/>
  <c r="U20" i="37"/>
  <c r="U21" i="37"/>
  <c r="U22" i="37"/>
  <c r="U23" i="37"/>
  <c r="U24" i="37"/>
  <c r="U25" i="37"/>
  <c r="U4" i="37"/>
  <c r="Q5" i="37"/>
  <c r="R5" i="37" s="1"/>
  <c r="H19" i="37" s="1"/>
  <c r="Q6" i="37"/>
  <c r="R6" i="37" s="1"/>
  <c r="H28" i="37" s="1"/>
  <c r="Q7" i="37"/>
  <c r="R7" i="37" s="1"/>
  <c r="H29" i="37" s="1"/>
  <c r="Q8" i="37"/>
  <c r="R8" i="37" s="1"/>
  <c r="H6" i="37" s="1"/>
  <c r="Q9" i="37"/>
  <c r="R9" i="37" s="1"/>
  <c r="Q10" i="37"/>
  <c r="R10" i="37" s="1"/>
  <c r="H44" i="37" s="1"/>
  <c r="Q11" i="37"/>
  <c r="R11" i="37" s="1"/>
  <c r="H40" i="37" s="1"/>
  <c r="Q12" i="37"/>
  <c r="R12" i="37" s="1"/>
  <c r="Q13" i="37"/>
  <c r="R13" i="37" s="1"/>
  <c r="H41" i="37" s="1"/>
  <c r="Q14" i="37"/>
  <c r="R14" i="37" s="1"/>
  <c r="Q15" i="37"/>
  <c r="R15" i="37" s="1"/>
  <c r="Q16" i="37"/>
  <c r="R16" i="37" s="1"/>
  <c r="Q17" i="37"/>
  <c r="R17" i="37" s="1"/>
  <c r="Q18" i="37"/>
  <c r="R18" i="37" s="1"/>
  <c r="Q19" i="37"/>
  <c r="R19" i="37" s="1"/>
  <c r="Q21" i="37"/>
  <c r="R21" i="37" s="1"/>
  <c r="Q22" i="37"/>
  <c r="R22" i="37" s="1"/>
  <c r="Q23" i="37"/>
  <c r="R23" i="37" s="1"/>
  <c r="Q24" i="37"/>
  <c r="R24" i="37" s="1"/>
  <c r="Q25" i="37"/>
  <c r="R25" i="37" s="1"/>
  <c r="Q4" i="37"/>
  <c r="R4" i="37" s="1"/>
  <c r="H8" i="37" s="1"/>
  <c r="U11" i="29"/>
  <c r="V11" i="29" s="1"/>
  <c r="U17" i="29"/>
  <c r="U18" i="29"/>
  <c r="U21" i="29"/>
  <c r="U22" i="29"/>
  <c r="U23" i="29"/>
  <c r="U24" i="29"/>
  <c r="U25" i="29"/>
  <c r="U26" i="29"/>
  <c r="U27" i="29"/>
  <c r="I64" i="29"/>
  <c r="G64" i="29"/>
  <c r="I63" i="29"/>
  <c r="G63" i="29"/>
  <c r="I62" i="29"/>
  <c r="G62" i="29"/>
  <c r="I61" i="29"/>
  <c r="G61" i="29"/>
  <c r="I60" i="29"/>
  <c r="G60" i="29"/>
  <c r="I59" i="29"/>
  <c r="G59" i="29"/>
  <c r="I58" i="29"/>
  <c r="G58" i="29"/>
  <c r="I57" i="29"/>
  <c r="G57" i="29"/>
  <c r="I56" i="29"/>
  <c r="G56" i="29"/>
  <c r="I55" i="29"/>
  <c r="G55" i="29"/>
  <c r="I54" i="29"/>
  <c r="G54" i="29"/>
  <c r="I53" i="29"/>
  <c r="G53" i="29"/>
  <c r="I52" i="29"/>
  <c r="G52" i="29"/>
  <c r="I51" i="29"/>
  <c r="G51" i="29"/>
  <c r="I50" i="29"/>
  <c r="G50" i="29"/>
  <c r="I49" i="29"/>
  <c r="G49" i="29"/>
  <c r="I48" i="29"/>
  <c r="G48" i="29"/>
  <c r="I47" i="29"/>
  <c r="G47" i="29"/>
  <c r="I46" i="29"/>
  <c r="G46" i="29"/>
  <c r="I45" i="29"/>
  <c r="G45" i="29"/>
  <c r="I44" i="29"/>
  <c r="G44" i="29"/>
  <c r="I43" i="29"/>
  <c r="G43" i="29"/>
  <c r="I38" i="29"/>
  <c r="I39" i="29"/>
  <c r="G38" i="29"/>
  <c r="G39" i="29"/>
  <c r="P22" i="39"/>
  <c r="R22" i="39"/>
  <c r="K64" i="29"/>
  <c r="K63" i="29"/>
  <c r="K62" i="29"/>
  <c r="K61" i="29"/>
  <c r="K60" i="29"/>
  <c r="K59" i="29"/>
  <c r="K58" i="29"/>
  <c r="K57" i="29"/>
  <c r="K56" i="29"/>
  <c r="K55" i="29"/>
  <c r="K54" i="29"/>
  <c r="K53" i="29"/>
  <c r="U19" i="29"/>
  <c r="K52" i="29"/>
  <c r="K51" i="29"/>
  <c r="K50" i="29"/>
  <c r="K49" i="29"/>
  <c r="K48" i="29"/>
  <c r="K47" i="29"/>
  <c r="K46" i="29"/>
  <c r="K45" i="29"/>
  <c r="M45" i="29" s="1"/>
  <c r="K44" i="29"/>
  <c r="U16" i="29"/>
  <c r="D12" i="34"/>
  <c r="D11" i="34"/>
  <c r="D10" i="34"/>
  <c r="D9" i="34"/>
  <c r="D8" i="34"/>
  <c r="D7" i="34"/>
  <c r="D6" i="34"/>
  <c r="D5" i="34"/>
  <c r="D17" i="33"/>
  <c r="D16" i="33"/>
  <c r="D15" i="33"/>
  <c r="D14" i="33"/>
  <c r="D13" i="33"/>
  <c r="D12" i="33"/>
  <c r="D11" i="33"/>
  <c r="D10" i="33"/>
  <c r="D9" i="33"/>
  <c r="D8" i="33"/>
  <c r="D7" i="33"/>
  <c r="D6" i="33"/>
  <c r="D5" i="33"/>
  <c r="D8" i="32"/>
  <c r="M182" i="30" s="1"/>
  <c r="D7" i="32"/>
  <c r="D6" i="32"/>
  <c r="G12" i="34"/>
  <c r="G11" i="34"/>
  <c r="G10" i="34"/>
  <c r="G9" i="34"/>
  <c r="G8" i="34"/>
  <c r="B1" i="34" s="1"/>
  <c r="B2" i="34" s="1"/>
  <c r="G7" i="34"/>
  <c r="G6" i="34"/>
  <c r="G5" i="34"/>
  <c r="C8" i="32"/>
  <c r="N185" i="30" s="1"/>
  <c r="C7" i="32"/>
  <c r="N41" i="30" s="1"/>
  <c r="C6" i="32"/>
  <c r="S9" i="37"/>
  <c r="G60" i="26"/>
  <c r="G61" i="26"/>
  <c r="G62" i="26"/>
  <c r="G63" i="26"/>
  <c r="G64" i="26"/>
  <c r="G65" i="26"/>
  <c r="I102" i="27"/>
  <c r="I101" i="27"/>
  <c r="I100" i="27"/>
  <c r="I99" i="27"/>
  <c r="I98" i="27"/>
  <c r="I97" i="27"/>
  <c r="I96" i="27"/>
  <c r="I95" i="27"/>
  <c r="I94" i="27"/>
  <c r="I93" i="27"/>
  <c r="I92" i="27"/>
  <c r="I91" i="27"/>
  <c r="I90" i="27"/>
  <c r="I89" i="27"/>
  <c r="I88" i="27"/>
  <c r="I87" i="27"/>
  <c r="I86" i="27"/>
  <c r="I85" i="27"/>
  <c r="I84" i="27"/>
  <c r="I83" i="27"/>
  <c r="I82" i="27"/>
  <c r="I81" i="27"/>
  <c r="I80" i="27"/>
  <c r="I79" i="27"/>
  <c r="I78" i="27"/>
  <c r="I77" i="27"/>
  <c r="I76" i="27"/>
  <c r="I75" i="27"/>
  <c r="I74" i="27"/>
  <c r="I73" i="27"/>
  <c r="I72" i="27"/>
  <c r="I71" i="27"/>
  <c r="I70" i="27"/>
  <c r="I69" i="27"/>
  <c r="I68" i="27"/>
  <c r="I67" i="27"/>
  <c r="I66" i="27"/>
  <c r="I65" i="27"/>
  <c r="I64" i="27"/>
  <c r="I63" i="27"/>
  <c r="I62" i="27"/>
  <c r="I61" i="27"/>
  <c r="I60" i="27"/>
  <c r="I59" i="27"/>
  <c r="I58" i="27"/>
  <c r="I57" i="27"/>
  <c r="I56" i="27"/>
  <c r="I55" i="27"/>
  <c r="I54" i="27"/>
  <c r="I53" i="27"/>
  <c r="I52" i="27"/>
  <c r="I51" i="27"/>
  <c r="I50" i="27"/>
  <c r="I49" i="27"/>
  <c r="I48" i="27"/>
  <c r="I47" i="27"/>
  <c r="I46" i="27"/>
  <c r="I45" i="27"/>
  <c r="E44" i="10"/>
  <c r="E43" i="10"/>
  <c r="E42" i="10"/>
  <c r="E41" i="10"/>
  <c r="E40" i="10"/>
  <c r="E39" i="10"/>
  <c r="E38" i="10"/>
  <c r="E37" i="10"/>
  <c r="E36" i="10"/>
  <c r="E35" i="10"/>
  <c r="C3" i="28"/>
  <c r="C4" i="28"/>
  <c r="C5" i="28"/>
  <c r="C6" i="28"/>
  <c r="Z2" i="9"/>
  <c r="Z15" i="9" s="1"/>
  <c r="I2" i="9"/>
  <c r="J2" i="9"/>
  <c r="K2" i="9"/>
  <c r="K11" i="9" s="1"/>
  <c r="L2" i="9"/>
  <c r="L6" i="9" s="1"/>
  <c r="M2" i="9"/>
  <c r="M9" i="9" s="1"/>
  <c r="N2" i="9"/>
  <c r="N8" i="9" s="1"/>
  <c r="O2" i="9"/>
  <c r="O6" i="9" s="1"/>
  <c r="P2" i="9"/>
  <c r="P10" i="9" s="1"/>
  <c r="Q2" i="9"/>
  <c r="AN2" i="3" s="1"/>
  <c r="R2" i="9"/>
  <c r="S2" i="9"/>
  <c r="T2" i="9"/>
  <c r="AW2" i="3" s="1"/>
  <c r="U2" i="9"/>
  <c r="U10" i="9" s="1"/>
  <c r="V2" i="9"/>
  <c r="BC2" i="3" s="1"/>
  <c r="W2" i="9"/>
  <c r="X2" i="9"/>
  <c r="BI2" i="3" s="1"/>
  <c r="A37" i="14" s="1"/>
  <c r="Y2" i="9"/>
  <c r="BL2" i="3" s="1"/>
  <c r="A72" i="14" s="1"/>
  <c r="E47" i="9"/>
  <c r="E48" i="9"/>
  <c r="E49" i="9"/>
  <c r="E50" i="9"/>
  <c r="E51" i="9"/>
  <c r="E52" i="9"/>
  <c r="E53" i="9"/>
  <c r="E54" i="9"/>
  <c r="E55" i="9"/>
  <c r="E56" i="9"/>
  <c r="E67" i="9"/>
  <c r="E68" i="9"/>
  <c r="E69" i="9"/>
  <c r="E70" i="9"/>
  <c r="E71" i="9"/>
  <c r="E72" i="9"/>
  <c r="E73" i="9"/>
  <c r="E74" i="9"/>
  <c r="E75" i="9"/>
  <c r="E76" i="9"/>
  <c r="E16" i="9"/>
  <c r="E17" i="9"/>
  <c r="E18" i="9"/>
  <c r="E19" i="9"/>
  <c r="E20" i="9"/>
  <c r="E21" i="9"/>
  <c r="E22" i="9"/>
  <c r="E23" i="9"/>
  <c r="E24" i="9"/>
  <c r="E25" i="9"/>
  <c r="E26" i="9"/>
  <c r="E27" i="9"/>
  <c r="E28" i="9"/>
  <c r="E29" i="9"/>
  <c r="E30" i="9"/>
  <c r="E31" i="9"/>
  <c r="E32" i="9"/>
  <c r="E33" i="9"/>
  <c r="E34" i="9"/>
  <c r="E35" i="9"/>
  <c r="G2" i="36"/>
  <c r="E25" i="10"/>
  <c r="E26" i="10"/>
  <c r="E27" i="10"/>
  <c r="E28" i="10"/>
  <c r="E29" i="10"/>
  <c r="E30" i="10"/>
  <c r="E31" i="10"/>
  <c r="E32" i="10"/>
  <c r="E33" i="10"/>
  <c r="E34" i="10"/>
  <c r="E45" i="10"/>
  <c r="E46" i="10"/>
  <c r="E47" i="10"/>
  <c r="E48" i="10"/>
  <c r="E49" i="10"/>
  <c r="E50" i="10"/>
  <c r="E51" i="10"/>
  <c r="E52" i="10"/>
  <c r="E53" i="10"/>
  <c r="E54" i="10"/>
  <c r="C7" i="28"/>
  <c r="C12" i="28"/>
  <c r="C11" i="28"/>
  <c r="C10" i="28"/>
  <c r="C9" i="28"/>
  <c r="C8" i="28"/>
  <c r="C17" i="28"/>
  <c r="C16" i="28"/>
  <c r="C15" i="28"/>
  <c r="C14" i="28"/>
  <c r="C13" i="28"/>
  <c r="C22" i="28"/>
  <c r="C21" i="28"/>
  <c r="C20" i="28"/>
  <c r="C19" i="28"/>
  <c r="C18" i="28"/>
  <c r="C27" i="28"/>
  <c r="C26" i="28"/>
  <c r="C25" i="28"/>
  <c r="C24" i="28"/>
  <c r="C23" i="28"/>
  <c r="D93" i="28"/>
  <c r="F93" i="28" s="1"/>
  <c r="D88" i="28"/>
  <c r="F88" i="28" s="1"/>
  <c r="D83" i="28"/>
  <c r="E83" i="28" s="1"/>
  <c r="D78" i="28"/>
  <c r="F78" i="28" s="1"/>
  <c r="D73" i="28"/>
  <c r="F73" i="28" s="1"/>
  <c r="D68" i="28"/>
  <c r="F68" i="28" s="1"/>
  <c r="D63" i="28"/>
  <c r="F63" i="28" s="1"/>
  <c r="D58" i="28"/>
  <c r="F58" i="28" s="1"/>
  <c r="D53" i="28"/>
  <c r="F53" i="28" s="1"/>
  <c r="D48" i="28"/>
  <c r="E48" i="28" s="1"/>
  <c r="D43" i="28"/>
  <c r="F43" i="28" s="1"/>
  <c r="D38" i="28"/>
  <c r="F38" i="28" s="1"/>
  <c r="D33" i="28"/>
  <c r="F33" i="28" s="1"/>
  <c r="D28" i="28"/>
  <c r="D23" i="28"/>
  <c r="E23" i="28" s="1"/>
  <c r="D18" i="28"/>
  <c r="E18" i="28" s="1"/>
  <c r="D13" i="28"/>
  <c r="F13" i="28" s="1"/>
  <c r="D8" i="28"/>
  <c r="F8" i="28" s="1"/>
  <c r="D3" i="28"/>
  <c r="F3" i="28" s="1"/>
  <c r="J96" i="28"/>
  <c r="J95" i="28"/>
  <c r="J94" i="28"/>
  <c r="J91" i="28"/>
  <c r="J90" i="28"/>
  <c r="J89" i="28"/>
  <c r="J86" i="28"/>
  <c r="J85" i="28"/>
  <c r="J84" i="28"/>
  <c r="J81" i="28"/>
  <c r="J80" i="28"/>
  <c r="J79" i="28"/>
  <c r="J76" i="28"/>
  <c r="J75" i="28"/>
  <c r="J74" i="28"/>
  <c r="J71" i="28"/>
  <c r="J70" i="28"/>
  <c r="J69" i="28"/>
  <c r="J66" i="28"/>
  <c r="J65" i="28"/>
  <c r="J64" i="28"/>
  <c r="J61" i="28"/>
  <c r="J60" i="28"/>
  <c r="J59" i="28"/>
  <c r="J56" i="28"/>
  <c r="J55" i="28"/>
  <c r="J54" i="28"/>
  <c r="J51" i="28"/>
  <c r="J50" i="28"/>
  <c r="J49" i="28"/>
  <c r="J46" i="28"/>
  <c r="J45" i="28"/>
  <c r="J44" i="28"/>
  <c r="J41" i="28"/>
  <c r="J40" i="28"/>
  <c r="J39" i="28"/>
  <c r="J36" i="28"/>
  <c r="J35" i="28"/>
  <c r="J34" i="28"/>
  <c r="J31" i="28"/>
  <c r="J30" i="28"/>
  <c r="J29" i="28"/>
  <c r="J6" i="28"/>
  <c r="C97" i="28"/>
  <c r="C96" i="28"/>
  <c r="C95" i="28"/>
  <c r="C94" i="28"/>
  <c r="C93" i="28"/>
  <c r="C92" i="28"/>
  <c r="C91" i="28"/>
  <c r="C90" i="28"/>
  <c r="C89" i="28"/>
  <c r="C88" i="28"/>
  <c r="C87" i="28"/>
  <c r="C86" i="28"/>
  <c r="C85" i="28"/>
  <c r="C84" i="28"/>
  <c r="C83" i="28"/>
  <c r="C82" i="28"/>
  <c r="C81" i="28"/>
  <c r="C80" i="28"/>
  <c r="C79" i="28"/>
  <c r="C78" i="28"/>
  <c r="C77" i="28"/>
  <c r="C76" i="28"/>
  <c r="C75" i="28"/>
  <c r="C74" i="28"/>
  <c r="C73" i="28"/>
  <c r="C72" i="28"/>
  <c r="C71" i="28"/>
  <c r="C70" i="28"/>
  <c r="C69" i="28"/>
  <c r="C68" i="28"/>
  <c r="C67" i="28"/>
  <c r="C66" i="28"/>
  <c r="C65" i="28"/>
  <c r="C64" i="28"/>
  <c r="C63" i="28"/>
  <c r="C62" i="28"/>
  <c r="C61" i="28"/>
  <c r="C60" i="28"/>
  <c r="C59" i="28"/>
  <c r="C58" i="28"/>
  <c r="C57" i="28"/>
  <c r="C56" i="28"/>
  <c r="C55" i="28"/>
  <c r="C54" i="28"/>
  <c r="C53" i="28"/>
  <c r="C52" i="28"/>
  <c r="C51" i="28"/>
  <c r="C50" i="28"/>
  <c r="C49" i="28"/>
  <c r="C48" i="28"/>
  <c r="C47" i="28"/>
  <c r="C46" i="28"/>
  <c r="C45" i="28"/>
  <c r="C44" i="28"/>
  <c r="C43" i="28"/>
  <c r="C42" i="28"/>
  <c r="C41" i="28"/>
  <c r="C40" i="28"/>
  <c r="C39" i="28"/>
  <c r="C38" i="28"/>
  <c r="C37" i="28"/>
  <c r="C36" i="28"/>
  <c r="C35" i="28"/>
  <c r="C34" i="28"/>
  <c r="C33" i="28"/>
  <c r="C32" i="28"/>
  <c r="C31" i="28"/>
  <c r="C30" i="28"/>
  <c r="C29" i="28"/>
  <c r="C28" i="28"/>
  <c r="E172" i="9"/>
  <c r="E173" i="9"/>
  <c r="E174" i="9"/>
  <c r="E175" i="9"/>
  <c r="G11" i="11" s="1"/>
  <c r="M7" i="6" s="1"/>
  <c r="N7" i="6" s="1"/>
  <c r="E176" i="9"/>
  <c r="H11" i="11" s="1"/>
  <c r="E177" i="9"/>
  <c r="E178" i="9"/>
  <c r="E179" i="9"/>
  <c r="E180" i="9"/>
  <c r="E181" i="9"/>
  <c r="E182" i="9"/>
  <c r="E183" i="9"/>
  <c r="E184" i="9"/>
  <c r="F11" i="11" s="1"/>
  <c r="E185" i="9"/>
  <c r="E186" i="9"/>
  <c r="E187" i="9"/>
  <c r="E188" i="9"/>
  <c r="E189" i="9"/>
  <c r="E190" i="9"/>
  <c r="E191" i="9"/>
  <c r="G4" i="36"/>
  <c r="E77" i="10"/>
  <c r="I2" i="10"/>
  <c r="J2" i="10"/>
  <c r="K2" i="10"/>
  <c r="L2" i="10"/>
  <c r="M2" i="10"/>
  <c r="M6" i="10" s="1"/>
  <c r="N2" i="10"/>
  <c r="O2" i="10"/>
  <c r="O8" i="10" s="1"/>
  <c r="P2" i="10"/>
  <c r="Q2" i="10"/>
  <c r="Q8" i="10" s="1"/>
  <c r="R2" i="10"/>
  <c r="S2" i="10"/>
  <c r="S9" i="10" s="1"/>
  <c r="T2" i="10"/>
  <c r="U2" i="10"/>
  <c r="U10" i="10" s="1"/>
  <c r="V2" i="10"/>
  <c r="V9" i="10" s="1"/>
  <c r="W2" i="10"/>
  <c r="W5" i="10" s="1"/>
  <c r="X2" i="10"/>
  <c r="X7" i="10" s="1"/>
  <c r="Y2" i="10"/>
  <c r="Z2" i="10"/>
  <c r="Z7" i="10" s="1"/>
  <c r="E78" i="10"/>
  <c r="E79" i="10"/>
  <c r="E80" i="10"/>
  <c r="E81" i="10"/>
  <c r="E82" i="10"/>
  <c r="E83" i="10"/>
  <c r="E84" i="10"/>
  <c r="E85" i="10"/>
  <c r="E96" i="10"/>
  <c r="E97" i="10"/>
  <c r="E98" i="10"/>
  <c r="E99" i="10"/>
  <c r="E100" i="10"/>
  <c r="E101" i="10"/>
  <c r="E102" i="10"/>
  <c r="E103" i="10"/>
  <c r="E104" i="10"/>
  <c r="E105" i="10"/>
  <c r="E66" i="10"/>
  <c r="E67" i="10"/>
  <c r="E68" i="10"/>
  <c r="E69" i="10"/>
  <c r="E70" i="10"/>
  <c r="E71" i="10"/>
  <c r="E72" i="10"/>
  <c r="E73" i="10"/>
  <c r="E74" i="10"/>
  <c r="E75" i="10"/>
  <c r="E76" i="10"/>
  <c r="E110" i="9"/>
  <c r="E111" i="9"/>
  <c r="E112" i="9"/>
  <c r="E113" i="9"/>
  <c r="E114" i="9"/>
  <c r="E115" i="9"/>
  <c r="E116" i="9"/>
  <c r="E117" i="9"/>
  <c r="E118" i="9"/>
  <c r="E119" i="9"/>
  <c r="E140" i="9"/>
  <c r="E141" i="9"/>
  <c r="E142" i="9"/>
  <c r="E143" i="9"/>
  <c r="E144" i="9"/>
  <c r="E145" i="9"/>
  <c r="E146" i="9"/>
  <c r="E147" i="9"/>
  <c r="E148" i="9"/>
  <c r="E149" i="9"/>
  <c r="E130" i="9"/>
  <c r="E131" i="9"/>
  <c r="E132" i="9"/>
  <c r="E133" i="9"/>
  <c r="E134" i="9"/>
  <c r="E135" i="9"/>
  <c r="E136" i="9"/>
  <c r="E137" i="9"/>
  <c r="E138" i="9"/>
  <c r="E139" i="9"/>
  <c r="E86" i="10"/>
  <c r="E87" i="10"/>
  <c r="E88" i="10"/>
  <c r="E89" i="10"/>
  <c r="E90" i="10"/>
  <c r="E91" i="10"/>
  <c r="E92" i="10"/>
  <c r="E93" i="10"/>
  <c r="E94" i="10"/>
  <c r="E95" i="10"/>
  <c r="M49" i="30"/>
  <c r="N49" i="30"/>
  <c r="K49" i="30"/>
  <c r="M50" i="30"/>
  <c r="K50" i="30"/>
  <c r="M51" i="30"/>
  <c r="K51" i="30"/>
  <c r="M13" i="30"/>
  <c r="N13" i="30"/>
  <c r="K13" i="30"/>
  <c r="M14" i="30"/>
  <c r="N14" i="30"/>
  <c r="K14" i="30"/>
  <c r="M15" i="30"/>
  <c r="N15" i="30"/>
  <c r="K15" i="30"/>
  <c r="M16" i="30"/>
  <c r="N16" i="30"/>
  <c r="K16" i="30"/>
  <c r="M17" i="30"/>
  <c r="N17" i="30"/>
  <c r="K17" i="30"/>
  <c r="K18" i="30"/>
  <c r="K19" i="30"/>
  <c r="K20" i="30"/>
  <c r="K21" i="30"/>
  <c r="K22" i="30"/>
  <c r="K23" i="30"/>
  <c r="K24" i="30"/>
  <c r="K25" i="30"/>
  <c r="K26" i="30"/>
  <c r="K27" i="30"/>
  <c r="K28" i="30"/>
  <c r="K29" i="30"/>
  <c r="K30" i="30"/>
  <c r="M31" i="30"/>
  <c r="N31" i="30"/>
  <c r="K31" i="30"/>
  <c r="M32" i="30"/>
  <c r="N32" i="30"/>
  <c r="K32" i="30"/>
  <c r="M33" i="30"/>
  <c r="N33" i="30"/>
  <c r="K33" i="30"/>
  <c r="M34" i="30"/>
  <c r="N34" i="30"/>
  <c r="K34" i="30"/>
  <c r="M35" i="30"/>
  <c r="N35" i="30"/>
  <c r="K35" i="30"/>
  <c r="M36" i="30"/>
  <c r="N36" i="30"/>
  <c r="K36" i="30"/>
  <c r="M37" i="30"/>
  <c r="N37" i="30"/>
  <c r="K37" i="30"/>
  <c r="K38" i="30"/>
  <c r="K39" i="30"/>
  <c r="K40" i="30"/>
  <c r="M41" i="30"/>
  <c r="K41" i="30"/>
  <c r="M42" i="30"/>
  <c r="N42" i="30"/>
  <c r="K42" i="30"/>
  <c r="M43" i="30"/>
  <c r="K43" i="30"/>
  <c r="M44" i="30"/>
  <c r="K44" i="30"/>
  <c r="M45" i="30"/>
  <c r="N45" i="30"/>
  <c r="K45" i="30"/>
  <c r="M46" i="30"/>
  <c r="K46" i="30"/>
  <c r="M47" i="30"/>
  <c r="N47" i="30"/>
  <c r="K47" i="30"/>
  <c r="M48" i="30"/>
  <c r="N48" i="30"/>
  <c r="K48" i="30"/>
  <c r="M52" i="30"/>
  <c r="K52" i="30"/>
  <c r="M53" i="30"/>
  <c r="N53" i="30"/>
  <c r="K53" i="30"/>
  <c r="M54" i="30"/>
  <c r="K54" i="30"/>
  <c r="M55" i="30"/>
  <c r="K55" i="30"/>
  <c r="M56" i="30"/>
  <c r="N56" i="30"/>
  <c r="K56" i="30"/>
  <c r="K57" i="30"/>
  <c r="K58" i="30"/>
  <c r="M59" i="30"/>
  <c r="N59" i="30"/>
  <c r="K59" i="30"/>
  <c r="K60" i="30"/>
  <c r="M61" i="30"/>
  <c r="N61" i="30"/>
  <c r="K61" i="30"/>
  <c r="M62" i="30"/>
  <c r="K62" i="30"/>
  <c r="M63" i="30"/>
  <c r="N63" i="30"/>
  <c r="K63" i="30"/>
  <c r="M64" i="30"/>
  <c r="N64" i="30"/>
  <c r="K64" i="30"/>
  <c r="M65" i="30"/>
  <c r="N65" i="30"/>
  <c r="K65" i="30"/>
  <c r="M66" i="30"/>
  <c r="N66" i="30"/>
  <c r="K66" i="30"/>
  <c r="M67" i="30"/>
  <c r="N67" i="30"/>
  <c r="K67" i="30"/>
  <c r="K68" i="30"/>
  <c r="M69" i="30"/>
  <c r="N69" i="30"/>
  <c r="K69" i="30"/>
  <c r="M70" i="30"/>
  <c r="N70" i="30"/>
  <c r="K70" i="30"/>
  <c r="M71" i="30"/>
  <c r="N71" i="30"/>
  <c r="K71" i="30"/>
  <c r="M72" i="30"/>
  <c r="N72" i="30"/>
  <c r="K72" i="30"/>
  <c r="M73" i="30"/>
  <c r="N73" i="30"/>
  <c r="K73" i="30"/>
  <c r="M74" i="30"/>
  <c r="N74" i="30"/>
  <c r="K74" i="30"/>
  <c r="M75" i="30"/>
  <c r="N75" i="30"/>
  <c r="K75" i="30"/>
  <c r="M76" i="30"/>
  <c r="N76" i="30"/>
  <c r="K76" i="30"/>
  <c r="K77" i="30"/>
  <c r="K78" i="30"/>
  <c r="K79" i="30"/>
  <c r="K80" i="30"/>
  <c r="K81" i="30"/>
  <c r="K82" i="30"/>
  <c r="K83" i="30"/>
  <c r="K84" i="30"/>
  <c r="K85" i="30"/>
  <c r="K86" i="30"/>
  <c r="K87" i="30"/>
  <c r="K88" i="30"/>
  <c r="K89" i="30"/>
  <c r="K92" i="30"/>
  <c r="K93" i="30"/>
  <c r="K94" i="30"/>
  <c r="K95" i="30"/>
  <c r="K96" i="30"/>
  <c r="K97" i="30"/>
  <c r="K98" i="30"/>
  <c r="K99" i="30"/>
  <c r="K100" i="30"/>
  <c r="K101" i="30"/>
  <c r="M102" i="30"/>
  <c r="N102" i="30"/>
  <c r="K102" i="30"/>
  <c r="K103" i="30"/>
  <c r="K104" i="30"/>
  <c r="K105" i="30"/>
  <c r="K106" i="30"/>
  <c r="K107" i="30"/>
  <c r="K108" i="30"/>
  <c r="K109" i="30"/>
  <c r="K110" i="30"/>
  <c r="K111" i="30"/>
  <c r="K112" i="30"/>
  <c r="K113" i="30"/>
  <c r="K114" i="30"/>
  <c r="K115" i="30"/>
  <c r="M116" i="30"/>
  <c r="N116" i="30"/>
  <c r="K116" i="30"/>
  <c r="M117" i="30"/>
  <c r="N117" i="30"/>
  <c r="K117" i="30"/>
  <c r="K118" i="30"/>
  <c r="M119" i="30"/>
  <c r="N119" i="30"/>
  <c r="K119" i="30"/>
  <c r="M120" i="30"/>
  <c r="N120" i="30"/>
  <c r="K120" i="30"/>
  <c r="M121" i="30"/>
  <c r="N121" i="30"/>
  <c r="K121" i="30"/>
  <c r="M122" i="30"/>
  <c r="N122" i="30"/>
  <c r="K122" i="30"/>
  <c r="M123" i="30"/>
  <c r="N123" i="30"/>
  <c r="K123" i="30"/>
  <c r="M124" i="30"/>
  <c r="N124" i="30"/>
  <c r="K124" i="30"/>
  <c r="K125" i="30"/>
  <c r="K126" i="30"/>
  <c r="K127" i="30"/>
  <c r="K128" i="30"/>
  <c r="K129" i="30"/>
  <c r="K130" i="30"/>
  <c r="M131" i="30"/>
  <c r="N131" i="30"/>
  <c r="K131" i="30"/>
  <c r="M132" i="30"/>
  <c r="N132" i="30"/>
  <c r="K132" i="30"/>
  <c r="M133" i="30"/>
  <c r="N133" i="30"/>
  <c r="K133" i="30"/>
  <c r="M134" i="30"/>
  <c r="N134" i="30"/>
  <c r="K134" i="30"/>
  <c r="M135" i="30"/>
  <c r="N135" i="30"/>
  <c r="K135" i="30"/>
  <c r="M136" i="30"/>
  <c r="N136" i="30"/>
  <c r="K136" i="30"/>
  <c r="M137" i="30"/>
  <c r="N137" i="30"/>
  <c r="K137" i="30"/>
  <c r="M138" i="30"/>
  <c r="N138" i="30"/>
  <c r="K138" i="30"/>
  <c r="M139" i="30"/>
  <c r="N139" i="30"/>
  <c r="K139" i="30"/>
  <c r="M140" i="30"/>
  <c r="N140" i="30"/>
  <c r="K140" i="30"/>
  <c r="M141" i="30"/>
  <c r="N141" i="30"/>
  <c r="K141" i="30"/>
  <c r="M142" i="30"/>
  <c r="N142" i="30"/>
  <c r="K142" i="30"/>
  <c r="E2" i="36"/>
  <c r="I6" i="32"/>
  <c r="A6" i="35"/>
  <c r="A7" i="35"/>
  <c r="A8" i="35"/>
  <c r="A9" i="35"/>
  <c r="A10" i="35"/>
  <c r="A11" i="35"/>
  <c r="A12" i="35"/>
  <c r="A13" i="35"/>
  <c r="A14" i="35"/>
  <c r="A15" i="35"/>
  <c r="A16" i="35"/>
  <c r="A17" i="35"/>
  <c r="A18" i="35"/>
  <c r="A19" i="35"/>
  <c r="A20" i="35"/>
  <c r="A21" i="35"/>
  <c r="A22" i="35"/>
  <c r="A23" i="35"/>
  <c r="A24" i="35"/>
  <c r="A25" i="35"/>
  <c r="A26" i="35"/>
  <c r="F21" i="36"/>
  <c r="F20" i="36"/>
  <c r="F19" i="36"/>
  <c r="F18" i="36"/>
  <c r="F17" i="36"/>
  <c r="F16" i="36"/>
  <c r="F15" i="36"/>
  <c r="F14" i="36"/>
  <c r="F13" i="36"/>
  <c r="F12" i="36"/>
  <c r="F11" i="36"/>
  <c r="F10" i="36"/>
  <c r="F9" i="36"/>
  <c r="F8" i="36"/>
  <c r="F7" i="36"/>
  <c r="F6" i="36"/>
  <c r="F5" i="36"/>
  <c r="F4" i="36"/>
  <c r="F3" i="36"/>
  <c r="I3" i="32"/>
  <c r="J3" i="30"/>
  <c r="J4" i="30"/>
  <c r="J5" i="30"/>
  <c r="J6" i="30"/>
  <c r="J7" i="30"/>
  <c r="J8" i="30"/>
  <c r="J9" i="30"/>
  <c r="J10" i="30"/>
  <c r="J11" i="30"/>
  <c r="J13" i="30"/>
  <c r="J14" i="30"/>
  <c r="J15" i="30"/>
  <c r="J16" i="30"/>
  <c r="J17" i="30"/>
  <c r="J18" i="30"/>
  <c r="J19" i="30"/>
  <c r="J20" i="30"/>
  <c r="J21" i="30"/>
  <c r="J22" i="30"/>
  <c r="J23" i="30"/>
  <c r="J24" i="30"/>
  <c r="J25" i="30"/>
  <c r="J26" i="30"/>
  <c r="J27" i="30"/>
  <c r="J28" i="30"/>
  <c r="J29" i="30"/>
  <c r="J30" i="30"/>
  <c r="J31" i="30"/>
  <c r="J32" i="30"/>
  <c r="J33" i="30"/>
  <c r="J34" i="30"/>
  <c r="J35" i="30"/>
  <c r="J36" i="30"/>
  <c r="J37" i="30"/>
  <c r="J38" i="30"/>
  <c r="J39" i="30"/>
  <c r="J40" i="30"/>
  <c r="J41" i="30"/>
  <c r="J42" i="30"/>
  <c r="J43" i="30"/>
  <c r="J44" i="30"/>
  <c r="J45" i="30"/>
  <c r="J46" i="30"/>
  <c r="J47" i="30"/>
  <c r="J48" i="30"/>
  <c r="J49" i="30"/>
  <c r="J50" i="30"/>
  <c r="J51" i="30"/>
  <c r="J52" i="30"/>
  <c r="J53" i="30"/>
  <c r="J54" i="30"/>
  <c r="J55" i="30"/>
  <c r="J56" i="30"/>
  <c r="J57" i="30"/>
  <c r="J58" i="30"/>
  <c r="J59" i="30"/>
  <c r="J60" i="30"/>
  <c r="J61" i="30"/>
  <c r="J62" i="30"/>
  <c r="J63" i="30"/>
  <c r="J64" i="30"/>
  <c r="J65" i="30"/>
  <c r="J66" i="30"/>
  <c r="J67" i="30"/>
  <c r="J68" i="30"/>
  <c r="J69" i="30"/>
  <c r="J70" i="30"/>
  <c r="J71" i="30"/>
  <c r="J72" i="30"/>
  <c r="J73" i="30"/>
  <c r="J74" i="30"/>
  <c r="J75" i="30"/>
  <c r="J76" i="30"/>
  <c r="J77" i="30"/>
  <c r="J78" i="30"/>
  <c r="J79" i="30"/>
  <c r="J80" i="30"/>
  <c r="J81" i="30"/>
  <c r="J82" i="30"/>
  <c r="J83" i="30"/>
  <c r="J84" i="30"/>
  <c r="J85" i="30"/>
  <c r="J86" i="30"/>
  <c r="J87" i="30"/>
  <c r="J88" i="30"/>
  <c r="J89" i="30"/>
  <c r="J92" i="30"/>
  <c r="J93" i="30"/>
  <c r="J94" i="30"/>
  <c r="J95" i="30"/>
  <c r="J96" i="30"/>
  <c r="J97" i="30"/>
  <c r="J98" i="30"/>
  <c r="J99" i="30"/>
  <c r="J100" i="30"/>
  <c r="J101" i="30"/>
  <c r="J102" i="30"/>
  <c r="J103" i="30"/>
  <c r="J104" i="30"/>
  <c r="J105" i="30"/>
  <c r="J106" i="30"/>
  <c r="J107" i="30"/>
  <c r="J108" i="30"/>
  <c r="J109" i="30"/>
  <c r="J110" i="30"/>
  <c r="J111" i="30"/>
  <c r="J112" i="30"/>
  <c r="J113" i="30"/>
  <c r="J114" i="30"/>
  <c r="J115" i="30"/>
  <c r="J116" i="30"/>
  <c r="J117" i="30"/>
  <c r="J118" i="30"/>
  <c r="J119" i="30"/>
  <c r="J120" i="30"/>
  <c r="J121" i="30"/>
  <c r="J122" i="30"/>
  <c r="J123" i="30"/>
  <c r="J124" i="30"/>
  <c r="J125" i="30"/>
  <c r="J126" i="30"/>
  <c r="J127" i="30"/>
  <c r="J128" i="30"/>
  <c r="J129" i="30"/>
  <c r="J130" i="30"/>
  <c r="J131" i="30"/>
  <c r="J132" i="30"/>
  <c r="J133" i="30"/>
  <c r="J134" i="30"/>
  <c r="J135" i="30"/>
  <c r="J136" i="30"/>
  <c r="J137" i="30"/>
  <c r="J138" i="30"/>
  <c r="J139" i="30"/>
  <c r="J140" i="30"/>
  <c r="J141" i="30"/>
  <c r="J142" i="30"/>
  <c r="Q4" i="30"/>
  <c r="Q5" i="30"/>
  <c r="Q6" i="30"/>
  <c r="Q7" i="30"/>
  <c r="Q8" i="30"/>
  <c r="Q9" i="30"/>
  <c r="Q10" i="30"/>
  <c r="Q11" i="30"/>
  <c r="Q13" i="30"/>
  <c r="Q14" i="30"/>
  <c r="Q15" i="30"/>
  <c r="Q16" i="30"/>
  <c r="Q17" i="30"/>
  <c r="Q18" i="30"/>
  <c r="Q19" i="30"/>
  <c r="Q20" i="30"/>
  <c r="Q21" i="30"/>
  <c r="Q22" i="30"/>
  <c r="Q23" i="30"/>
  <c r="Q24" i="30"/>
  <c r="Q25" i="30"/>
  <c r="Q26" i="30"/>
  <c r="Q27" i="30"/>
  <c r="Q28" i="30"/>
  <c r="Q29" i="30"/>
  <c r="Q30" i="30"/>
  <c r="Q31" i="30"/>
  <c r="Q32" i="30"/>
  <c r="Q33" i="30"/>
  <c r="Q34" i="30"/>
  <c r="Q35" i="30"/>
  <c r="Q36" i="30"/>
  <c r="Q37" i="30"/>
  <c r="Q38" i="30"/>
  <c r="Q39" i="30"/>
  <c r="Q40" i="30"/>
  <c r="Q41" i="30"/>
  <c r="Q42" i="30"/>
  <c r="Q43" i="30"/>
  <c r="Q44" i="30"/>
  <c r="Q45" i="30"/>
  <c r="Q46" i="30"/>
  <c r="Q47" i="30"/>
  <c r="Q48" i="30"/>
  <c r="Q49" i="30"/>
  <c r="Q50" i="30"/>
  <c r="Q51" i="30"/>
  <c r="Q52" i="30"/>
  <c r="Q53" i="30"/>
  <c r="Q54" i="30"/>
  <c r="Q55" i="30"/>
  <c r="Q56" i="30"/>
  <c r="Q57" i="30"/>
  <c r="Q58" i="30"/>
  <c r="Q59" i="30"/>
  <c r="Q60" i="30"/>
  <c r="Q61" i="30"/>
  <c r="Q62" i="30"/>
  <c r="Q63" i="30"/>
  <c r="Q64" i="30"/>
  <c r="Q65" i="30"/>
  <c r="Q66" i="30"/>
  <c r="Q67" i="30"/>
  <c r="Q68" i="30"/>
  <c r="Q69" i="30"/>
  <c r="Q70" i="30"/>
  <c r="Q71" i="30"/>
  <c r="Q72" i="30"/>
  <c r="Q73" i="30"/>
  <c r="Q74" i="30"/>
  <c r="Q75" i="30"/>
  <c r="Q76" i="30"/>
  <c r="Q77" i="30"/>
  <c r="Q78" i="30"/>
  <c r="Q79" i="30"/>
  <c r="Q80" i="30"/>
  <c r="Q81" i="30"/>
  <c r="Q82" i="30"/>
  <c r="Q83" i="30"/>
  <c r="Q84" i="30"/>
  <c r="Q85" i="30"/>
  <c r="Q86" i="30"/>
  <c r="Q87" i="30"/>
  <c r="Q88" i="30"/>
  <c r="Q89" i="30"/>
  <c r="Q92" i="30"/>
  <c r="Q93" i="30"/>
  <c r="Q94" i="30"/>
  <c r="Q95" i="30"/>
  <c r="Q96" i="30"/>
  <c r="Q97" i="30"/>
  <c r="Q98" i="30"/>
  <c r="Q99" i="30"/>
  <c r="Q100" i="30"/>
  <c r="Q101" i="30"/>
  <c r="Q102" i="30"/>
  <c r="Q103" i="30"/>
  <c r="Q104" i="30"/>
  <c r="Q105" i="30"/>
  <c r="Q106" i="30"/>
  <c r="Q107" i="30"/>
  <c r="Q108" i="30"/>
  <c r="Q109" i="30"/>
  <c r="Q110" i="30"/>
  <c r="Q111" i="30"/>
  <c r="Q112" i="30"/>
  <c r="Q113" i="30"/>
  <c r="Q114" i="30"/>
  <c r="Q115" i="30"/>
  <c r="Q116" i="30"/>
  <c r="Q117" i="30"/>
  <c r="Q118" i="30"/>
  <c r="Q119" i="30"/>
  <c r="Q120" i="30"/>
  <c r="Q121" i="30"/>
  <c r="Q122" i="30"/>
  <c r="Q123" i="30"/>
  <c r="Q124" i="30"/>
  <c r="Q125" i="30"/>
  <c r="Q126" i="30"/>
  <c r="Q127" i="30"/>
  <c r="Q128" i="30"/>
  <c r="Q129" i="30"/>
  <c r="Q130" i="30"/>
  <c r="Q131" i="30"/>
  <c r="Q132" i="30"/>
  <c r="Q133" i="30"/>
  <c r="Q134" i="30"/>
  <c r="Q135" i="30"/>
  <c r="Q136" i="30"/>
  <c r="Q137" i="30"/>
  <c r="Q138" i="30"/>
  <c r="Q139" i="30"/>
  <c r="Q140" i="30"/>
  <c r="Q141" i="30"/>
  <c r="Q142" i="30"/>
  <c r="Q3" i="30"/>
  <c r="D8" i="1"/>
  <c r="AB79" i="3" s="1"/>
  <c r="AB82" i="3"/>
  <c r="AB84" i="3"/>
  <c r="AB126" i="3"/>
  <c r="AB127" i="3"/>
  <c r="AB128" i="3"/>
  <c r="AB129" i="3"/>
  <c r="AB130" i="3"/>
  <c r="AB131" i="3"/>
  <c r="AB132" i="3"/>
  <c r="AB133" i="3"/>
  <c r="AB134" i="3"/>
  <c r="AB135" i="3"/>
  <c r="Y79" i="3"/>
  <c r="Y83" i="3"/>
  <c r="Y84" i="3"/>
  <c r="Y85" i="3"/>
  <c r="Y126" i="3"/>
  <c r="Y127" i="3"/>
  <c r="Y128" i="3"/>
  <c r="Y129" i="3"/>
  <c r="Y130" i="3"/>
  <c r="Y131" i="3"/>
  <c r="Y132" i="3"/>
  <c r="Y133" i="3"/>
  <c r="Y134" i="3"/>
  <c r="Y135" i="3"/>
  <c r="V77" i="3"/>
  <c r="V78" i="3"/>
  <c r="V81" i="3"/>
  <c r="V82" i="3"/>
  <c r="V83" i="3"/>
  <c r="V126" i="3"/>
  <c r="V127" i="3"/>
  <c r="V128" i="3"/>
  <c r="V129" i="3"/>
  <c r="V130" i="3"/>
  <c r="V131" i="3"/>
  <c r="V132" i="3"/>
  <c r="V133" i="3"/>
  <c r="V134" i="3"/>
  <c r="V135" i="3"/>
  <c r="S76" i="3"/>
  <c r="S78" i="3"/>
  <c r="S83" i="3"/>
  <c r="S85" i="3"/>
  <c r="S126" i="3"/>
  <c r="S127" i="3"/>
  <c r="S128" i="3"/>
  <c r="S129" i="3"/>
  <c r="S130" i="3"/>
  <c r="S131" i="3"/>
  <c r="S132" i="3"/>
  <c r="S133" i="3"/>
  <c r="S134" i="3"/>
  <c r="S135" i="3"/>
  <c r="P82" i="3"/>
  <c r="P83" i="3"/>
  <c r="P85" i="3"/>
  <c r="P126" i="3"/>
  <c r="P127" i="3"/>
  <c r="P128" i="3"/>
  <c r="P129" i="3"/>
  <c r="P130" i="3"/>
  <c r="P131" i="3"/>
  <c r="P132" i="3"/>
  <c r="P133" i="3"/>
  <c r="P134" i="3"/>
  <c r="P135" i="3"/>
  <c r="M77" i="3"/>
  <c r="M80" i="3"/>
  <c r="M81" i="3"/>
  <c r="M126" i="3"/>
  <c r="M127" i="3"/>
  <c r="M128" i="3"/>
  <c r="M129" i="3"/>
  <c r="M130" i="3"/>
  <c r="M131" i="3"/>
  <c r="M132" i="3"/>
  <c r="M133" i="3"/>
  <c r="M134" i="3"/>
  <c r="M135" i="3"/>
  <c r="J78" i="3"/>
  <c r="J126" i="3"/>
  <c r="J127" i="3"/>
  <c r="J128" i="3"/>
  <c r="J129" i="3"/>
  <c r="J130" i="3"/>
  <c r="J131" i="3"/>
  <c r="J132" i="3"/>
  <c r="J133" i="3"/>
  <c r="J134" i="3"/>
  <c r="J135" i="3"/>
  <c r="AC116" i="3"/>
  <c r="AC117" i="3"/>
  <c r="AD117" i="3" s="1"/>
  <c r="AC118" i="3"/>
  <c r="AC119" i="3"/>
  <c r="AC120" i="3"/>
  <c r="AC121" i="3"/>
  <c r="AC122" i="3"/>
  <c r="AC123" i="3"/>
  <c r="AC124" i="3"/>
  <c r="AC125" i="3"/>
  <c r="AD125" i="3" s="1"/>
  <c r="AB116" i="3"/>
  <c r="AB117" i="3"/>
  <c r="AB118" i="3"/>
  <c r="AB119" i="3"/>
  <c r="AB120" i="3"/>
  <c r="AD120" i="3" s="1"/>
  <c r="AB121" i="3"/>
  <c r="AB122" i="3"/>
  <c r="AB123" i="3"/>
  <c r="AB124" i="3"/>
  <c r="AD124" i="3" s="1"/>
  <c r="AB125" i="3"/>
  <c r="Z116" i="3"/>
  <c r="Y116" i="3"/>
  <c r="Z117" i="3"/>
  <c r="AA117" i="3" s="1"/>
  <c r="Y117" i="3"/>
  <c r="Z118" i="3"/>
  <c r="Y118" i="3"/>
  <c r="Z119" i="3"/>
  <c r="Y119" i="3"/>
  <c r="Z120" i="3"/>
  <c r="Y120" i="3"/>
  <c r="AA120" i="3" s="1"/>
  <c r="Z121" i="3"/>
  <c r="AA121" i="3" s="1"/>
  <c r="Y121" i="3"/>
  <c r="Z122" i="3"/>
  <c r="AA122" i="3" s="1"/>
  <c r="Y122" i="3"/>
  <c r="Z123" i="3"/>
  <c r="Y123" i="3"/>
  <c r="Z124" i="3"/>
  <c r="Y124" i="3"/>
  <c r="Z125" i="3"/>
  <c r="Y125" i="3"/>
  <c r="W116" i="3"/>
  <c r="X116" i="3" s="1"/>
  <c r="V116" i="3"/>
  <c r="W117" i="3"/>
  <c r="V117" i="3"/>
  <c r="W118" i="3"/>
  <c r="V118" i="3"/>
  <c r="W119" i="3"/>
  <c r="V119" i="3"/>
  <c r="W120" i="3"/>
  <c r="V120" i="3"/>
  <c r="W121" i="3"/>
  <c r="X121" i="3" s="1"/>
  <c r="V121" i="3"/>
  <c r="W122" i="3"/>
  <c r="V122" i="3"/>
  <c r="W123" i="3"/>
  <c r="V123" i="3"/>
  <c r="W124" i="3"/>
  <c r="V124" i="3"/>
  <c r="W125" i="3"/>
  <c r="V125" i="3"/>
  <c r="T116" i="3"/>
  <c r="S116" i="3"/>
  <c r="T117" i="3"/>
  <c r="S117" i="3"/>
  <c r="T118" i="3"/>
  <c r="S118" i="3"/>
  <c r="T119" i="3"/>
  <c r="S119" i="3"/>
  <c r="T120" i="3"/>
  <c r="S120" i="3"/>
  <c r="T121" i="3"/>
  <c r="U121" i="3" s="1"/>
  <c r="S121" i="3"/>
  <c r="T122" i="3"/>
  <c r="S122" i="3"/>
  <c r="T123" i="3"/>
  <c r="U123" i="3" s="1"/>
  <c r="S123" i="3"/>
  <c r="T124" i="3"/>
  <c r="S124" i="3"/>
  <c r="T125" i="3"/>
  <c r="S125" i="3"/>
  <c r="Q116" i="3"/>
  <c r="P116" i="3"/>
  <c r="Q117" i="3"/>
  <c r="R117" i="3" s="1"/>
  <c r="P117" i="3"/>
  <c r="Q118" i="3"/>
  <c r="P118" i="3"/>
  <c r="Q119" i="3"/>
  <c r="P119" i="3"/>
  <c r="Q120" i="3"/>
  <c r="P120" i="3"/>
  <c r="R120" i="3" s="1"/>
  <c r="Q121" i="3"/>
  <c r="P121" i="3"/>
  <c r="Q122" i="3"/>
  <c r="P122" i="3"/>
  <c r="Q123" i="3"/>
  <c r="P123" i="3"/>
  <c r="Q124" i="3"/>
  <c r="P124" i="3"/>
  <c r="R124" i="3" s="1"/>
  <c r="Q125" i="3"/>
  <c r="P125" i="3"/>
  <c r="N116" i="3"/>
  <c r="M116" i="3"/>
  <c r="N117" i="3"/>
  <c r="M117" i="3"/>
  <c r="N118" i="3"/>
  <c r="O118" i="3" s="1"/>
  <c r="M118" i="3"/>
  <c r="N119" i="3"/>
  <c r="O119" i="3" s="1"/>
  <c r="M119" i="3"/>
  <c r="N120" i="3"/>
  <c r="O120" i="3" s="1"/>
  <c r="M120" i="3"/>
  <c r="N121" i="3"/>
  <c r="M121" i="3"/>
  <c r="N122" i="3"/>
  <c r="M122" i="3"/>
  <c r="N123" i="3"/>
  <c r="M123" i="3"/>
  <c r="N124" i="3"/>
  <c r="O124" i="3" s="1"/>
  <c r="M124" i="3"/>
  <c r="N125" i="3"/>
  <c r="M125" i="3"/>
  <c r="O125" i="3" s="1"/>
  <c r="K116" i="3"/>
  <c r="J116" i="3"/>
  <c r="K117" i="3"/>
  <c r="J117" i="3"/>
  <c r="K118" i="3"/>
  <c r="J118" i="3"/>
  <c r="K119" i="3"/>
  <c r="J119" i="3"/>
  <c r="K120" i="3"/>
  <c r="L120" i="3" s="1"/>
  <c r="J120" i="3"/>
  <c r="K121" i="3"/>
  <c r="J121" i="3"/>
  <c r="K122" i="3"/>
  <c r="J122" i="3"/>
  <c r="L122" i="3"/>
  <c r="K123" i="3"/>
  <c r="J123" i="3"/>
  <c r="K124" i="3"/>
  <c r="J124" i="3"/>
  <c r="K125" i="3"/>
  <c r="J125" i="3"/>
  <c r="H116" i="3"/>
  <c r="G116" i="3"/>
  <c r="H117" i="3"/>
  <c r="G117" i="3"/>
  <c r="H118" i="3"/>
  <c r="I118" i="3" s="1"/>
  <c r="G118" i="3"/>
  <c r="H119" i="3"/>
  <c r="G119" i="3"/>
  <c r="H120" i="3"/>
  <c r="G120" i="3"/>
  <c r="H121" i="3"/>
  <c r="G121" i="3"/>
  <c r="H122" i="3"/>
  <c r="I122" i="3" s="1"/>
  <c r="G122" i="3"/>
  <c r="H123" i="3"/>
  <c r="I123" i="3" s="1"/>
  <c r="G123" i="3"/>
  <c r="H124" i="3"/>
  <c r="G124" i="3"/>
  <c r="H125" i="3"/>
  <c r="G125" i="3"/>
  <c r="Z171" i="9"/>
  <c r="Y14" i="20" s="1"/>
  <c r="Y171" i="9"/>
  <c r="X14" i="20" s="1"/>
  <c r="X171" i="9"/>
  <c r="W14" i="20" s="1"/>
  <c r="W171" i="9"/>
  <c r="V14" i="20" s="1"/>
  <c r="V171" i="9"/>
  <c r="U14" i="20" s="1"/>
  <c r="U171" i="9"/>
  <c r="T14" i="20"/>
  <c r="T171" i="9"/>
  <c r="S14" i="20" s="1"/>
  <c r="S171" i="9"/>
  <c r="R14" i="20"/>
  <c r="R171" i="9"/>
  <c r="Q14" i="20" s="1"/>
  <c r="Q171" i="9"/>
  <c r="P14" i="20"/>
  <c r="P171" i="9"/>
  <c r="O14" i="20" s="1"/>
  <c r="O171" i="9"/>
  <c r="N14" i="20" s="1"/>
  <c r="N171" i="9"/>
  <c r="M14" i="20" s="1"/>
  <c r="M171" i="9"/>
  <c r="L14" i="20" s="1"/>
  <c r="L171" i="9"/>
  <c r="K14" i="20" s="1"/>
  <c r="K171" i="9"/>
  <c r="J14" i="20"/>
  <c r="J171" i="9"/>
  <c r="I14" i="20" s="1"/>
  <c r="I171" i="9"/>
  <c r="H14" i="20" s="1"/>
  <c r="H171" i="9"/>
  <c r="G14" i="20"/>
  <c r="G171" i="9"/>
  <c r="F14" i="20" s="1"/>
  <c r="F171" i="9"/>
  <c r="E14" i="20"/>
  <c r="AC106" i="3"/>
  <c r="AC107" i="3"/>
  <c r="AC108" i="3"/>
  <c r="AC109" i="3"/>
  <c r="AC110" i="3"/>
  <c r="AD110" i="3" s="1"/>
  <c r="AC111" i="3"/>
  <c r="AC112" i="3"/>
  <c r="AC113" i="3"/>
  <c r="AC114" i="3"/>
  <c r="AC115" i="3"/>
  <c r="AB106" i="3"/>
  <c r="AB107" i="3"/>
  <c r="AB108" i="3"/>
  <c r="AD108" i="3" s="1"/>
  <c r="AB109" i="3"/>
  <c r="AB110" i="3"/>
  <c r="AB111" i="3"/>
  <c r="AB112" i="3"/>
  <c r="AB113" i="3"/>
  <c r="AB114" i="3"/>
  <c r="AB115" i="3"/>
  <c r="Z106" i="3"/>
  <c r="Y106" i="3"/>
  <c r="Z107" i="3"/>
  <c r="Y107" i="3"/>
  <c r="AA107" i="3" s="1"/>
  <c r="Z108" i="3"/>
  <c r="Y108" i="3"/>
  <c r="Z109" i="3"/>
  <c r="Y109" i="3"/>
  <c r="AA109" i="3" s="1"/>
  <c r="Z110" i="3"/>
  <c r="AA110" i="3" s="1"/>
  <c r="Y110" i="3"/>
  <c r="Z111" i="3"/>
  <c r="Y111" i="3"/>
  <c r="AA111" i="3" s="1"/>
  <c r="Z112" i="3"/>
  <c r="Y112" i="3"/>
  <c r="Z113" i="3"/>
  <c r="Y113" i="3"/>
  <c r="AA113" i="3" s="1"/>
  <c r="Z114" i="3"/>
  <c r="Y114" i="3"/>
  <c r="Z115" i="3"/>
  <c r="Y115" i="3"/>
  <c r="W106" i="3"/>
  <c r="X106" i="3" s="1"/>
  <c r="V106" i="3"/>
  <c r="W107" i="3"/>
  <c r="V107" i="3"/>
  <c r="W108" i="3"/>
  <c r="V108" i="3"/>
  <c r="W109" i="3"/>
  <c r="V109" i="3"/>
  <c r="W110" i="3"/>
  <c r="V110" i="3"/>
  <c r="W111" i="3"/>
  <c r="V111" i="3"/>
  <c r="W112" i="3"/>
  <c r="V112" i="3"/>
  <c r="W113" i="3"/>
  <c r="V113" i="3"/>
  <c r="W114" i="3"/>
  <c r="V114" i="3"/>
  <c r="W115" i="3"/>
  <c r="V115" i="3"/>
  <c r="T106" i="3"/>
  <c r="S106" i="3"/>
  <c r="T107" i="3"/>
  <c r="S107" i="3"/>
  <c r="T108" i="3"/>
  <c r="S108" i="3"/>
  <c r="T109" i="3"/>
  <c r="S109" i="3"/>
  <c r="T110" i="3"/>
  <c r="U110" i="3" s="1"/>
  <c r="S110" i="3"/>
  <c r="T111" i="3"/>
  <c r="U111" i="3" s="1"/>
  <c r="S111" i="3"/>
  <c r="T112" i="3"/>
  <c r="S112" i="3"/>
  <c r="U112" i="3"/>
  <c r="T113" i="3"/>
  <c r="S113" i="3"/>
  <c r="T114" i="3"/>
  <c r="S114" i="3"/>
  <c r="T115" i="3"/>
  <c r="S115" i="3"/>
  <c r="Q106" i="3"/>
  <c r="P106" i="3"/>
  <c r="Q107" i="3"/>
  <c r="P107" i="3"/>
  <c r="Q108" i="3"/>
  <c r="P108" i="3"/>
  <c r="Q109" i="3"/>
  <c r="P109" i="3"/>
  <c r="Q110" i="3"/>
  <c r="P110" i="3"/>
  <c r="Q111" i="3"/>
  <c r="P111" i="3"/>
  <c r="R111" i="3" s="1"/>
  <c r="Q112" i="3"/>
  <c r="R112" i="3" s="1"/>
  <c r="P112" i="3"/>
  <c r="Q113" i="3"/>
  <c r="P113" i="3"/>
  <c r="Q114" i="3"/>
  <c r="P114" i="3"/>
  <c r="Q115" i="3"/>
  <c r="P115" i="3"/>
  <c r="N106" i="3"/>
  <c r="M106" i="3"/>
  <c r="N107" i="3"/>
  <c r="O107" i="3" s="1"/>
  <c r="M107" i="3"/>
  <c r="N108" i="3"/>
  <c r="O108" i="3" s="1"/>
  <c r="M108" i="3"/>
  <c r="N109" i="3"/>
  <c r="M109" i="3"/>
  <c r="N110" i="3"/>
  <c r="M110" i="3"/>
  <c r="N111" i="3"/>
  <c r="M111" i="3"/>
  <c r="N112" i="3"/>
  <c r="M112" i="3"/>
  <c r="N113" i="3"/>
  <c r="M113" i="3"/>
  <c r="O113" i="3" s="1"/>
  <c r="N114" i="3"/>
  <c r="O114" i="3" s="1"/>
  <c r="M114" i="3"/>
  <c r="N115" i="3"/>
  <c r="O115" i="3" s="1"/>
  <c r="M115" i="3"/>
  <c r="K106" i="3"/>
  <c r="J106" i="3"/>
  <c r="K107" i="3"/>
  <c r="J107" i="3"/>
  <c r="K108" i="3"/>
  <c r="J108" i="3"/>
  <c r="K109" i="3"/>
  <c r="J109" i="3"/>
  <c r="L109" i="3" s="1"/>
  <c r="K110" i="3"/>
  <c r="J110" i="3"/>
  <c r="K111" i="3"/>
  <c r="J111" i="3"/>
  <c r="K112" i="3"/>
  <c r="J112" i="3"/>
  <c r="K113" i="3"/>
  <c r="J113" i="3"/>
  <c r="K114" i="3"/>
  <c r="J114" i="3"/>
  <c r="K115" i="3"/>
  <c r="J115" i="3"/>
  <c r="H106" i="3"/>
  <c r="G106" i="3"/>
  <c r="H107" i="3"/>
  <c r="G107" i="3"/>
  <c r="H108" i="3"/>
  <c r="G108" i="3"/>
  <c r="I108" i="3" s="1"/>
  <c r="H109" i="3"/>
  <c r="G109" i="3"/>
  <c r="H110" i="3"/>
  <c r="G110" i="3"/>
  <c r="H111" i="3"/>
  <c r="G111" i="3"/>
  <c r="H112" i="3"/>
  <c r="G112" i="3"/>
  <c r="H113" i="3"/>
  <c r="I113" i="3" s="1"/>
  <c r="G113" i="3"/>
  <c r="H114" i="3"/>
  <c r="G114" i="3"/>
  <c r="H115" i="3"/>
  <c r="G115" i="3"/>
  <c r="I115" i="3" s="1"/>
  <c r="D18" i="20"/>
  <c r="Y2" i="20"/>
  <c r="X2" i="20"/>
  <c r="W2" i="20"/>
  <c r="V2" i="20"/>
  <c r="U2" i="20"/>
  <c r="T2" i="20"/>
  <c r="S2" i="20"/>
  <c r="R2" i="20"/>
  <c r="Q2" i="20"/>
  <c r="P2" i="20"/>
  <c r="O2" i="20"/>
  <c r="N2" i="20"/>
  <c r="M2" i="20"/>
  <c r="L2" i="20"/>
  <c r="K2" i="20"/>
  <c r="J2" i="20"/>
  <c r="I2" i="20"/>
  <c r="H2" i="20"/>
  <c r="G2" i="20"/>
  <c r="F2" i="20"/>
  <c r="E2" i="20"/>
  <c r="AG2" i="20"/>
  <c r="BA2" i="20"/>
  <c r="AZ2" i="20"/>
  <c r="AY2" i="20"/>
  <c r="AX2" i="20"/>
  <c r="AW2" i="20"/>
  <c r="AV2" i="20"/>
  <c r="AU2" i="20"/>
  <c r="AT2" i="20"/>
  <c r="AS2" i="20"/>
  <c r="AR2" i="20"/>
  <c r="AQ2" i="20"/>
  <c r="AP2" i="20"/>
  <c r="AO2" i="20"/>
  <c r="AN2" i="20"/>
  <c r="AM2" i="20"/>
  <c r="AL2" i="20"/>
  <c r="AK2" i="20"/>
  <c r="AJ2" i="20"/>
  <c r="AI2" i="20"/>
  <c r="AH2" i="20"/>
  <c r="G135" i="3"/>
  <c r="AE135" i="3"/>
  <c r="AH135" i="3"/>
  <c r="AK135" i="3"/>
  <c r="AN135" i="3"/>
  <c r="AQ135" i="3"/>
  <c r="AT135" i="3"/>
  <c r="AW135" i="3"/>
  <c r="AZ135" i="3"/>
  <c r="BC135" i="3"/>
  <c r="BF135" i="3"/>
  <c r="BI135" i="3"/>
  <c r="BL135" i="3"/>
  <c r="BO135" i="3"/>
  <c r="G134" i="3"/>
  <c r="AE134" i="3"/>
  <c r="AH134" i="3"/>
  <c r="AK134" i="3"/>
  <c r="AN134" i="3"/>
  <c r="AQ134" i="3"/>
  <c r="AT134" i="3"/>
  <c r="AW134" i="3"/>
  <c r="AZ134" i="3"/>
  <c r="BC134" i="3"/>
  <c r="BF134" i="3"/>
  <c r="BI134" i="3"/>
  <c r="BL134" i="3"/>
  <c r="BO134" i="3"/>
  <c r="G133" i="3"/>
  <c r="AE133" i="3"/>
  <c r="AH133" i="3"/>
  <c r="AK133" i="3"/>
  <c r="AN133" i="3"/>
  <c r="AQ133" i="3"/>
  <c r="AT133" i="3"/>
  <c r="AW133" i="3"/>
  <c r="AZ133" i="3"/>
  <c r="BC133" i="3"/>
  <c r="BF133" i="3"/>
  <c r="BI133" i="3"/>
  <c r="BL133" i="3"/>
  <c r="BO133" i="3"/>
  <c r="G132" i="3"/>
  <c r="AE132" i="3"/>
  <c r="AH132" i="3"/>
  <c r="AK132" i="3"/>
  <c r="AN132" i="3"/>
  <c r="AQ132" i="3"/>
  <c r="AT132" i="3"/>
  <c r="AW132" i="3"/>
  <c r="AZ132" i="3"/>
  <c r="BC132" i="3"/>
  <c r="BF132" i="3"/>
  <c r="BI132" i="3"/>
  <c r="BL132" i="3"/>
  <c r="BO132" i="3"/>
  <c r="G131" i="3"/>
  <c r="AE131" i="3"/>
  <c r="AH131" i="3"/>
  <c r="AK131" i="3"/>
  <c r="AN131" i="3"/>
  <c r="AQ131" i="3"/>
  <c r="AT131" i="3"/>
  <c r="AW131" i="3"/>
  <c r="AZ131" i="3"/>
  <c r="BC131" i="3"/>
  <c r="BF131" i="3"/>
  <c r="BI131" i="3"/>
  <c r="BL131" i="3"/>
  <c r="BO131" i="3"/>
  <c r="G130" i="3"/>
  <c r="AE130" i="3"/>
  <c r="AH130" i="3"/>
  <c r="AK130" i="3"/>
  <c r="AN130" i="3"/>
  <c r="AQ130" i="3"/>
  <c r="AT130" i="3"/>
  <c r="AW130" i="3"/>
  <c r="AZ130" i="3"/>
  <c r="BC130" i="3"/>
  <c r="BF130" i="3"/>
  <c r="BI130" i="3"/>
  <c r="BL130" i="3"/>
  <c r="BO130" i="3"/>
  <c r="G129" i="3"/>
  <c r="AE129" i="3"/>
  <c r="AH129" i="3"/>
  <c r="AK129" i="3"/>
  <c r="AN129" i="3"/>
  <c r="AQ129" i="3"/>
  <c r="AT129" i="3"/>
  <c r="AW129" i="3"/>
  <c r="AZ129" i="3"/>
  <c r="BC129" i="3"/>
  <c r="BF129" i="3"/>
  <c r="BI129" i="3"/>
  <c r="BL129" i="3"/>
  <c r="BO129" i="3"/>
  <c r="G128" i="3"/>
  <c r="AE128" i="3"/>
  <c r="AH128" i="3"/>
  <c r="AK128" i="3"/>
  <c r="AN128" i="3"/>
  <c r="AQ128" i="3"/>
  <c r="AT128" i="3"/>
  <c r="AW128" i="3"/>
  <c r="AZ128" i="3"/>
  <c r="BC128" i="3"/>
  <c r="BF128" i="3"/>
  <c r="BI128" i="3"/>
  <c r="BL128" i="3"/>
  <c r="BO128" i="3"/>
  <c r="G127" i="3"/>
  <c r="AE127" i="3"/>
  <c r="AH127" i="3"/>
  <c r="AK127" i="3"/>
  <c r="AN127" i="3"/>
  <c r="AQ127" i="3"/>
  <c r="AT127" i="3"/>
  <c r="AW127" i="3"/>
  <c r="AZ127" i="3"/>
  <c r="BC127" i="3"/>
  <c r="BF127" i="3"/>
  <c r="BI127" i="3"/>
  <c r="BL127" i="3"/>
  <c r="BO127" i="3"/>
  <c r="G126" i="3"/>
  <c r="AE126" i="3"/>
  <c r="AH126" i="3"/>
  <c r="AK126" i="3"/>
  <c r="AN126" i="3"/>
  <c r="AQ126" i="3"/>
  <c r="AT126" i="3"/>
  <c r="AW126" i="3"/>
  <c r="AZ126" i="3"/>
  <c r="BC126" i="3"/>
  <c r="BF126" i="3"/>
  <c r="BI126" i="3"/>
  <c r="BL126" i="3"/>
  <c r="BO126" i="3"/>
  <c r="AF125" i="3"/>
  <c r="AE125" i="3"/>
  <c r="AI125" i="3"/>
  <c r="AH125" i="3"/>
  <c r="AL125" i="3"/>
  <c r="AK125" i="3"/>
  <c r="AM125" i="3" s="1"/>
  <c r="AO125" i="3"/>
  <c r="AP125" i="3" s="1"/>
  <c r="AN125" i="3"/>
  <c r="AR125" i="3"/>
  <c r="AQ125" i="3"/>
  <c r="AU125" i="3"/>
  <c r="AT125" i="3"/>
  <c r="AV125" i="3" s="1"/>
  <c r="AX125" i="3"/>
  <c r="AY125" i="3" s="1"/>
  <c r="AW125" i="3"/>
  <c r="BA125" i="3"/>
  <c r="AZ125" i="3"/>
  <c r="BB125" i="3"/>
  <c r="BD125" i="3"/>
  <c r="BC125" i="3"/>
  <c r="BG125" i="3"/>
  <c r="BH125" i="3"/>
  <c r="BF125" i="3"/>
  <c r="BJ125" i="3"/>
  <c r="BK125" i="3" s="1"/>
  <c r="BI125" i="3"/>
  <c r="BM125" i="3"/>
  <c r="BN125" i="3" s="1"/>
  <c r="BL125" i="3"/>
  <c r="BP125" i="3"/>
  <c r="BO125" i="3"/>
  <c r="AF124" i="3"/>
  <c r="AE124" i="3"/>
  <c r="AI124" i="3"/>
  <c r="AH124" i="3"/>
  <c r="AJ124" i="3" s="1"/>
  <c r="AL124" i="3"/>
  <c r="AK124" i="3"/>
  <c r="AO124" i="3"/>
  <c r="AN124" i="3"/>
  <c r="AR124" i="3"/>
  <c r="AQ124" i="3"/>
  <c r="AU124" i="3"/>
  <c r="AT124" i="3"/>
  <c r="AX124" i="3"/>
  <c r="AW124" i="3"/>
  <c r="BA124" i="3"/>
  <c r="AZ124" i="3"/>
  <c r="BD124" i="3"/>
  <c r="BC124" i="3"/>
  <c r="BG124" i="3"/>
  <c r="BF124" i="3"/>
  <c r="BH124" i="3" s="1"/>
  <c r="BJ124" i="3"/>
  <c r="BI124" i="3"/>
  <c r="BM124" i="3"/>
  <c r="BL124" i="3"/>
  <c r="BN124" i="3" s="1"/>
  <c r="BP124" i="3"/>
  <c r="BQ124" i="3" s="1"/>
  <c r="BO124" i="3"/>
  <c r="AF123" i="3"/>
  <c r="AE123" i="3"/>
  <c r="AI123" i="3"/>
  <c r="AH123" i="3"/>
  <c r="AL123" i="3"/>
  <c r="AK123" i="3"/>
  <c r="AO123" i="3"/>
  <c r="AN123" i="3"/>
  <c r="AR123" i="3"/>
  <c r="AQ123" i="3"/>
  <c r="AU123" i="3"/>
  <c r="AT123" i="3"/>
  <c r="AX123" i="3"/>
  <c r="AW123" i="3"/>
  <c r="BA123" i="3"/>
  <c r="AZ123" i="3"/>
  <c r="BD123" i="3"/>
  <c r="BC123" i="3"/>
  <c r="BE123" i="3" s="1"/>
  <c r="BG123" i="3"/>
  <c r="BF123" i="3"/>
  <c r="BJ123" i="3"/>
  <c r="BI123" i="3"/>
  <c r="BM123" i="3"/>
  <c r="BL123" i="3"/>
  <c r="BN123" i="3" s="1"/>
  <c r="BP123" i="3"/>
  <c r="BO123" i="3"/>
  <c r="AF122" i="3"/>
  <c r="AE122" i="3"/>
  <c r="AI122" i="3"/>
  <c r="AH122" i="3"/>
  <c r="AL122" i="3"/>
  <c r="AK122" i="3"/>
  <c r="AM122" i="3" s="1"/>
  <c r="AO122" i="3"/>
  <c r="AN122" i="3"/>
  <c r="AR122" i="3"/>
  <c r="AS122" i="3" s="1"/>
  <c r="AQ122" i="3"/>
  <c r="AU122" i="3"/>
  <c r="AT122" i="3"/>
  <c r="AV122" i="3" s="1"/>
  <c r="AX122" i="3"/>
  <c r="AW122" i="3"/>
  <c r="BA122" i="3"/>
  <c r="AZ122" i="3"/>
  <c r="BD122" i="3"/>
  <c r="BC122" i="3"/>
  <c r="BG122" i="3"/>
  <c r="BF122" i="3"/>
  <c r="BJ122" i="3"/>
  <c r="BI122" i="3"/>
  <c r="BM122" i="3"/>
  <c r="BL122" i="3"/>
  <c r="BP122" i="3"/>
  <c r="BO122" i="3"/>
  <c r="AF121" i="3"/>
  <c r="AE121" i="3"/>
  <c r="AI121" i="3"/>
  <c r="AJ121" i="3" s="1"/>
  <c r="AH121" i="3"/>
  <c r="AL121" i="3"/>
  <c r="AM121" i="3" s="1"/>
  <c r="AK121" i="3"/>
  <c r="AO121" i="3"/>
  <c r="AN121" i="3"/>
  <c r="AR121" i="3"/>
  <c r="AQ121" i="3"/>
  <c r="AU121" i="3"/>
  <c r="AV121" i="3" s="1"/>
  <c r="AT121" i="3"/>
  <c r="AX121" i="3"/>
  <c r="AW121" i="3"/>
  <c r="BA121" i="3"/>
  <c r="BB121" i="3" s="1"/>
  <c r="AZ121" i="3"/>
  <c r="BD121" i="3"/>
  <c r="BC121" i="3"/>
  <c r="BG121" i="3"/>
  <c r="BF121" i="3"/>
  <c r="BH121" i="3" s="1"/>
  <c r="BJ121" i="3"/>
  <c r="BI121" i="3"/>
  <c r="BM121" i="3"/>
  <c r="BL121" i="3"/>
  <c r="BN121" i="3" s="1"/>
  <c r="BP121" i="3"/>
  <c r="BO121" i="3"/>
  <c r="AF120" i="3"/>
  <c r="AE120" i="3"/>
  <c r="AI120" i="3"/>
  <c r="AH120" i="3"/>
  <c r="AL120" i="3"/>
  <c r="AK120" i="3"/>
  <c r="AO120" i="3"/>
  <c r="AN120" i="3"/>
  <c r="AR120" i="3"/>
  <c r="AQ120" i="3"/>
  <c r="AU120" i="3"/>
  <c r="AT120" i="3"/>
  <c r="AV120" i="3" s="1"/>
  <c r="AX120" i="3"/>
  <c r="AW120" i="3"/>
  <c r="BA120" i="3"/>
  <c r="AZ120" i="3"/>
  <c r="BD120" i="3"/>
  <c r="BE120" i="3" s="1"/>
  <c r="BC120" i="3"/>
  <c r="BG120" i="3"/>
  <c r="BH120" i="3" s="1"/>
  <c r="BF120" i="3"/>
  <c r="BJ120" i="3"/>
  <c r="BI120" i="3"/>
  <c r="BM120" i="3"/>
  <c r="BN120" i="3" s="1"/>
  <c r="BL120" i="3"/>
  <c r="BP120" i="3"/>
  <c r="BO120" i="3"/>
  <c r="AF119" i="3"/>
  <c r="AG119" i="3" s="1"/>
  <c r="AE119" i="3"/>
  <c r="AI119" i="3"/>
  <c r="AH119" i="3"/>
  <c r="AL119" i="3"/>
  <c r="AK119" i="3"/>
  <c r="AM119" i="3" s="1"/>
  <c r="AO119" i="3"/>
  <c r="AN119" i="3"/>
  <c r="AR119" i="3"/>
  <c r="AS119" i="3" s="1"/>
  <c r="AQ119" i="3"/>
  <c r="AU119" i="3"/>
  <c r="AT119" i="3"/>
  <c r="AX119" i="3"/>
  <c r="AW119" i="3"/>
  <c r="BA119" i="3"/>
  <c r="AZ119" i="3"/>
  <c r="BD119" i="3"/>
  <c r="BC119" i="3"/>
  <c r="BE119" i="3" s="1"/>
  <c r="BG119" i="3"/>
  <c r="BF119" i="3"/>
  <c r="BH119" i="3" s="1"/>
  <c r="BJ119" i="3"/>
  <c r="BI119" i="3"/>
  <c r="BM119" i="3"/>
  <c r="BN119" i="3" s="1"/>
  <c r="BL119" i="3"/>
  <c r="BP119" i="3"/>
  <c r="BO119" i="3"/>
  <c r="AF118" i="3"/>
  <c r="AE118" i="3"/>
  <c r="AI118" i="3"/>
  <c r="AH118" i="3"/>
  <c r="AL118" i="3"/>
  <c r="AM118" i="3" s="1"/>
  <c r="AK118" i="3"/>
  <c r="AO118" i="3"/>
  <c r="AN118" i="3"/>
  <c r="AR118" i="3"/>
  <c r="AQ118" i="3"/>
  <c r="AU118" i="3"/>
  <c r="AT118" i="3"/>
  <c r="AX118" i="3"/>
  <c r="AY118" i="3" s="1"/>
  <c r="AW118" i="3"/>
  <c r="BA118" i="3"/>
  <c r="BB118" i="3" s="1"/>
  <c r="AZ118" i="3"/>
  <c r="BD118" i="3"/>
  <c r="BC118" i="3"/>
  <c r="BG118" i="3"/>
  <c r="BF118" i="3"/>
  <c r="BH118" i="3" s="1"/>
  <c r="BJ118" i="3"/>
  <c r="BK118" i="3" s="1"/>
  <c r="BI118" i="3"/>
  <c r="BM118" i="3"/>
  <c r="BL118" i="3"/>
  <c r="BP118" i="3"/>
  <c r="BO118" i="3"/>
  <c r="BQ118" i="3" s="1"/>
  <c r="AF117" i="3"/>
  <c r="AG117" i="3" s="1"/>
  <c r="AE117" i="3"/>
  <c r="AI117" i="3"/>
  <c r="AH117" i="3"/>
  <c r="AL117" i="3"/>
  <c r="AK117" i="3"/>
  <c r="AO117" i="3"/>
  <c r="AN117" i="3"/>
  <c r="AR117" i="3"/>
  <c r="AQ117" i="3"/>
  <c r="AS117" i="3"/>
  <c r="AU117" i="3"/>
  <c r="AT117" i="3"/>
  <c r="AX117" i="3"/>
  <c r="AW117" i="3"/>
  <c r="BA117" i="3"/>
  <c r="BB117" i="3" s="1"/>
  <c r="AZ117" i="3"/>
  <c r="BD117" i="3"/>
  <c r="BC117" i="3"/>
  <c r="BG117" i="3"/>
  <c r="BF117" i="3"/>
  <c r="BH117" i="3" s="1"/>
  <c r="BJ117" i="3"/>
  <c r="BI117" i="3"/>
  <c r="BM117" i="3"/>
  <c r="BL117" i="3"/>
  <c r="BP117" i="3"/>
  <c r="BO117" i="3"/>
  <c r="AF116" i="3"/>
  <c r="AE116" i="3"/>
  <c r="AI116" i="3"/>
  <c r="AH116" i="3"/>
  <c r="AL116" i="3"/>
  <c r="AK116" i="3"/>
  <c r="AO116" i="3"/>
  <c r="AN116" i="3"/>
  <c r="AR116" i="3"/>
  <c r="AQ116" i="3"/>
  <c r="AU116" i="3"/>
  <c r="AT116" i="3"/>
  <c r="AX116" i="3"/>
  <c r="AW116" i="3"/>
  <c r="BA116" i="3"/>
  <c r="BB116" i="3" s="1"/>
  <c r="AZ116" i="3"/>
  <c r="BD116" i="3"/>
  <c r="BC116" i="3"/>
  <c r="BG116" i="3"/>
  <c r="BH116" i="3" s="1"/>
  <c r="BF116" i="3"/>
  <c r="BJ116" i="3"/>
  <c r="BI116" i="3"/>
  <c r="BM116" i="3"/>
  <c r="BN116" i="3" s="1"/>
  <c r="BL116" i="3"/>
  <c r="BP116" i="3"/>
  <c r="BO116" i="3"/>
  <c r="AF115" i="3"/>
  <c r="AI115" i="3"/>
  <c r="AJ115" i="3" s="1"/>
  <c r="AL115" i="3"/>
  <c r="AO115" i="3"/>
  <c r="AP115" i="3" s="1"/>
  <c r="AR115" i="3"/>
  <c r="AU115" i="3"/>
  <c r="AX115" i="3"/>
  <c r="BA115" i="3"/>
  <c r="BB115" i="3" s="1"/>
  <c r="BD115" i="3"/>
  <c r="BG115" i="3"/>
  <c r="BH115" i="3" s="1"/>
  <c r="BJ115" i="3"/>
  <c r="BM115" i="3"/>
  <c r="BP115" i="3"/>
  <c r="AE115" i="3"/>
  <c r="AH115" i="3"/>
  <c r="AK115" i="3"/>
  <c r="AN115" i="3"/>
  <c r="AQ115" i="3"/>
  <c r="AT115" i="3"/>
  <c r="AW115" i="3"/>
  <c r="AY115" i="3" s="1"/>
  <c r="AZ115" i="3"/>
  <c r="BC115" i="3"/>
  <c r="BF115" i="3"/>
  <c r="BI115" i="3"/>
  <c r="BL115" i="3"/>
  <c r="BO115" i="3"/>
  <c r="AF114" i="3"/>
  <c r="AI114" i="3"/>
  <c r="AJ114" i="3" s="1"/>
  <c r="AL114" i="3"/>
  <c r="AO114" i="3"/>
  <c r="AP114" i="3" s="1"/>
  <c r="AR114" i="3"/>
  <c r="AU114" i="3"/>
  <c r="AX114" i="3"/>
  <c r="AY114" i="3" s="1"/>
  <c r="BA114" i="3"/>
  <c r="BD114" i="3"/>
  <c r="BG114" i="3"/>
  <c r="BJ114" i="3"/>
  <c r="BM114" i="3"/>
  <c r="BP114" i="3"/>
  <c r="AE114" i="3"/>
  <c r="AH114" i="3"/>
  <c r="AK114" i="3"/>
  <c r="AN114" i="3"/>
  <c r="AQ114" i="3"/>
  <c r="AT114" i="3"/>
  <c r="AW114" i="3"/>
  <c r="AZ114" i="3"/>
  <c r="BC114" i="3"/>
  <c r="BF114" i="3"/>
  <c r="BI114" i="3"/>
  <c r="BL114" i="3"/>
  <c r="BO114" i="3"/>
  <c r="AF113" i="3"/>
  <c r="AI113" i="3"/>
  <c r="AL113" i="3"/>
  <c r="AO113" i="3"/>
  <c r="AR113" i="3"/>
  <c r="AU113" i="3"/>
  <c r="AX113" i="3"/>
  <c r="BA113" i="3"/>
  <c r="BB113" i="3" s="1"/>
  <c r="BD113" i="3"/>
  <c r="BG113" i="3"/>
  <c r="BJ113" i="3"/>
  <c r="BM113" i="3"/>
  <c r="BP113" i="3"/>
  <c r="BQ113" i="3" s="1"/>
  <c r="AE113" i="3"/>
  <c r="AH113" i="3"/>
  <c r="AK113" i="3"/>
  <c r="AN113" i="3"/>
  <c r="AQ113" i="3"/>
  <c r="AT113" i="3"/>
  <c r="AW113" i="3"/>
  <c r="AY113" i="3" s="1"/>
  <c r="AZ113" i="3"/>
  <c r="BC113" i="3"/>
  <c r="BF113" i="3"/>
  <c r="BI113" i="3"/>
  <c r="BK113" i="3" s="1"/>
  <c r="BL113" i="3"/>
  <c r="BO113" i="3"/>
  <c r="AF112" i="3"/>
  <c r="AI112" i="3"/>
  <c r="AL112" i="3"/>
  <c r="AO112" i="3"/>
  <c r="AR112" i="3"/>
  <c r="AU112" i="3"/>
  <c r="AX112" i="3"/>
  <c r="BA112" i="3"/>
  <c r="BD112" i="3"/>
  <c r="BG112" i="3"/>
  <c r="BH112" i="3" s="1"/>
  <c r="BJ112" i="3"/>
  <c r="BM112" i="3"/>
  <c r="BN112" i="3" s="1"/>
  <c r="BP112" i="3"/>
  <c r="AE112" i="3"/>
  <c r="AH112" i="3"/>
  <c r="AK112" i="3"/>
  <c r="AN112" i="3"/>
  <c r="AQ112" i="3"/>
  <c r="AT112" i="3"/>
  <c r="AW112" i="3"/>
  <c r="AZ112" i="3"/>
  <c r="BC112" i="3"/>
  <c r="BE112" i="3" s="1"/>
  <c r="BF112" i="3"/>
  <c r="BI112" i="3"/>
  <c r="BL112" i="3"/>
  <c r="BO112" i="3"/>
  <c r="AF111" i="3"/>
  <c r="AI111" i="3"/>
  <c r="AJ111" i="3" s="1"/>
  <c r="AL111" i="3"/>
  <c r="AO111" i="3"/>
  <c r="AP111" i="3" s="1"/>
  <c r="AR111" i="3"/>
  <c r="AU111" i="3"/>
  <c r="AX111" i="3"/>
  <c r="BA111" i="3"/>
  <c r="BD111" i="3"/>
  <c r="BG111" i="3"/>
  <c r="BJ111" i="3"/>
  <c r="BM111" i="3"/>
  <c r="BN111" i="3" s="1"/>
  <c r="BP111" i="3"/>
  <c r="AE111" i="3"/>
  <c r="AH111" i="3"/>
  <c r="AK111" i="3"/>
  <c r="AN111" i="3"/>
  <c r="AQ111" i="3"/>
  <c r="AS111" i="3" s="1"/>
  <c r="AT111" i="3"/>
  <c r="AV111" i="3" s="1"/>
  <c r="AW111" i="3"/>
  <c r="AY111" i="3" s="1"/>
  <c r="AZ111" i="3"/>
  <c r="BC111" i="3"/>
  <c r="BF111" i="3"/>
  <c r="BI111" i="3"/>
  <c r="BL111" i="3"/>
  <c r="BO111" i="3"/>
  <c r="BQ111" i="3" s="1"/>
  <c r="AF110" i="3"/>
  <c r="AI110" i="3"/>
  <c r="AJ110" i="3" s="1"/>
  <c r="AL110" i="3"/>
  <c r="AO110" i="3"/>
  <c r="AR110" i="3"/>
  <c r="AU110" i="3"/>
  <c r="AV110" i="3" s="1"/>
  <c r="AX110" i="3"/>
  <c r="BA110" i="3"/>
  <c r="BB110" i="3" s="1"/>
  <c r="BD110" i="3"/>
  <c r="BG110" i="3"/>
  <c r="BJ110" i="3"/>
  <c r="BM110" i="3"/>
  <c r="BP110" i="3"/>
  <c r="AE110" i="3"/>
  <c r="AH110" i="3"/>
  <c r="AK110" i="3"/>
  <c r="AN110" i="3"/>
  <c r="AQ110" i="3"/>
  <c r="AT110" i="3"/>
  <c r="AW110" i="3"/>
  <c r="AZ110" i="3"/>
  <c r="BC110" i="3"/>
  <c r="BF110" i="3"/>
  <c r="BI110" i="3"/>
  <c r="BK110" i="3" s="1"/>
  <c r="BL110" i="3"/>
  <c r="BO110" i="3"/>
  <c r="BQ110" i="3" s="1"/>
  <c r="AF109" i="3"/>
  <c r="AI109" i="3"/>
  <c r="AL109" i="3"/>
  <c r="AO109" i="3"/>
  <c r="AR109" i="3"/>
  <c r="AU109" i="3"/>
  <c r="AX109" i="3"/>
  <c r="BA109" i="3"/>
  <c r="BB109" i="3" s="1"/>
  <c r="BD109" i="3"/>
  <c r="BG109" i="3"/>
  <c r="BJ109" i="3"/>
  <c r="BM109" i="3"/>
  <c r="BP109" i="3"/>
  <c r="AE109" i="3"/>
  <c r="AH109" i="3"/>
  <c r="AK109" i="3"/>
  <c r="AM109" i="3" s="1"/>
  <c r="AN109" i="3"/>
  <c r="AQ109" i="3"/>
  <c r="AT109" i="3"/>
  <c r="AW109" i="3"/>
  <c r="AZ109" i="3"/>
  <c r="BC109" i="3"/>
  <c r="BF109" i="3"/>
  <c r="BI109" i="3"/>
  <c r="BL109" i="3"/>
  <c r="BO109" i="3"/>
  <c r="AF108" i="3"/>
  <c r="AI108" i="3"/>
  <c r="AL108" i="3"/>
  <c r="AO108" i="3"/>
  <c r="AR108" i="3"/>
  <c r="AU108" i="3"/>
  <c r="AX108" i="3"/>
  <c r="BA108" i="3"/>
  <c r="BD108" i="3"/>
  <c r="BG108" i="3"/>
  <c r="BH108" i="3" s="1"/>
  <c r="BJ108" i="3"/>
  <c r="BM108" i="3"/>
  <c r="BP108" i="3"/>
  <c r="AE108" i="3"/>
  <c r="AH108" i="3"/>
  <c r="AK108" i="3"/>
  <c r="AN108" i="3"/>
  <c r="AQ108" i="3"/>
  <c r="AT108" i="3"/>
  <c r="AW108" i="3"/>
  <c r="AZ108" i="3"/>
  <c r="BC108" i="3"/>
  <c r="BE108" i="3" s="1"/>
  <c r="BF108" i="3"/>
  <c r="BI108" i="3"/>
  <c r="BL108" i="3"/>
  <c r="BO108" i="3"/>
  <c r="AF107" i="3"/>
  <c r="AG107" i="3" s="1"/>
  <c r="AI107" i="3"/>
  <c r="AL107" i="3"/>
  <c r="AO107" i="3"/>
  <c r="AP107" i="3" s="1"/>
  <c r="AR107" i="3"/>
  <c r="AU107" i="3"/>
  <c r="AX107" i="3"/>
  <c r="BA107" i="3"/>
  <c r="BB107" i="3" s="1"/>
  <c r="BD107" i="3"/>
  <c r="BG107" i="3"/>
  <c r="BH107" i="3" s="1"/>
  <c r="BJ107" i="3"/>
  <c r="BM107" i="3"/>
  <c r="BP107" i="3"/>
  <c r="AE107" i="3"/>
  <c r="AH107" i="3"/>
  <c r="AK107" i="3"/>
  <c r="AN107" i="3"/>
  <c r="AQ107" i="3"/>
  <c r="AT107" i="3"/>
  <c r="AW107" i="3"/>
  <c r="AY107" i="3" s="1"/>
  <c r="AZ107" i="3"/>
  <c r="BC107" i="3"/>
  <c r="BF107" i="3"/>
  <c r="BI107" i="3"/>
  <c r="BL107" i="3"/>
  <c r="BO107" i="3"/>
  <c r="AF106" i="3"/>
  <c r="AI106" i="3"/>
  <c r="AL106" i="3"/>
  <c r="AO106" i="3"/>
  <c r="AR106" i="3"/>
  <c r="AU106" i="3"/>
  <c r="AX106" i="3"/>
  <c r="AY106" i="3" s="1"/>
  <c r="BA106" i="3"/>
  <c r="BD106" i="3"/>
  <c r="BG106" i="3"/>
  <c r="BH106" i="3" s="1"/>
  <c r="BJ106" i="3"/>
  <c r="BM106" i="3"/>
  <c r="BP106" i="3"/>
  <c r="AE106" i="3"/>
  <c r="AG106" i="3" s="1"/>
  <c r="AH106" i="3"/>
  <c r="AK106" i="3"/>
  <c r="AN106" i="3"/>
  <c r="AQ106" i="3"/>
  <c r="AT106" i="3"/>
  <c r="AW106" i="3"/>
  <c r="AZ106" i="3"/>
  <c r="BC106" i="3"/>
  <c r="BF106" i="3"/>
  <c r="BI106" i="3"/>
  <c r="BL106" i="3"/>
  <c r="BO106" i="3"/>
  <c r="BQ106" i="3" s="1"/>
  <c r="D105" i="3"/>
  <c r="D104" i="3"/>
  <c r="D103" i="3"/>
  <c r="D102" i="3"/>
  <c r="D101" i="3"/>
  <c r="D100" i="3"/>
  <c r="D99" i="3"/>
  <c r="D98" i="3"/>
  <c r="D97" i="3"/>
  <c r="D96" i="3"/>
  <c r="H95" i="3"/>
  <c r="G95" i="3"/>
  <c r="I95" i="3" s="1"/>
  <c r="K95" i="3"/>
  <c r="J95" i="3"/>
  <c r="N95" i="3"/>
  <c r="M95" i="3"/>
  <c r="Q95" i="3"/>
  <c r="R95" i="3" s="1"/>
  <c r="P95" i="3"/>
  <c r="T95" i="3"/>
  <c r="S95" i="3"/>
  <c r="W95" i="3"/>
  <c r="V95" i="3"/>
  <c r="Z95" i="3"/>
  <c r="Y95" i="3"/>
  <c r="AA95" i="3" s="1"/>
  <c r="AC95" i="3"/>
  <c r="AB95" i="3"/>
  <c r="AF95" i="3"/>
  <c r="AE95" i="3"/>
  <c r="AI95" i="3"/>
  <c r="AH95" i="3"/>
  <c r="AL95" i="3"/>
  <c r="AK95" i="3"/>
  <c r="AM95" i="3" s="1"/>
  <c r="AO95" i="3"/>
  <c r="AN95" i="3"/>
  <c r="AR95" i="3"/>
  <c r="AQ95" i="3"/>
  <c r="AS95" i="3" s="1"/>
  <c r="AU95" i="3"/>
  <c r="AT95" i="3"/>
  <c r="AX95" i="3"/>
  <c r="AW95" i="3"/>
  <c r="BA95" i="3"/>
  <c r="AZ95" i="3"/>
  <c r="BD95" i="3"/>
  <c r="BC95" i="3"/>
  <c r="BG95" i="3"/>
  <c r="BF95" i="3"/>
  <c r="BJ95" i="3"/>
  <c r="BK95" i="3" s="1"/>
  <c r="BI95" i="3"/>
  <c r="BM95" i="3"/>
  <c r="BN95" i="3" s="1"/>
  <c r="BL95" i="3"/>
  <c r="BP95" i="3"/>
  <c r="BO95" i="3"/>
  <c r="H94" i="3"/>
  <c r="G94" i="3"/>
  <c r="K94" i="3"/>
  <c r="J94" i="3"/>
  <c r="N94" i="3"/>
  <c r="M94" i="3"/>
  <c r="Q94" i="3"/>
  <c r="P94" i="3"/>
  <c r="T94" i="3"/>
  <c r="U94" i="3" s="1"/>
  <c r="S94" i="3"/>
  <c r="W94" i="3"/>
  <c r="V94" i="3"/>
  <c r="Z94" i="3"/>
  <c r="Y94" i="3"/>
  <c r="AA94" i="3"/>
  <c r="AC94" i="3"/>
  <c r="AD94" i="3" s="1"/>
  <c r="AB94" i="3"/>
  <c r="AF94" i="3"/>
  <c r="AE94" i="3"/>
  <c r="AI94" i="3"/>
  <c r="AH94" i="3"/>
  <c r="AL94" i="3"/>
  <c r="AK94" i="3"/>
  <c r="AO94" i="3"/>
  <c r="AP94" i="3" s="1"/>
  <c r="AN94" i="3"/>
  <c r="AR94" i="3"/>
  <c r="AQ94" i="3"/>
  <c r="AU94" i="3"/>
  <c r="AT94" i="3"/>
  <c r="AX94" i="3"/>
  <c r="AY94" i="3" s="1"/>
  <c r="AW94" i="3"/>
  <c r="BA94" i="3"/>
  <c r="AZ94" i="3"/>
  <c r="BD94" i="3"/>
  <c r="BE94" i="3" s="1"/>
  <c r="BC94" i="3"/>
  <c r="BG94" i="3"/>
  <c r="BF94" i="3"/>
  <c r="BJ94" i="3"/>
  <c r="BK94" i="3" s="1"/>
  <c r="BI94" i="3"/>
  <c r="BM94" i="3"/>
  <c r="BL94" i="3"/>
  <c r="BP94" i="3"/>
  <c r="BO94" i="3"/>
  <c r="H93" i="3"/>
  <c r="G93" i="3"/>
  <c r="K93" i="3"/>
  <c r="L93" i="3" s="1"/>
  <c r="J93" i="3"/>
  <c r="N93" i="3"/>
  <c r="M93" i="3"/>
  <c r="Q93" i="3"/>
  <c r="R93" i="3" s="1"/>
  <c r="P93" i="3"/>
  <c r="T93" i="3"/>
  <c r="S93" i="3"/>
  <c r="W93" i="3"/>
  <c r="V93" i="3"/>
  <c r="Z93" i="3"/>
  <c r="Y93" i="3"/>
  <c r="AC93" i="3"/>
  <c r="AB93" i="3"/>
  <c r="AF93" i="3"/>
  <c r="AE93" i="3"/>
  <c r="AI93" i="3"/>
  <c r="AH93" i="3"/>
  <c r="AL93" i="3"/>
  <c r="AK93" i="3"/>
  <c r="AO93" i="3"/>
  <c r="AN93" i="3"/>
  <c r="AR93" i="3"/>
  <c r="AQ93" i="3"/>
  <c r="AU93" i="3"/>
  <c r="AT93" i="3"/>
  <c r="AX93" i="3"/>
  <c r="AW93" i="3"/>
  <c r="AY93" i="3" s="1"/>
  <c r="BA93" i="3"/>
  <c r="AZ93" i="3"/>
  <c r="BD93" i="3"/>
  <c r="BC93" i="3"/>
  <c r="BE93" i="3"/>
  <c r="BG93" i="3"/>
  <c r="BH93" i="3" s="1"/>
  <c r="BF93" i="3"/>
  <c r="BJ93" i="3"/>
  <c r="BI93" i="3"/>
  <c r="BM93" i="3"/>
  <c r="BL93" i="3"/>
  <c r="BN93" i="3"/>
  <c r="BP93" i="3"/>
  <c r="BO93" i="3"/>
  <c r="H92" i="3"/>
  <c r="G92" i="3"/>
  <c r="K92" i="3"/>
  <c r="L92" i="3" s="1"/>
  <c r="J92" i="3"/>
  <c r="N92" i="3"/>
  <c r="M92" i="3"/>
  <c r="O92" i="3" s="1"/>
  <c r="Q92" i="3"/>
  <c r="R92" i="3" s="1"/>
  <c r="P92" i="3"/>
  <c r="T92" i="3"/>
  <c r="S92" i="3"/>
  <c r="W92" i="3"/>
  <c r="V92" i="3"/>
  <c r="Z92" i="3"/>
  <c r="Y92" i="3"/>
  <c r="AC92" i="3"/>
  <c r="AD92" i="3" s="1"/>
  <c r="AB92" i="3"/>
  <c r="AF92" i="3"/>
  <c r="AE92" i="3"/>
  <c r="AI92" i="3"/>
  <c r="AH92" i="3"/>
  <c r="AL92" i="3"/>
  <c r="AK92" i="3"/>
  <c r="AO92" i="3"/>
  <c r="AN92" i="3"/>
  <c r="AR92" i="3"/>
  <c r="AS92" i="3" s="1"/>
  <c r="AQ92" i="3"/>
  <c r="AU92" i="3"/>
  <c r="AT92" i="3"/>
  <c r="AX92" i="3"/>
  <c r="AW92" i="3"/>
  <c r="BA92" i="3"/>
  <c r="AZ92" i="3"/>
  <c r="BD92" i="3"/>
  <c r="BC92" i="3"/>
  <c r="BG92" i="3"/>
  <c r="BF92" i="3"/>
  <c r="BH92" i="3" s="1"/>
  <c r="BJ92" i="3"/>
  <c r="D45" i="14" s="1"/>
  <c r="BI92" i="3"/>
  <c r="BM92" i="3"/>
  <c r="BL92" i="3"/>
  <c r="BP92" i="3"/>
  <c r="BQ92" i="3" s="1"/>
  <c r="BO92" i="3"/>
  <c r="H91" i="3"/>
  <c r="G91" i="3"/>
  <c r="I91" i="3" s="1"/>
  <c r="K91" i="3"/>
  <c r="J91" i="3"/>
  <c r="N91" i="3"/>
  <c r="M91" i="3"/>
  <c r="Q91" i="3"/>
  <c r="P91" i="3"/>
  <c r="T91" i="3"/>
  <c r="S91" i="3"/>
  <c r="W91" i="3"/>
  <c r="V91" i="3"/>
  <c r="Z91" i="3"/>
  <c r="Y91" i="3"/>
  <c r="AC91" i="3"/>
  <c r="AD91" i="3" s="1"/>
  <c r="AB91" i="3"/>
  <c r="AF91" i="3"/>
  <c r="AE91" i="3"/>
  <c r="AI91" i="3"/>
  <c r="AH91" i="3"/>
  <c r="AL91" i="3"/>
  <c r="AK91" i="3"/>
  <c r="AO91" i="3"/>
  <c r="AN91" i="3"/>
  <c r="AR91" i="3"/>
  <c r="AQ91" i="3"/>
  <c r="AU91" i="3"/>
  <c r="AT91" i="3"/>
  <c r="AX91" i="3"/>
  <c r="AW91" i="3"/>
  <c r="BA91" i="3"/>
  <c r="AZ91" i="3"/>
  <c r="BD91" i="3"/>
  <c r="BC91" i="3"/>
  <c r="BG91" i="3"/>
  <c r="BH91" i="3" s="1"/>
  <c r="BF91" i="3"/>
  <c r="BJ91" i="3"/>
  <c r="BK91" i="3" s="1"/>
  <c r="BI91" i="3"/>
  <c r="BM91" i="3"/>
  <c r="BL91" i="3"/>
  <c r="BP91" i="3"/>
  <c r="D114" i="14" s="1"/>
  <c r="BO91" i="3"/>
  <c r="H90" i="3"/>
  <c r="G90" i="3"/>
  <c r="K90" i="3"/>
  <c r="J90" i="3"/>
  <c r="N90" i="3"/>
  <c r="M90" i="3"/>
  <c r="Q90" i="3"/>
  <c r="P90" i="3"/>
  <c r="T90" i="3"/>
  <c r="U90" i="3" s="1"/>
  <c r="S90" i="3"/>
  <c r="W90" i="3"/>
  <c r="V90" i="3"/>
  <c r="Z90" i="3"/>
  <c r="Y90" i="3"/>
  <c r="AC90" i="3"/>
  <c r="AB90" i="3"/>
  <c r="AF90" i="3"/>
  <c r="AE90" i="3"/>
  <c r="AI90" i="3"/>
  <c r="AH90" i="3"/>
  <c r="AL90" i="3"/>
  <c r="AK90" i="3"/>
  <c r="AO90" i="3"/>
  <c r="AN90" i="3"/>
  <c r="AR90" i="3"/>
  <c r="AQ90" i="3"/>
  <c r="AU90" i="3"/>
  <c r="AT90" i="3"/>
  <c r="AX90" i="3"/>
  <c r="AW90" i="3"/>
  <c r="BA90" i="3"/>
  <c r="AZ90" i="3"/>
  <c r="BD90" i="3"/>
  <c r="BC90" i="3"/>
  <c r="BG90" i="3"/>
  <c r="BF90" i="3"/>
  <c r="BJ90" i="3"/>
  <c r="BI90" i="3"/>
  <c r="BM90" i="3"/>
  <c r="BL90" i="3"/>
  <c r="BP90" i="3"/>
  <c r="BQ90" i="3" s="1"/>
  <c r="BO90" i="3"/>
  <c r="H89" i="3"/>
  <c r="G89" i="3"/>
  <c r="K89" i="3"/>
  <c r="J89" i="3"/>
  <c r="N89" i="3"/>
  <c r="O89" i="3" s="1"/>
  <c r="M89" i="3"/>
  <c r="Q89" i="3"/>
  <c r="R89" i="3" s="1"/>
  <c r="P89" i="3"/>
  <c r="T89" i="3"/>
  <c r="S89" i="3"/>
  <c r="W89" i="3"/>
  <c r="V89" i="3"/>
  <c r="Z89" i="3"/>
  <c r="AA89" i="3" s="1"/>
  <c r="Y89" i="3"/>
  <c r="AC89" i="3"/>
  <c r="AB89" i="3"/>
  <c r="AF89" i="3"/>
  <c r="AE89" i="3"/>
  <c r="AI89" i="3"/>
  <c r="AH89" i="3"/>
  <c r="AL89" i="3"/>
  <c r="AM89" i="3" s="1"/>
  <c r="AK89" i="3"/>
  <c r="AO89" i="3"/>
  <c r="AN89" i="3"/>
  <c r="AR89" i="3"/>
  <c r="AQ89" i="3"/>
  <c r="AS89" i="3" s="1"/>
  <c r="AU89" i="3"/>
  <c r="AT89" i="3"/>
  <c r="AX89" i="3"/>
  <c r="AY89" i="3" s="1"/>
  <c r="AW89" i="3"/>
  <c r="BA89" i="3"/>
  <c r="AZ89" i="3"/>
  <c r="BD89" i="3"/>
  <c r="BC89" i="3"/>
  <c r="BG89" i="3"/>
  <c r="BF89" i="3"/>
  <c r="BJ89" i="3"/>
  <c r="BI89" i="3"/>
  <c r="BM89" i="3"/>
  <c r="BL89" i="3"/>
  <c r="BN89" i="3" s="1"/>
  <c r="BP89" i="3"/>
  <c r="BO89" i="3"/>
  <c r="BQ89" i="3" s="1"/>
  <c r="H88" i="3"/>
  <c r="G88" i="3"/>
  <c r="K88" i="3"/>
  <c r="J88" i="3"/>
  <c r="N88" i="3"/>
  <c r="M88" i="3"/>
  <c r="O88" i="3" s="1"/>
  <c r="Q88" i="3"/>
  <c r="P88" i="3"/>
  <c r="T88" i="3"/>
  <c r="U88" i="3" s="1"/>
  <c r="S88" i="3"/>
  <c r="W88" i="3"/>
  <c r="X88" i="3" s="1"/>
  <c r="V88" i="3"/>
  <c r="Z88" i="3"/>
  <c r="Y88" i="3"/>
  <c r="AA88" i="3" s="1"/>
  <c r="AC88" i="3"/>
  <c r="AB88" i="3"/>
  <c r="AD88" i="3" s="1"/>
  <c r="AF88" i="3"/>
  <c r="AE88" i="3"/>
  <c r="AI88" i="3"/>
  <c r="AH88" i="3"/>
  <c r="AL88" i="3"/>
  <c r="AK88" i="3"/>
  <c r="AO88" i="3"/>
  <c r="AN88" i="3"/>
  <c r="AR88" i="3"/>
  <c r="AQ88" i="3"/>
  <c r="AU88" i="3"/>
  <c r="AT88" i="3"/>
  <c r="AV88" i="3" s="1"/>
  <c r="AX88" i="3"/>
  <c r="AW88" i="3"/>
  <c r="BA88" i="3"/>
  <c r="AZ88" i="3"/>
  <c r="BD88" i="3"/>
  <c r="BC88" i="3"/>
  <c r="BG88" i="3"/>
  <c r="BF88" i="3"/>
  <c r="BJ88" i="3"/>
  <c r="BI88" i="3"/>
  <c r="BM88" i="3"/>
  <c r="D76" i="14" s="1"/>
  <c r="BL88" i="3"/>
  <c r="BP88" i="3"/>
  <c r="BO88" i="3"/>
  <c r="BQ88" i="3"/>
  <c r="H87" i="3"/>
  <c r="D5" i="14" s="1"/>
  <c r="G87" i="3"/>
  <c r="K87" i="3"/>
  <c r="L87" i="3" s="1"/>
  <c r="J87" i="3"/>
  <c r="N87" i="3"/>
  <c r="M87" i="3"/>
  <c r="Q87" i="3"/>
  <c r="P87" i="3"/>
  <c r="T87" i="3"/>
  <c r="S87" i="3"/>
  <c r="U87" i="3" s="1"/>
  <c r="W87" i="3"/>
  <c r="X87" i="3" s="1"/>
  <c r="V87" i="3"/>
  <c r="Z87" i="3"/>
  <c r="Y87" i="3"/>
  <c r="AC87" i="3"/>
  <c r="AB87" i="3"/>
  <c r="AF87" i="3"/>
  <c r="AE87" i="3"/>
  <c r="AI87" i="3"/>
  <c r="AJ87" i="3" s="1"/>
  <c r="AH87" i="3"/>
  <c r="AL87" i="3"/>
  <c r="AK87" i="3"/>
  <c r="AO87" i="3"/>
  <c r="AN87" i="3"/>
  <c r="AR87" i="3"/>
  <c r="AQ87" i="3"/>
  <c r="AU87" i="3"/>
  <c r="AT87" i="3"/>
  <c r="AX87" i="3"/>
  <c r="AY87" i="3" s="1"/>
  <c r="AW87" i="3"/>
  <c r="BA87" i="3"/>
  <c r="AZ87" i="3"/>
  <c r="BD87" i="3"/>
  <c r="BC87" i="3"/>
  <c r="BG87" i="3"/>
  <c r="BF87" i="3"/>
  <c r="BJ87" i="3"/>
  <c r="BK87" i="3" s="1"/>
  <c r="BI87" i="3"/>
  <c r="BM87" i="3"/>
  <c r="BL87" i="3"/>
  <c r="BP87" i="3"/>
  <c r="BO87" i="3"/>
  <c r="BQ87" i="3" s="1"/>
  <c r="H86" i="3"/>
  <c r="G86" i="3"/>
  <c r="K86" i="3"/>
  <c r="J86" i="3"/>
  <c r="N86" i="3"/>
  <c r="M86" i="3"/>
  <c r="O86" i="3" s="1"/>
  <c r="Q86" i="3"/>
  <c r="P86" i="3"/>
  <c r="T86" i="3"/>
  <c r="U86" i="3" s="1"/>
  <c r="S86" i="3"/>
  <c r="W86" i="3"/>
  <c r="V86" i="3"/>
  <c r="Z86" i="3"/>
  <c r="Y86" i="3"/>
  <c r="AA86" i="3" s="1"/>
  <c r="AC86" i="3"/>
  <c r="AB86" i="3"/>
  <c r="AF86" i="3"/>
  <c r="AE86" i="3"/>
  <c r="AI86" i="3"/>
  <c r="AH86" i="3"/>
  <c r="AL86" i="3"/>
  <c r="AK86" i="3"/>
  <c r="AO86" i="3"/>
  <c r="AN86" i="3"/>
  <c r="AR86" i="3"/>
  <c r="AQ86" i="3"/>
  <c r="AU86" i="3"/>
  <c r="AT86" i="3"/>
  <c r="AX86" i="3"/>
  <c r="AW86" i="3"/>
  <c r="BA86" i="3"/>
  <c r="AZ86" i="3"/>
  <c r="BD86" i="3"/>
  <c r="BE86" i="3" s="1"/>
  <c r="BC86" i="3"/>
  <c r="BG86" i="3"/>
  <c r="BF86" i="3"/>
  <c r="BJ86" i="3"/>
  <c r="BI86" i="3"/>
  <c r="BM86" i="3"/>
  <c r="BL86" i="3"/>
  <c r="BP86" i="3"/>
  <c r="BQ86" i="3" s="1"/>
  <c r="BO86" i="3"/>
  <c r="G85" i="3"/>
  <c r="AH84" i="3"/>
  <c r="AK84" i="3"/>
  <c r="AN84" i="3"/>
  <c r="AQ84" i="3"/>
  <c r="AT84" i="3"/>
  <c r="AW84" i="3"/>
  <c r="AW83" i="3"/>
  <c r="BF83" i="3"/>
  <c r="AE82" i="3"/>
  <c r="AH81" i="3"/>
  <c r="AN81" i="3"/>
  <c r="AQ81" i="3"/>
  <c r="AW81" i="3"/>
  <c r="AZ80" i="3"/>
  <c r="BC80" i="3"/>
  <c r="BF80" i="3"/>
  <c r="BI80" i="3"/>
  <c r="AE79" i="3"/>
  <c r="AH78" i="3"/>
  <c r="AQ78" i="3"/>
  <c r="AT78" i="3"/>
  <c r="AZ78" i="3"/>
  <c r="BC78" i="3"/>
  <c r="BC77" i="3"/>
  <c r="BI77" i="3"/>
  <c r="BL77" i="3"/>
  <c r="BO77" i="3"/>
  <c r="G76" i="3"/>
  <c r="BO76" i="3"/>
  <c r="G75" i="3"/>
  <c r="J75" i="3"/>
  <c r="M75" i="3"/>
  <c r="P75" i="3"/>
  <c r="S75" i="3"/>
  <c r="V75" i="3"/>
  <c r="Y75" i="3"/>
  <c r="AB75" i="3"/>
  <c r="AE75" i="3"/>
  <c r="AH75" i="3"/>
  <c r="AK75" i="3"/>
  <c r="AN75" i="3"/>
  <c r="AQ75" i="3"/>
  <c r="AT75" i="3"/>
  <c r="AW75" i="3"/>
  <c r="AZ75" i="3"/>
  <c r="BC75" i="3"/>
  <c r="BF75" i="3"/>
  <c r="BI75" i="3"/>
  <c r="BL75" i="3"/>
  <c r="BO75" i="3"/>
  <c r="G74" i="3"/>
  <c r="J74" i="3"/>
  <c r="M74" i="3"/>
  <c r="P74" i="3"/>
  <c r="S74" i="3"/>
  <c r="V74" i="3"/>
  <c r="Y74" i="3"/>
  <c r="AB74" i="3"/>
  <c r="AE74" i="3"/>
  <c r="AH74" i="3"/>
  <c r="AK74" i="3"/>
  <c r="AN74" i="3"/>
  <c r="AQ74" i="3"/>
  <c r="AT74" i="3"/>
  <c r="AW74" i="3"/>
  <c r="AZ74" i="3"/>
  <c r="BC74" i="3"/>
  <c r="BF74" i="3"/>
  <c r="BI74" i="3"/>
  <c r="BL74" i="3"/>
  <c r="BO74" i="3"/>
  <c r="G73" i="3"/>
  <c r="J73" i="3"/>
  <c r="M73" i="3"/>
  <c r="P73" i="3"/>
  <c r="S73" i="3"/>
  <c r="V73" i="3"/>
  <c r="Y73" i="3"/>
  <c r="AB73" i="3"/>
  <c r="AE73" i="3"/>
  <c r="AH73" i="3"/>
  <c r="AK73" i="3"/>
  <c r="AN73" i="3"/>
  <c r="AQ73" i="3"/>
  <c r="AT73" i="3"/>
  <c r="AW73" i="3"/>
  <c r="AZ73" i="3"/>
  <c r="BC73" i="3"/>
  <c r="BF73" i="3"/>
  <c r="BI73" i="3"/>
  <c r="BL73" i="3"/>
  <c r="BO73" i="3"/>
  <c r="G72" i="3"/>
  <c r="J72" i="3"/>
  <c r="M72" i="3"/>
  <c r="P72" i="3"/>
  <c r="S72" i="3"/>
  <c r="V72" i="3"/>
  <c r="Y72" i="3"/>
  <c r="AB72" i="3"/>
  <c r="AE72" i="3"/>
  <c r="AH72" i="3"/>
  <c r="AK72" i="3"/>
  <c r="AN72" i="3"/>
  <c r="AQ72" i="3"/>
  <c r="AT72" i="3"/>
  <c r="AW72" i="3"/>
  <c r="AZ72" i="3"/>
  <c r="BC72" i="3"/>
  <c r="BF72" i="3"/>
  <c r="BI72" i="3"/>
  <c r="BL72" i="3"/>
  <c r="BO72" i="3"/>
  <c r="G71" i="3"/>
  <c r="J71" i="3"/>
  <c r="M71" i="3"/>
  <c r="P71" i="3"/>
  <c r="S71" i="3"/>
  <c r="V71" i="3"/>
  <c r="Y71" i="3"/>
  <c r="AB71" i="3"/>
  <c r="AE71" i="3"/>
  <c r="AH71" i="3"/>
  <c r="AK71" i="3"/>
  <c r="AN71" i="3"/>
  <c r="AQ71" i="3"/>
  <c r="AT71" i="3"/>
  <c r="AW71" i="3"/>
  <c r="AZ71" i="3"/>
  <c r="BC71" i="3"/>
  <c r="BF71" i="3"/>
  <c r="BI71" i="3"/>
  <c r="BL71" i="3"/>
  <c r="BO71" i="3"/>
  <c r="G70" i="3"/>
  <c r="J70" i="3"/>
  <c r="M70" i="3"/>
  <c r="P70" i="3"/>
  <c r="S70" i="3"/>
  <c r="V70" i="3"/>
  <c r="Y70" i="3"/>
  <c r="AB70" i="3"/>
  <c r="AE70" i="3"/>
  <c r="AH70" i="3"/>
  <c r="AK70" i="3"/>
  <c r="AN70" i="3"/>
  <c r="AQ70" i="3"/>
  <c r="AT70" i="3"/>
  <c r="AW70" i="3"/>
  <c r="AZ70" i="3"/>
  <c r="BC70" i="3"/>
  <c r="BF70" i="3"/>
  <c r="BI70" i="3"/>
  <c r="BL70" i="3"/>
  <c r="BO70" i="3"/>
  <c r="G69" i="3"/>
  <c r="J69" i="3"/>
  <c r="M69" i="3"/>
  <c r="P69" i="3"/>
  <c r="S69" i="3"/>
  <c r="V69" i="3"/>
  <c r="Y69" i="3"/>
  <c r="AB69" i="3"/>
  <c r="AE69" i="3"/>
  <c r="AH69" i="3"/>
  <c r="AK69" i="3"/>
  <c r="AN69" i="3"/>
  <c r="AQ69" i="3"/>
  <c r="AT69" i="3"/>
  <c r="AW69" i="3"/>
  <c r="AZ69" i="3"/>
  <c r="BC69" i="3"/>
  <c r="BF69" i="3"/>
  <c r="BI69" i="3"/>
  <c r="BL69" i="3"/>
  <c r="BO69" i="3"/>
  <c r="G68" i="3"/>
  <c r="J68" i="3"/>
  <c r="M68" i="3"/>
  <c r="P68" i="3"/>
  <c r="S68" i="3"/>
  <c r="V68" i="3"/>
  <c r="Y68" i="3"/>
  <c r="AB68" i="3"/>
  <c r="AE68" i="3"/>
  <c r="AH68" i="3"/>
  <c r="AK68" i="3"/>
  <c r="AN68" i="3"/>
  <c r="AQ68" i="3"/>
  <c r="AT68" i="3"/>
  <c r="AW68" i="3"/>
  <c r="AZ68" i="3"/>
  <c r="BC68" i="3"/>
  <c r="BF68" i="3"/>
  <c r="BI68" i="3"/>
  <c r="BL68" i="3"/>
  <c r="BO68" i="3"/>
  <c r="G67" i="3"/>
  <c r="J67" i="3"/>
  <c r="M67" i="3"/>
  <c r="P67" i="3"/>
  <c r="S67" i="3"/>
  <c r="V67" i="3"/>
  <c r="Y67" i="3"/>
  <c r="AB67" i="3"/>
  <c r="AE67" i="3"/>
  <c r="AH67" i="3"/>
  <c r="AK67" i="3"/>
  <c r="AN67" i="3"/>
  <c r="AQ67" i="3"/>
  <c r="AT67" i="3"/>
  <c r="AW67" i="3"/>
  <c r="AZ67" i="3"/>
  <c r="BC67" i="3"/>
  <c r="BF67" i="3"/>
  <c r="BI67" i="3"/>
  <c r="BL67" i="3"/>
  <c r="BO67" i="3"/>
  <c r="G66" i="3"/>
  <c r="J66" i="3"/>
  <c r="M66" i="3"/>
  <c r="P66" i="3"/>
  <c r="S66" i="3"/>
  <c r="V66" i="3"/>
  <c r="Y66" i="3"/>
  <c r="AB66" i="3"/>
  <c r="AE66" i="3"/>
  <c r="AH66" i="3"/>
  <c r="AK66" i="3"/>
  <c r="AN66" i="3"/>
  <c r="AQ66" i="3"/>
  <c r="AT66" i="3"/>
  <c r="AW66" i="3"/>
  <c r="AZ66" i="3"/>
  <c r="BC66" i="3"/>
  <c r="BF66" i="3"/>
  <c r="BI66" i="3"/>
  <c r="BL66" i="3"/>
  <c r="BO66" i="3"/>
  <c r="E64" i="3"/>
  <c r="D64" i="3"/>
  <c r="D63" i="3"/>
  <c r="D62" i="3"/>
  <c r="D61" i="3"/>
  <c r="D60" i="3"/>
  <c r="D59" i="3"/>
  <c r="D58" i="3"/>
  <c r="D57" i="3"/>
  <c r="D56" i="3"/>
  <c r="F55" i="3"/>
  <c r="E55" i="3"/>
  <c r="D55" i="3"/>
  <c r="E54" i="3"/>
  <c r="F54" i="3" s="1"/>
  <c r="D54" i="3"/>
  <c r="E53" i="3"/>
  <c r="D53" i="3"/>
  <c r="F53" i="3" s="1"/>
  <c r="E52" i="3"/>
  <c r="D52" i="3"/>
  <c r="E51" i="3"/>
  <c r="D51" i="3"/>
  <c r="F51" i="3" s="1"/>
  <c r="E50" i="3"/>
  <c r="D50" i="3"/>
  <c r="E49" i="3"/>
  <c r="D49" i="3"/>
  <c r="E48" i="3"/>
  <c r="D48" i="3"/>
  <c r="F48" i="3" s="1"/>
  <c r="E47" i="3"/>
  <c r="D47" i="3"/>
  <c r="E46" i="3"/>
  <c r="D46" i="3"/>
  <c r="E45" i="3"/>
  <c r="D45" i="3"/>
  <c r="F45" i="3" s="1"/>
  <c r="F10" i="3"/>
  <c r="E14" i="3"/>
  <c r="E13" i="3"/>
  <c r="E12" i="3"/>
  <c r="E11" i="3"/>
  <c r="E10" i="3"/>
  <c r="E9" i="3"/>
  <c r="E8" i="3"/>
  <c r="E7" i="3"/>
  <c r="E6" i="3"/>
  <c r="E5" i="3"/>
  <c r="D14" i="3"/>
  <c r="D13" i="3"/>
  <c r="D12" i="3"/>
  <c r="D11" i="3"/>
  <c r="D10" i="3"/>
  <c r="D9" i="3"/>
  <c r="D8" i="3"/>
  <c r="D7" i="3"/>
  <c r="D6" i="3"/>
  <c r="D5" i="3"/>
  <c r="BF2" i="3"/>
  <c r="AK2" i="3"/>
  <c r="J2" i="3"/>
  <c r="AD109" i="3"/>
  <c r="AV106" i="3"/>
  <c r="AP106" i="3"/>
  <c r="BB106" i="3"/>
  <c r="AS107" i="3"/>
  <c r="AD112" i="3"/>
  <c r="AJ107" i="3"/>
  <c r="I12" i="27"/>
  <c r="I13" i="27"/>
  <c r="I14" i="27"/>
  <c r="I15" i="27"/>
  <c r="I16" i="27"/>
  <c r="I17" i="27"/>
  <c r="I18" i="27"/>
  <c r="I19" i="27"/>
  <c r="I20" i="27"/>
  <c r="I21" i="27"/>
  <c r="I22" i="27"/>
  <c r="I23" i="27"/>
  <c r="I24" i="27"/>
  <c r="I25" i="27"/>
  <c r="I26" i="27"/>
  <c r="I27" i="27"/>
  <c r="I28" i="27"/>
  <c r="I29" i="27"/>
  <c r="I30" i="27"/>
  <c r="I31" i="27"/>
  <c r="I32" i="27"/>
  <c r="I33" i="27"/>
  <c r="I34" i="27"/>
  <c r="I35" i="27"/>
  <c r="I36" i="27"/>
  <c r="I37" i="27"/>
  <c r="I38" i="27"/>
  <c r="I39" i="27"/>
  <c r="I40" i="27"/>
  <c r="I41" i="27"/>
  <c r="I42" i="27"/>
  <c r="I43" i="27"/>
  <c r="I44" i="27"/>
  <c r="C2" i="36"/>
  <c r="C3" i="36"/>
  <c r="E3" i="36"/>
  <c r="C4" i="36"/>
  <c r="E4" i="36"/>
  <c r="C5" i="36"/>
  <c r="E5" i="36"/>
  <c r="C6" i="36"/>
  <c r="E6" i="36"/>
  <c r="C7" i="36"/>
  <c r="E7" i="36"/>
  <c r="C8" i="36"/>
  <c r="E8" i="36"/>
  <c r="C9" i="36"/>
  <c r="E9" i="36"/>
  <c r="C10" i="36"/>
  <c r="E10" i="36"/>
  <c r="C11" i="36"/>
  <c r="E11" i="36"/>
  <c r="C12" i="36"/>
  <c r="E12" i="36"/>
  <c r="C13" i="36"/>
  <c r="E13" i="36"/>
  <c r="C14" i="36"/>
  <c r="E14" i="36"/>
  <c r="C15" i="36"/>
  <c r="E15" i="36"/>
  <c r="C16" i="36"/>
  <c r="E16" i="36"/>
  <c r="C17" i="36"/>
  <c r="E17" i="36"/>
  <c r="C18" i="36"/>
  <c r="E18" i="36"/>
  <c r="C19" i="36"/>
  <c r="E19" i="36"/>
  <c r="C20" i="36"/>
  <c r="E20" i="36"/>
  <c r="C21" i="36"/>
  <c r="E21" i="36"/>
  <c r="H3" i="32"/>
  <c r="H4" i="32"/>
  <c r="H5" i="32"/>
  <c r="H6" i="32"/>
  <c r="H7" i="32"/>
  <c r="H8" i="32"/>
  <c r="J24" i="28"/>
  <c r="J19" i="28"/>
  <c r="J14" i="28"/>
  <c r="J9" i="28"/>
  <c r="J25" i="28"/>
  <c r="J26" i="28"/>
  <c r="J21" i="28"/>
  <c r="J20" i="28"/>
  <c r="J16" i="28"/>
  <c r="J15" i="28"/>
  <c r="J11" i="28"/>
  <c r="J10" i="28"/>
  <c r="J5" i="28"/>
  <c r="J4" i="28"/>
  <c r="BE111" i="3"/>
  <c r="E138" i="14"/>
  <c r="E137" i="14"/>
  <c r="E136" i="14"/>
  <c r="E135" i="14"/>
  <c r="E134" i="14"/>
  <c r="E133" i="14"/>
  <c r="E132" i="14"/>
  <c r="E131" i="14"/>
  <c r="E130" i="14"/>
  <c r="E129" i="14"/>
  <c r="E128" i="14"/>
  <c r="D128" i="14" s="1"/>
  <c r="E127" i="14"/>
  <c r="D127" i="14" s="1"/>
  <c r="E126" i="14"/>
  <c r="D126" i="14" s="1"/>
  <c r="E125" i="14"/>
  <c r="D125" i="14"/>
  <c r="E124" i="14"/>
  <c r="D124" i="14"/>
  <c r="E123" i="14"/>
  <c r="D123" i="14" s="1"/>
  <c r="E122" i="14"/>
  <c r="D122" i="14"/>
  <c r="E121" i="14"/>
  <c r="D121" i="14"/>
  <c r="E120" i="14"/>
  <c r="D120" i="14"/>
  <c r="E119" i="14"/>
  <c r="D119" i="14" s="1"/>
  <c r="E118" i="14"/>
  <c r="E117" i="14"/>
  <c r="D117" i="14" s="1"/>
  <c r="E116" i="14"/>
  <c r="E115" i="14"/>
  <c r="E114" i="14"/>
  <c r="E113" i="14"/>
  <c r="E112" i="14"/>
  <c r="E111" i="14"/>
  <c r="E110" i="14"/>
  <c r="E109" i="14"/>
  <c r="D109" i="14" s="1"/>
  <c r="E103" i="14"/>
  <c r="E102" i="14"/>
  <c r="E101" i="14"/>
  <c r="E100" i="14"/>
  <c r="E99" i="14"/>
  <c r="E98" i="14"/>
  <c r="E97" i="14"/>
  <c r="E96" i="14"/>
  <c r="E95" i="14"/>
  <c r="E94" i="14"/>
  <c r="E93" i="14"/>
  <c r="D93" i="14" s="1"/>
  <c r="E92" i="14"/>
  <c r="D92" i="14" s="1"/>
  <c r="E91" i="14"/>
  <c r="D91" i="14" s="1"/>
  <c r="E90" i="14"/>
  <c r="D90" i="14"/>
  <c r="E89" i="14"/>
  <c r="D89" i="14"/>
  <c r="E88" i="14"/>
  <c r="D88" i="14" s="1"/>
  <c r="E87" i="14"/>
  <c r="D87" i="14" s="1"/>
  <c r="E86" i="14"/>
  <c r="D86" i="14" s="1"/>
  <c r="E85" i="14"/>
  <c r="D85" i="14" s="1"/>
  <c r="E84" i="14"/>
  <c r="D84" i="14"/>
  <c r="E83" i="14"/>
  <c r="E82" i="14"/>
  <c r="E81" i="14"/>
  <c r="D81" i="14" s="1"/>
  <c r="E80" i="14"/>
  <c r="E79" i="14"/>
  <c r="D79" i="14" s="1"/>
  <c r="E78" i="14"/>
  <c r="D78" i="14"/>
  <c r="E77" i="14"/>
  <c r="D77" i="14" s="1"/>
  <c r="E76" i="14"/>
  <c r="E75" i="14"/>
  <c r="D75" i="14" s="1"/>
  <c r="E74" i="14"/>
  <c r="E68" i="14"/>
  <c r="E67" i="14"/>
  <c r="E66" i="14"/>
  <c r="E65" i="14"/>
  <c r="E64" i="14"/>
  <c r="E63" i="14"/>
  <c r="E62" i="14"/>
  <c r="E61" i="14"/>
  <c r="E60" i="14"/>
  <c r="E59" i="14"/>
  <c r="E58" i="14"/>
  <c r="D58" i="14"/>
  <c r="E57" i="14"/>
  <c r="D57" i="14"/>
  <c r="E56" i="14"/>
  <c r="D56" i="14" s="1"/>
  <c r="E55" i="14"/>
  <c r="D55" i="14" s="1"/>
  <c r="E54" i="14"/>
  <c r="D54" i="14" s="1"/>
  <c r="E53" i="14"/>
  <c r="D53" i="14" s="1"/>
  <c r="E52" i="14"/>
  <c r="D52" i="14" s="1"/>
  <c r="E51" i="14"/>
  <c r="D51" i="14"/>
  <c r="E50" i="14"/>
  <c r="D50" i="14" s="1"/>
  <c r="E49" i="14"/>
  <c r="D49" i="14" s="1"/>
  <c r="E48" i="14"/>
  <c r="E47" i="14"/>
  <c r="E46" i="14"/>
  <c r="E45" i="14"/>
  <c r="E44" i="14"/>
  <c r="E43" i="14"/>
  <c r="E42" i="14"/>
  <c r="E41" i="14"/>
  <c r="E40" i="14"/>
  <c r="E39" i="14"/>
  <c r="E33" i="14"/>
  <c r="E32" i="14"/>
  <c r="E31" i="14"/>
  <c r="E30" i="14"/>
  <c r="E29" i="14"/>
  <c r="E28" i="14"/>
  <c r="E27" i="14"/>
  <c r="E26" i="14"/>
  <c r="E25" i="14"/>
  <c r="E24" i="14"/>
  <c r="E23" i="14"/>
  <c r="D23" i="14" s="1"/>
  <c r="E22" i="14"/>
  <c r="D22" i="14" s="1"/>
  <c r="E21" i="14"/>
  <c r="D21" i="14"/>
  <c r="E20" i="14"/>
  <c r="D20" i="14" s="1"/>
  <c r="E19" i="14"/>
  <c r="D19" i="14" s="1"/>
  <c r="E18" i="14"/>
  <c r="D18" i="14" s="1"/>
  <c r="E17" i="14"/>
  <c r="D17" i="14"/>
  <c r="E16" i="14"/>
  <c r="D16" i="14" s="1"/>
  <c r="E15" i="14"/>
  <c r="D15" i="14" s="1"/>
  <c r="E14" i="14"/>
  <c r="D14" i="14" s="1"/>
  <c r="E13" i="14"/>
  <c r="E12" i="14"/>
  <c r="E11" i="14"/>
  <c r="D11" i="14" s="1"/>
  <c r="E10" i="14"/>
  <c r="E9" i="14"/>
  <c r="D9" i="14" s="1"/>
  <c r="E8" i="14"/>
  <c r="E7" i="14"/>
  <c r="D7" i="14" s="1"/>
  <c r="E6" i="14"/>
  <c r="E5" i="14"/>
  <c r="E4" i="14"/>
  <c r="D4" i="14" s="1"/>
  <c r="M11" i="11"/>
  <c r="M13" i="6" s="1"/>
  <c r="N13" i="6" s="1"/>
  <c r="E11" i="11"/>
  <c r="E3" i="18"/>
  <c r="E4" i="17"/>
  <c r="M27" i="11"/>
  <c r="L27" i="11"/>
  <c r="K27" i="11"/>
  <c r="J27" i="11"/>
  <c r="I27" i="11"/>
  <c r="H27" i="11"/>
  <c r="F8" i="4" s="1"/>
  <c r="G27" i="11"/>
  <c r="F27" i="11"/>
  <c r="E27" i="11"/>
  <c r="C5" i="6" s="1"/>
  <c r="D27" i="11"/>
  <c r="C4" i="6" s="1"/>
  <c r="M25" i="11"/>
  <c r="I13" i="4" s="1"/>
  <c r="L25" i="11"/>
  <c r="I12" i="4" s="1"/>
  <c r="K25" i="11"/>
  <c r="I11" i="4" s="1"/>
  <c r="J25" i="11"/>
  <c r="I10" i="6" s="1"/>
  <c r="I25" i="11"/>
  <c r="I9" i="4" s="1"/>
  <c r="H25" i="11"/>
  <c r="I8" i="4" s="1"/>
  <c r="G25" i="11"/>
  <c r="I7" i="4" s="1"/>
  <c r="F25" i="11"/>
  <c r="I6" i="6" s="1"/>
  <c r="E25" i="11"/>
  <c r="M23" i="11"/>
  <c r="F13" i="6" s="1"/>
  <c r="L23" i="11"/>
  <c r="G12" i="4" s="1"/>
  <c r="K23" i="11"/>
  <c r="G11" i="4" s="1"/>
  <c r="J23" i="11"/>
  <c r="I23" i="11"/>
  <c r="F9" i="6" s="1"/>
  <c r="H23" i="11"/>
  <c r="G8" i="4" s="1"/>
  <c r="G23" i="11"/>
  <c r="G7" i="4" s="1"/>
  <c r="F23" i="11"/>
  <c r="F6" i="6" s="1"/>
  <c r="E23" i="11"/>
  <c r="F5" i="6" s="1"/>
  <c r="D23" i="11"/>
  <c r="F4" i="6" s="1"/>
  <c r="K11" i="11"/>
  <c r="M11" i="6" s="1"/>
  <c r="N11" i="6" s="1"/>
  <c r="BN108" i="3"/>
  <c r="D111" i="14"/>
  <c r="D110" i="14"/>
  <c r="O14" i="6"/>
  <c r="L14" i="6"/>
  <c r="M14" i="4"/>
  <c r="K14" i="4"/>
  <c r="J14" i="4"/>
  <c r="L13" i="4"/>
  <c r="L12" i="4"/>
  <c r="L11" i="4"/>
  <c r="L10" i="4"/>
  <c r="L9" i="4"/>
  <c r="L8" i="4"/>
  <c r="L7" i="4"/>
  <c r="L6" i="4"/>
  <c r="L5" i="4"/>
  <c r="L4" i="4"/>
  <c r="I11" i="11"/>
  <c r="J11" i="11"/>
  <c r="L11" i="11"/>
  <c r="D112" i="14"/>
  <c r="BN109" i="3"/>
  <c r="D10" i="14"/>
  <c r="D25" i="11"/>
  <c r="I4" i="6" s="1"/>
  <c r="E25" i="17"/>
  <c r="AF14" i="20"/>
  <c r="BH111" i="3"/>
  <c r="BN114" i="3"/>
  <c r="T19" i="37"/>
  <c r="T27" i="37"/>
  <c r="K40" i="11"/>
  <c r="I94" i="3"/>
  <c r="L106" i="3"/>
  <c r="U118" i="3"/>
  <c r="AI4" i="20"/>
  <c r="R107" i="3"/>
  <c r="O122" i="3"/>
  <c r="B12" i="35"/>
  <c r="B17" i="35"/>
  <c r="B21" i="35"/>
  <c r="B25" i="35"/>
  <c r="B9" i="35"/>
  <c r="X122" i="3"/>
  <c r="AA106" i="3"/>
  <c r="B11" i="35"/>
  <c r="B10" i="35"/>
  <c r="B23" i="35"/>
  <c r="B19" i="35"/>
  <c r="B15" i="35"/>
  <c r="B26" i="35"/>
  <c r="B22" i="35"/>
  <c r="B18" i="35"/>
  <c r="B14" i="35"/>
  <c r="B13" i="35"/>
  <c r="B20" i="35"/>
  <c r="T9" i="37"/>
  <c r="T21" i="37"/>
  <c r="U15" i="29"/>
  <c r="V15" i="29" s="1"/>
  <c r="O3" i="39"/>
  <c r="U3" i="39" s="1"/>
  <c r="T3" i="39"/>
  <c r="Q3" i="39"/>
  <c r="V3" i="39" s="1"/>
  <c r="AP118" i="3" l="1"/>
  <c r="I4" i="32"/>
  <c r="I14" i="32"/>
  <c r="I13" i="32"/>
  <c r="I10" i="32"/>
  <c r="I11" i="32"/>
  <c r="N44" i="9" s="1"/>
  <c r="I9" i="32"/>
  <c r="L61" i="9" s="1"/>
  <c r="H20" i="37"/>
  <c r="I20" i="37" s="1"/>
  <c r="H18" i="37"/>
  <c r="H32" i="37"/>
  <c r="AP86" i="3"/>
  <c r="AP92" i="3"/>
  <c r="X113" i="3"/>
  <c r="X115" i="3"/>
  <c r="AP121" i="3"/>
  <c r="AJ109" i="3"/>
  <c r="AJ91" i="3"/>
  <c r="AJ92" i="3"/>
  <c r="X89" i="3"/>
  <c r="AJ94" i="3"/>
  <c r="M179" i="30"/>
  <c r="N182" i="30"/>
  <c r="M176" i="30"/>
  <c r="N179" i="30"/>
  <c r="M184" i="30"/>
  <c r="N176" i="30"/>
  <c r="M181" i="30"/>
  <c r="N184" i="30"/>
  <c r="M178" i="30"/>
  <c r="N181" i="30"/>
  <c r="M186" i="30"/>
  <c r="N444" i="30"/>
  <c r="N571" i="30"/>
  <c r="N573" i="30"/>
  <c r="N575" i="30"/>
  <c r="N577" i="30"/>
  <c r="N579" i="30"/>
  <c r="N581" i="30"/>
  <c r="N583" i="30"/>
  <c r="N585" i="30"/>
  <c r="N576" i="30"/>
  <c r="N584" i="30"/>
  <c r="N574" i="30"/>
  <c r="N572" i="30"/>
  <c r="N582" i="30"/>
  <c r="N578" i="30"/>
  <c r="N580" i="30"/>
  <c r="O10" i="9"/>
  <c r="BO2" i="3"/>
  <c r="A107" i="14" s="1"/>
  <c r="N118" i="30"/>
  <c r="N52" i="30"/>
  <c r="M444" i="30"/>
  <c r="M574" i="30"/>
  <c r="M583" i="30"/>
  <c r="M584" i="30"/>
  <c r="M572" i="30"/>
  <c r="M581" i="30"/>
  <c r="M579" i="30"/>
  <c r="M577" i="30"/>
  <c r="M575" i="30"/>
  <c r="M578" i="30"/>
  <c r="M573" i="30"/>
  <c r="M580" i="30"/>
  <c r="M576" i="30"/>
  <c r="M585" i="30"/>
  <c r="M582" i="30"/>
  <c r="M571" i="30"/>
  <c r="N178" i="30"/>
  <c r="M183" i="30"/>
  <c r="N186" i="30"/>
  <c r="N450" i="30"/>
  <c r="N456" i="30"/>
  <c r="N462" i="30"/>
  <c r="N470" i="30"/>
  <c r="N476" i="30"/>
  <c r="N482" i="30"/>
  <c r="N448" i="30"/>
  <c r="N454" i="30"/>
  <c r="N460" i="30"/>
  <c r="N468" i="30"/>
  <c r="N474" i="30"/>
  <c r="N522" i="30"/>
  <c r="N524" i="30"/>
  <c r="N445" i="30"/>
  <c r="N447" i="30"/>
  <c r="N449" i="30"/>
  <c r="N451" i="30"/>
  <c r="N453" i="30"/>
  <c r="N455" i="30"/>
  <c r="N457" i="30"/>
  <c r="N459" i="30"/>
  <c r="N461" i="30"/>
  <c r="N463" i="30"/>
  <c r="N465" i="30"/>
  <c r="N467" i="30"/>
  <c r="N469" i="30"/>
  <c r="N471" i="30"/>
  <c r="N473" i="30"/>
  <c r="N475" i="30"/>
  <c r="N477" i="30"/>
  <c r="N479" i="30"/>
  <c r="N481" i="30"/>
  <c r="N483" i="30"/>
  <c r="N485" i="30"/>
  <c r="N487" i="30"/>
  <c r="N489" i="30"/>
  <c r="N491" i="30"/>
  <c r="N493" i="30"/>
  <c r="N495" i="30"/>
  <c r="N497" i="30"/>
  <c r="N499" i="30"/>
  <c r="N501" i="30"/>
  <c r="N503" i="30"/>
  <c r="N505" i="30"/>
  <c r="N507" i="30"/>
  <c r="N509" i="30"/>
  <c r="N511" i="30"/>
  <c r="N513" i="30"/>
  <c r="N515" i="30"/>
  <c r="N517" i="30"/>
  <c r="N519" i="30"/>
  <c r="N521" i="30"/>
  <c r="N523" i="30"/>
  <c r="N446" i="30"/>
  <c r="N452" i="30"/>
  <c r="N458" i="30"/>
  <c r="N464" i="30"/>
  <c r="N472" i="30"/>
  <c r="N478" i="30"/>
  <c r="N480" i="30"/>
  <c r="N486" i="30"/>
  <c r="N494" i="30"/>
  <c r="N502" i="30"/>
  <c r="N510" i="30"/>
  <c r="N518" i="30"/>
  <c r="N466" i="30"/>
  <c r="N516" i="30"/>
  <c r="N484" i="30"/>
  <c r="N492" i="30"/>
  <c r="N500" i="30"/>
  <c r="N490" i="30"/>
  <c r="N498" i="30"/>
  <c r="N506" i="30"/>
  <c r="N514" i="30"/>
  <c r="N488" i="30"/>
  <c r="N496" i="30"/>
  <c r="N504" i="30"/>
  <c r="N512" i="30"/>
  <c r="N508" i="30"/>
  <c r="N68" i="30"/>
  <c r="Z14" i="9"/>
  <c r="M118" i="30"/>
  <c r="M68" i="30"/>
  <c r="N46" i="30"/>
  <c r="M446" i="30"/>
  <c r="M448" i="30"/>
  <c r="M450" i="30"/>
  <c r="M452" i="30"/>
  <c r="M454" i="30"/>
  <c r="M456" i="30"/>
  <c r="M458" i="30"/>
  <c r="M460" i="30"/>
  <c r="M462" i="30"/>
  <c r="M464" i="30"/>
  <c r="M466" i="30"/>
  <c r="M468" i="30"/>
  <c r="M470" i="30"/>
  <c r="M472" i="30"/>
  <c r="M474" i="30"/>
  <c r="M476" i="30"/>
  <c r="M478" i="30"/>
  <c r="M480" i="30"/>
  <c r="M482" i="30"/>
  <c r="M484" i="30"/>
  <c r="M486" i="30"/>
  <c r="M488" i="30"/>
  <c r="M490" i="30"/>
  <c r="M492" i="30"/>
  <c r="M494" i="30"/>
  <c r="M496" i="30"/>
  <c r="M498" i="30"/>
  <c r="M500" i="30"/>
  <c r="M502" i="30"/>
  <c r="M504" i="30"/>
  <c r="M506" i="30"/>
  <c r="M508" i="30"/>
  <c r="M510" i="30"/>
  <c r="M512" i="30"/>
  <c r="M514" i="30"/>
  <c r="M516" i="30"/>
  <c r="M518" i="30"/>
  <c r="M521" i="30"/>
  <c r="M523" i="30"/>
  <c r="M455" i="30"/>
  <c r="M477" i="30"/>
  <c r="M483" i="30"/>
  <c r="M491" i="30"/>
  <c r="M499" i="30"/>
  <c r="M507" i="30"/>
  <c r="M515" i="30"/>
  <c r="M463" i="30"/>
  <c r="M495" i="30"/>
  <c r="M449" i="30"/>
  <c r="M465" i="30"/>
  <c r="M471" i="30"/>
  <c r="M503" i="30"/>
  <c r="M459" i="30"/>
  <c r="M489" i="30"/>
  <c r="M497" i="30"/>
  <c r="M505" i="30"/>
  <c r="M513" i="30"/>
  <c r="M511" i="30"/>
  <c r="M453" i="30"/>
  <c r="M475" i="30"/>
  <c r="M481" i="30"/>
  <c r="M524" i="30"/>
  <c r="M469" i="30"/>
  <c r="M457" i="30"/>
  <c r="M479" i="30"/>
  <c r="M451" i="30"/>
  <c r="M473" i="30"/>
  <c r="M485" i="30"/>
  <c r="M493" i="30"/>
  <c r="M501" i="30"/>
  <c r="M509" i="30"/>
  <c r="M517" i="30"/>
  <c r="M522" i="30"/>
  <c r="M445" i="30"/>
  <c r="M461" i="30"/>
  <c r="M467" i="30"/>
  <c r="M447" i="30"/>
  <c r="M487" i="30"/>
  <c r="M519" i="30"/>
  <c r="G18" i="10"/>
  <c r="G9" i="10"/>
  <c r="M180" i="30"/>
  <c r="N183" i="30"/>
  <c r="N55" i="30"/>
  <c r="N44" i="30"/>
  <c r="N51" i="30"/>
  <c r="O8" i="9"/>
  <c r="N62" i="30"/>
  <c r="N54" i="30"/>
  <c r="N43" i="30"/>
  <c r="N50" i="30"/>
  <c r="H15" i="9"/>
  <c r="M177" i="30"/>
  <c r="N180" i="30"/>
  <c r="M185" i="30"/>
  <c r="N177" i="30"/>
  <c r="Y2" i="3"/>
  <c r="K15" i="9"/>
  <c r="AB2" i="3"/>
  <c r="E7" i="32"/>
  <c r="L45" i="30" s="1"/>
  <c r="AE2" i="3"/>
  <c r="E3" i="17"/>
  <c r="X94" i="3"/>
  <c r="E20" i="32"/>
  <c r="E12" i="32"/>
  <c r="L71" i="30"/>
  <c r="E19" i="32"/>
  <c r="E11" i="32"/>
  <c r="E18" i="32"/>
  <c r="E10" i="32"/>
  <c r="E17" i="32"/>
  <c r="E9" i="32"/>
  <c r="E16" i="32"/>
  <c r="E15" i="32"/>
  <c r="E14" i="32"/>
  <c r="S6" i="37"/>
  <c r="S8" i="37"/>
  <c r="I23" i="37"/>
  <c r="S7" i="37"/>
  <c r="H30" i="37"/>
  <c r="I30" i="37" s="1"/>
  <c r="H5" i="37"/>
  <c r="I5" i="37" s="1"/>
  <c r="H17" i="37"/>
  <c r="I17" i="37" s="1"/>
  <c r="H7" i="37"/>
  <c r="I7" i="37" s="1"/>
  <c r="H31" i="37"/>
  <c r="I31" i="37" s="1"/>
  <c r="E38" i="28"/>
  <c r="F83" i="28"/>
  <c r="AP113" i="3"/>
  <c r="AP95" i="3"/>
  <c r="AP87" i="3"/>
  <c r="AP108" i="3"/>
  <c r="AJ93" i="3"/>
  <c r="AJ123" i="3"/>
  <c r="AJ116" i="3"/>
  <c r="AJ108" i="3"/>
  <c r="AM88" i="3"/>
  <c r="AG89" i="3"/>
  <c r="AG94" i="3"/>
  <c r="AM90" i="3"/>
  <c r="AM112" i="3"/>
  <c r="AM94" i="3"/>
  <c r="AG116" i="3"/>
  <c r="AG86" i="3"/>
  <c r="AD89" i="3"/>
  <c r="AD107" i="3"/>
  <c r="AD111" i="3"/>
  <c r="AD113" i="3"/>
  <c r="AV89" i="3"/>
  <c r="AV95" i="3"/>
  <c r="AV90" i="3"/>
  <c r="AV93" i="3"/>
  <c r="AV112" i="3"/>
  <c r="O14" i="9"/>
  <c r="O12" i="10"/>
  <c r="E93" i="28"/>
  <c r="F4" i="20"/>
  <c r="AV87" i="3"/>
  <c r="I88" i="3"/>
  <c r="AG90" i="3"/>
  <c r="AY91" i="3"/>
  <c r="O91" i="3"/>
  <c r="BE106" i="3"/>
  <c r="AM107" i="3"/>
  <c r="BQ108" i="3"/>
  <c r="AY109" i="3"/>
  <c r="AG110" i="3"/>
  <c r="BK111" i="3"/>
  <c r="AS112" i="3"/>
  <c r="BE114" i="3"/>
  <c r="AM115" i="3"/>
  <c r="BK116" i="3"/>
  <c r="AM116" i="3"/>
  <c r="BN117" i="3"/>
  <c r="BB120" i="3"/>
  <c r="AP120" i="3"/>
  <c r="BQ121" i="3"/>
  <c r="BQ123" i="3"/>
  <c r="L114" i="3"/>
  <c r="R108" i="3"/>
  <c r="AA115" i="3"/>
  <c r="L121" i="3"/>
  <c r="R122" i="3"/>
  <c r="R118" i="3"/>
  <c r="U124" i="3"/>
  <c r="U116" i="3"/>
  <c r="D129" i="3"/>
  <c r="P7" i="4" s="1"/>
  <c r="D107" i="3"/>
  <c r="R5" i="6" s="1"/>
  <c r="U113" i="3"/>
  <c r="R88" i="3"/>
  <c r="AV91" i="3"/>
  <c r="BE124" i="3"/>
  <c r="AG124" i="3"/>
  <c r="I111" i="3"/>
  <c r="R114" i="3"/>
  <c r="U109" i="3"/>
  <c r="E122" i="3"/>
  <c r="D10" i="4" s="1"/>
  <c r="W10" i="4" s="1"/>
  <c r="X125" i="3"/>
  <c r="L4" i="20"/>
  <c r="L123" i="3"/>
  <c r="AM86" i="3"/>
  <c r="BK88" i="3"/>
  <c r="X91" i="3"/>
  <c r="BK90" i="3"/>
  <c r="R94" i="3"/>
  <c r="D39" i="14"/>
  <c r="D80" i="14"/>
  <c r="F49" i="3"/>
  <c r="BH86" i="3"/>
  <c r="BH88" i="3"/>
  <c r="AS93" i="3"/>
  <c r="I93" i="3"/>
  <c r="BH94" i="3"/>
  <c r="AP112" i="3"/>
  <c r="BQ114" i="3"/>
  <c r="AJ118" i="3"/>
  <c r="AY119" i="3"/>
  <c r="BK121" i="3"/>
  <c r="AM123" i="3"/>
  <c r="BB124" i="3"/>
  <c r="AP124" i="3"/>
  <c r="I114" i="3"/>
  <c r="L112" i="3"/>
  <c r="X107" i="3"/>
  <c r="AI17" i="20"/>
  <c r="AI16" i="20" s="1"/>
  <c r="U122" i="3"/>
  <c r="AA116" i="3"/>
  <c r="D113" i="14"/>
  <c r="AJ89" i="3"/>
  <c r="BQ95" i="3"/>
  <c r="D48" i="14"/>
  <c r="D115" i="14"/>
  <c r="AM87" i="3"/>
  <c r="AS88" i="3"/>
  <c r="AG88" i="3"/>
  <c r="L88" i="3"/>
  <c r="BH90" i="3"/>
  <c r="AJ90" i="3"/>
  <c r="AP91" i="3"/>
  <c r="BN106" i="3"/>
  <c r="AV107" i="3"/>
  <c r="AM108" i="3"/>
  <c r="BH109" i="3"/>
  <c r="AP110" i="3"/>
  <c r="AG111" i="3"/>
  <c r="BK112" i="3"/>
  <c r="BB112" i="3"/>
  <c r="AS113" i="3"/>
  <c r="AJ113" i="3"/>
  <c r="AV115" i="3"/>
  <c r="BE116" i="3"/>
  <c r="AM117" i="3"/>
  <c r="BE118" i="3"/>
  <c r="AV119" i="3"/>
  <c r="AY121" i="3"/>
  <c r="BQ122" i="3"/>
  <c r="BE122" i="3"/>
  <c r="BH123" i="3"/>
  <c r="L107" i="3"/>
  <c r="U108" i="3"/>
  <c r="AD115" i="3"/>
  <c r="U125" i="3"/>
  <c r="X120" i="3"/>
  <c r="AA119" i="3"/>
  <c r="F52" i="3"/>
  <c r="AY86" i="3"/>
  <c r="L91" i="3"/>
  <c r="D46" i="14"/>
  <c r="BE90" i="3"/>
  <c r="BK106" i="3"/>
  <c r="BE109" i="3"/>
  <c r="AM110" i="3"/>
  <c r="AY112" i="3"/>
  <c r="BE113" i="3"/>
  <c r="AM114" i="3"/>
  <c r="BQ115" i="3"/>
  <c r="AS115" i="3"/>
  <c r="BQ117" i="3"/>
  <c r="BE117" i="3"/>
  <c r="AG118" i="3"/>
  <c r="AS120" i="3"/>
  <c r="AG120" i="3"/>
  <c r="BN122" i="3"/>
  <c r="AY124" i="3"/>
  <c r="D106" i="3"/>
  <c r="R4" i="6" s="1"/>
  <c r="AD114" i="3"/>
  <c r="AD106" i="3"/>
  <c r="U117" i="3"/>
  <c r="X119" i="3"/>
  <c r="S5" i="37"/>
  <c r="S4" i="37"/>
  <c r="C40" i="37"/>
  <c r="M49" i="29"/>
  <c r="M47" i="29"/>
  <c r="M50" i="29"/>
  <c r="L72" i="30"/>
  <c r="L47" i="30"/>
  <c r="L56" i="30"/>
  <c r="L46" i="30"/>
  <c r="L55" i="30"/>
  <c r="O55" i="30" s="1"/>
  <c r="P55" i="30" s="1"/>
  <c r="L445" i="30"/>
  <c r="L450" i="30"/>
  <c r="L465" i="30"/>
  <c r="L474" i="30"/>
  <c r="L481" i="30"/>
  <c r="L490" i="30"/>
  <c r="L496" i="30"/>
  <c r="L502" i="30"/>
  <c r="O502" i="30" s="1"/>
  <c r="P502" i="30" s="1"/>
  <c r="L508" i="30"/>
  <c r="O508" i="30" s="1"/>
  <c r="P508" i="30" s="1"/>
  <c r="L517" i="30"/>
  <c r="L460" i="30"/>
  <c r="O460" i="30" s="1"/>
  <c r="P460" i="30" s="1"/>
  <c r="L464" i="30"/>
  <c r="O464" i="30" s="1"/>
  <c r="P464" i="30" s="1"/>
  <c r="L470" i="30"/>
  <c r="L480" i="30"/>
  <c r="O480" i="30" s="1"/>
  <c r="P480" i="30" s="1"/>
  <c r="L505" i="30"/>
  <c r="O505" i="30" s="1"/>
  <c r="P505" i="30" s="1"/>
  <c r="L511" i="30"/>
  <c r="L514" i="30"/>
  <c r="L523" i="30"/>
  <c r="L452" i="30"/>
  <c r="O452" i="30" s="1"/>
  <c r="P452" i="30" s="1"/>
  <c r="L457" i="30"/>
  <c r="O457" i="30" s="1"/>
  <c r="P457" i="30" s="1"/>
  <c r="L463" i="30"/>
  <c r="L476" i="30"/>
  <c r="O476" i="30" s="1"/>
  <c r="P476" i="30" s="1"/>
  <c r="L479" i="30"/>
  <c r="O479" i="30" s="1"/>
  <c r="P479" i="30" s="1"/>
  <c r="L483" i="30"/>
  <c r="O483" i="30" s="1"/>
  <c r="P483" i="30" s="1"/>
  <c r="L492" i="30"/>
  <c r="O492" i="30" s="1"/>
  <c r="P492" i="30" s="1"/>
  <c r="L501" i="30"/>
  <c r="L453" i="30"/>
  <c r="L458" i="30"/>
  <c r="O458" i="30" s="1"/>
  <c r="P458" i="30" s="1"/>
  <c r="L477" i="30"/>
  <c r="O477" i="30" s="1"/>
  <c r="P477" i="30" s="1"/>
  <c r="L484" i="30"/>
  <c r="O484" i="30" s="1"/>
  <c r="P484" i="30" s="1"/>
  <c r="L493" i="30"/>
  <c r="L521" i="30"/>
  <c r="L449" i="30"/>
  <c r="L456" i="30"/>
  <c r="L510" i="30"/>
  <c r="O510" i="30" s="1"/>
  <c r="P510" i="30" s="1"/>
  <c r="L509" i="30"/>
  <c r="L522" i="30"/>
  <c r="L478" i="30"/>
  <c r="L488" i="30"/>
  <c r="O488" i="30" s="1"/>
  <c r="P488" i="30" s="1"/>
  <c r="L446" i="30"/>
  <c r="L451" i="30"/>
  <c r="O451" i="30" s="1"/>
  <c r="P451" i="30" s="1"/>
  <c r="L466" i="30"/>
  <c r="L485" i="30"/>
  <c r="O485" i="30" s="1"/>
  <c r="P485" i="30" s="1"/>
  <c r="L497" i="30"/>
  <c r="O497" i="30" s="1"/>
  <c r="P497" i="30" s="1"/>
  <c r="L504" i="30"/>
  <c r="O504" i="30" s="1"/>
  <c r="P504" i="30" s="1"/>
  <c r="L524" i="30"/>
  <c r="L475" i="30"/>
  <c r="O475" i="30" s="1"/>
  <c r="P475" i="30" s="1"/>
  <c r="L487" i="30"/>
  <c r="L494" i="30"/>
  <c r="L512" i="30"/>
  <c r="L455" i="30"/>
  <c r="O455" i="30" s="1"/>
  <c r="P455" i="30" s="1"/>
  <c r="L495" i="30"/>
  <c r="O495" i="30" s="1"/>
  <c r="P495" i="30" s="1"/>
  <c r="L500" i="30"/>
  <c r="O500" i="30" s="1"/>
  <c r="P500" i="30" s="1"/>
  <c r="L448" i="30"/>
  <c r="L471" i="30"/>
  <c r="O471" i="30" s="1"/>
  <c r="P471" i="30" s="1"/>
  <c r="L462" i="30"/>
  <c r="O462" i="30" s="1"/>
  <c r="P462" i="30" s="1"/>
  <c r="L482" i="30"/>
  <c r="O482" i="30" s="1"/>
  <c r="P482" i="30" s="1"/>
  <c r="L489" i="30"/>
  <c r="O489" i="30" s="1"/>
  <c r="P489" i="30" s="1"/>
  <c r="L519" i="30"/>
  <c r="L491" i="30"/>
  <c r="L506" i="30"/>
  <c r="L516" i="30"/>
  <c r="O516" i="30" s="1"/>
  <c r="P516" i="30" s="1"/>
  <c r="L459" i="30"/>
  <c r="O459" i="30" s="1"/>
  <c r="P459" i="30" s="1"/>
  <c r="L461" i="30"/>
  <c r="O461" i="30" s="1"/>
  <c r="P461" i="30" s="1"/>
  <c r="L518" i="30"/>
  <c r="L447" i="30"/>
  <c r="O447" i="30" s="1"/>
  <c r="P447" i="30" s="1"/>
  <c r="L454" i="30"/>
  <c r="O454" i="30" s="1"/>
  <c r="P454" i="30" s="1"/>
  <c r="L498" i="30"/>
  <c r="O498" i="30" s="1"/>
  <c r="P498" i="30" s="1"/>
  <c r="L503" i="30"/>
  <c r="O503" i="30" s="1"/>
  <c r="P503" i="30" s="1"/>
  <c r="L513" i="30"/>
  <c r="O513" i="30" s="1"/>
  <c r="P513" i="30" s="1"/>
  <c r="L284" i="30"/>
  <c r="O284" i="30" s="1"/>
  <c r="P284" i="30" s="1"/>
  <c r="L287" i="30"/>
  <c r="O287" i="30" s="1"/>
  <c r="P287" i="30" s="1"/>
  <c r="L290" i="30"/>
  <c r="O290" i="30" s="1"/>
  <c r="P290" i="30" s="1"/>
  <c r="L300" i="30"/>
  <c r="O300" i="30" s="1"/>
  <c r="P300" i="30" s="1"/>
  <c r="L303" i="30"/>
  <c r="O303" i="30" s="1"/>
  <c r="P303" i="30" s="1"/>
  <c r="L306" i="30"/>
  <c r="O306" i="30" s="1"/>
  <c r="P306" i="30" s="1"/>
  <c r="L316" i="30"/>
  <c r="O316" i="30" s="1"/>
  <c r="P316" i="30" s="1"/>
  <c r="L296" i="30"/>
  <c r="O296" i="30" s="1"/>
  <c r="P296" i="30" s="1"/>
  <c r="L312" i="30"/>
  <c r="O312" i="30" s="1"/>
  <c r="P312" i="30" s="1"/>
  <c r="L289" i="30"/>
  <c r="O289" i="30" s="1"/>
  <c r="P289" i="30" s="1"/>
  <c r="L293" i="30"/>
  <c r="O293" i="30" s="1"/>
  <c r="P293" i="30" s="1"/>
  <c r="L305" i="30"/>
  <c r="O305" i="30" s="1"/>
  <c r="P305" i="30" s="1"/>
  <c r="L309" i="30"/>
  <c r="O309" i="30" s="1"/>
  <c r="P309" i="30" s="1"/>
  <c r="L283" i="30"/>
  <c r="O283" i="30" s="1"/>
  <c r="P283" i="30" s="1"/>
  <c r="L286" i="30"/>
  <c r="O286" i="30" s="1"/>
  <c r="P286" i="30" s="1"/>
  <c r="L299" i="30"/>
  <c r="O299" i="30" s="1"/>
  <c r="P299" i="30" s="1"/>
  <c r="L302" i="30"/>
  <c r="O302" i="30" s="1"/>
  <c r="P302" i="30" s="1"/>
  <c r="L315" i="30"/>
  <c r="O315" i="30" s="1"/>
  <c r="P315" i="30" s="1"/>
  <c r="L292" i="30"/>
  <c r="O292" i="30" s="1"/>
  <c r="P292" i="30" s="1"/>
  <c r="L295" i="30"/>
  <c r="O295" i="30" s="1"/>
  <c r="P295" i="30" s="1"/>
  <c r="L298" i="30"/>
  <c r="O298" i="30" s="1"/>
  <c r="P298" i="30" s="1"/>
  <c r="L308" i="30"/>
  <c r="O308" i="30" s="1"/>
  <c r="P308" i="30" s="1"/>
  <c r="L311" i="30"/>
  <c r="O311" i="30" s="1"/>
  <c r="P311" i="30" s="1"/>
  <c r="L314" i="30"/>
  <c r="O314" i="30" s="1"/>
  <c r="P314" i="30" s="1"/>
  <c r="L288" i="30"/>
  <c r="O288" i="30" s="1"/>
  <c r="P288" i="30" s="1"/>
  <c r="L304" i="30"/>
  <c r="O304" i="30" s="1"/>
  <c r="P304" i="30" s="1"/>
  <c r="L285" i="30"/>
  <c r="O285" i="30" s="1"/>
  <c r="P285" i="30" s="1"/>
  <c r="L297" i="30"/>
  <c r="O297" i="30" s="1"/>
  <c r="P297" i="30" s="1"/>
  <c r="L291" i="30"/>
  <c r="O291" i="30" s="1"/>
  <c r="P291" i="30" s="1"/>
  <c r="L294" i="30"/>
  <c r="O294" i="30" s="1"/>
  <c r="P294" i="30" s="1"/>
  <c r="L307" i="30"/>
  <c r="O307" i="30" s="1"/>
  <c r="P307" i="30" s="1"/>
  <c r="L310" i="30"/>
  <c r="O310" i="30" s="1"/>
  <c r="P310" i="30" s="1"/>
  <c r="L301" i="30"/>
  <c r="O301" i="30" s="1"/>
  <c r="P301" i="30" s="1"/>
  <c r="L313" i="30"/>
  <c r="O313" i="30" s="1"/>
  <c r="P313" i="30" s="1"/>
  <c r="L54" i="30"/>
  <c r="O54" i="30" s="1"/>
  <c r="P54" i="30" s="1"/>
  <c r="L44" i="30"/>
  <c r="L51" i="30"/>
  <c r="L43" i="30"/>
  <c r="O43" i="30" s="1"/>
  <c r="P43" i="30" s="1"/>
  <c r="L553" i="30"/>
  <c r="O553" i="30" s="1"/>
  <c r="P553" i="30" s="1"/>
  <c r="L556" i="30"/>
  <c r="O556" i="30" s="1"/>
  <c r="P556" i="30" s="1"/>
  <c r="L552" i="30"/>
  <c r="O552" i="30" s="1"/>
  <c r="P552" i="30" s="1"/>
  <c r="L554" i="30"/>
  <c r="O554" i="30" s="1"/>
  <c r="P554" i="30" s="1"/>
  <c r="L555" i="30"/>
  <c r="O555" i="30" s="1"/>
  <c r="P555" i="30" s="1"/>
  <c r="L550" i="30"/>
  <c r="O550" i="30" s="1"/>
  <c r="P550" i="30" s="1"/>
  <c r="L557" i="30"/>
  <c r="O557" i="30" s="1"/>
  <c r="P557" i="30" s="1"/>
  <c r="L551" i="30"/>
  <c r="O551" i="30" s="1"/>
  <c r="P551" i="30" s="1"/>
  <c r="L75" i="30"/>
  <c r="O75" i="30" s="1"/>
  <c r="P75" i="30" s="1"/>
  <c r="L50" i="30"/>
  <c r="O50" i="30" s="1"/>
  <c r="P50" i="30" s="1"/>
  <c r="L42" i="30"/>
  <c r="O42" i="30" s="1"/>
  <c r="P42" i="30" s="1"/>
  <c r="L74" i="30"/>
  <c r="O74" i="30" s="1"/>
  <c r="P74" i="30" s="1"/>
  <c r="L49" i="30"/>
  <c r="O49" i="30" s="1"/>
  <c r="P49" i="30" s="1"/>
  <c r="L41" i="30"/>
  <c r="O41" i="30" s="1"/>
  <c r="P41" i="30" s="1"/>
  <c r="L73" i="30"/>
  <c r="O73" i="30" s="1"/>
  <c r="P73" i="30" s="1"/>
  <c r="L48" i="30"/>
  <c r="O48" i="30" s="1"/>
  <c r="P48" i="30" s="1"/>
  <c r="E8" i="28"/>
  <c r="I7" i="32"/>
  <c r="J66" i="9" s="1"/>
  <c r="I8" i="32"/>
  <c r="Y58" i="9"/>
  <c r="W45" i="9"/>
  <c r="E13" i="28"/>
  <c r="E88" i="28"/>
  <c r="E53" i="28"/>
  <c r="F48" i="28"/>
  <c r="F18" i="28"/>
  <c r="H10" i="9"/>
  <c r="E73" i="28"/>
  <c r="M2" i="3"/>
  <c r="E33" i="28"/>
  <c r="E78" i="28"/>
  <c r="V2" i="3"/>
  <c r="F23" i="28"/>
  <c r="F10" i="10"/>
  <c r="Q10" i="9"/>
  <c r="G12" i="9"/>
  <c r="H8" i="9"/>
  <c r="E3" i="28"/>
  <c r="G3" i="28" s="1"/>
  <c r="H3" i="28" s="1"/>
  <c r="H6" i="9"/>
  <c r="K12" i="9"/>
  <c r="O11" i="10"/>
  <c r="H14" i="9"/>
  <c r="O7" i="10"/>
  <c r="H12" i="9"/>
  <c r="O12" i="9"/>
  <c r="H11" i="9"/>
  <c r="G13" i="10"/>
  <c r="W14" i="10"/>
  <c r="F14" i="10"/>
  <c r="W11" i="10"/>
  <c r="H9" i="9"/>
  <c r="H20" i="10"/>
  <c r="H40" i="11"/>
  <c r="M8" i="6"/>
  <c r="N8" i="6" s="1"/>
  <c r="D127" i="3"/>
  <c r="P5" i="4" s="1"/>
  <c r="E43" i="28"/>
  <c r="BN86" i="3"/>
  <c r="O87" i="3"/>
  <c r="AJ88" i="3"/>
  <c r="O93" i="3"/>
  <c r="BH114" i="3"/>
  <c r="AM124" i="3"/>
  <c r="I106" i="3"/>
  <c r="E106" i="3"/>
  <c r="L108" i="3"/>
  <c r="O111" i="3"/>
  <c r="X112" i="3"/>
  <c r="E40" i="11"/>
  <c r="M5" i="6"/>
  <c r="N5" i="6" s="1"/>
  <c r="S6" i="9"/>
  <c r="S7" i="9"/>
  <c r="AT2" i="3"/>
  <c r="S8" i="9"/>
  <c r="D131" i="3"/>
  <c r="P9" i="4" s="1"/>
  <c r="M40" i="11"/>
  <c r="BH87" i="3"/>
  <c r="BE88" i="3"/>
  <c r="BE92" i="3"/>
  <c r="AG93" i="3"/>
  <c r="AY95" i="3"/>
  <c r="AS106" i="3"/>
  <c r="AG121" i="3"/>
  <c r="AG125" i="3"/>
  <c r="L115" i="3"/>
  <c r="E119" i="3"/>
  <c r="D7" i="4" s="1"/>
  <c r="D110" i="3"/>
  <c r="R8" i="6" s="1"/>
  <c r="BB88" i="3"/>
  <c r="BB89" i="3"/>
  <c r="BB119" i="3"/>
  <c r="BK123" i="3"/>
  <c r="O116" i="3"/>
  <c r="Q13" i="9"/>
  <c r="Q6" i="9"/>
  <c r="Q8" i="9"/>
  <c r="V6" i="10"/>
  <c r="I40" i="11"/>
  <c r="M9" i="6"/>
  <c r="N9" i="6" s="1"/>
  <c r="P17" i="20"/>
  <c r="P16" i="20" s="1"/>
  <c r="E171" i="9"/>
  <c r="C20" i="39" s="1"/>
  <c r="AJ86" i="3"/>
  <c r="AG87" i="3"/>
  <c r="AY108" i="3"/>
  <c r="AP109" i="3"/>
  <c r="AG109" i="3"/>
  <c r="BB111" i="3"/>
  <c r="G4" i="20"/>
  <c r="O109" i="3"/>
  <c r="D112" i="3"/>
  <c r="R10" i="6" s="1"/>
  <c r="U120" i="3"/>
  <c r="B1" i="33"/>
  <c r="B2" i="33" s="1"/>
  <c r="D47" i="14"/>
  <c r="AZ17" i="20"/>
  <c r="AZ16" i="20" s="1"/>
  <c r="D11" i="11"/>
  <c r="F61" i="3"/>
  <c r="E68" i="28"/>
  <c r="D116" i="14"/>
  <c r="AY92" i="3"/>
  <c r="AA93" i="3"/>
  <c r="AS94" i="3"/>
  <c r="AY120" i="3"/>
  <c r="D122" i="3"/>
  <c r="C10" i="4" s="1"/>
  <c r="V10" i="4" s="1"/>
  <c r="BQ125" i="3"/>
  <c r="L113" i="3"/>
  <c r="I125" i="3"/>
  <c r="I117" i="3"/>
  <c r="R125" i="3"/>
  <c r="Q11" i="9"/>
  <c r="Y5" i="10"/>
  <c r="Y11" i="10"/>
  <c r="I5" i="10"/>
  <c r="I9" i="10"/>
  <c r="M7" i="9"/>
  <c r="M11" i="9"/>
  <c r="M12" i="9"/>
  <c r="M13" i="9"/>
  <c r="M14" i="9"/>
  <c r="Y14" i="10"/>
  <c r="D14" i="20"/>
  <c r="I116" i="3"/>
  <c r="X13" i="10"/>
  <c r="X5" i="10"/>
  <c r="S9" i="9"/>
  <c r="Y13" i="10"/>
  <c r="AV92" i="3"/>
  <c r="BQ120" i="3"/>
  <c r="I124" i="3"/>
  <c r="AD123" i="3"/>
  <c r="F57" i="3"/>
  <c r="D71" i="3"/>
  <c r="BB86" i="3"/>
  <c r="AD86" i="3"/>
  <c r="AA87" i="3"/>
  <c r="BQ91" i="3"/>
  <c r="AA91" i="3"/>
  <c r="E116" i="3"/>
  <c r="D4" i="4" s="1"/>
  <c r="W4" i="4" s="1"/>
  <c r="AA123" i="3"/>
  <c r="AD122" i="3"/>
  <c r="U9" i="9"/>
  <c r="Z5" i="10"/>
  <c r="D86" i="3"/>
  <c r="D41" i="14"/>
  <c r="D43" i="14"/>
  <c r="AG108" i="3"/>
  <c r="BK109" i="3"/>
  <c r="AS110" i="3"/>
  <c r="AM113" i="3"/>
  <c r="G13" i="9"/>
  <c r="D108" i="3"/>
  <c r="R6" i="6" s="1"/>
  <c r="U6" i="6" s="1"/>
  <c r="B24" i="35"/>
  <c r="E21" i="32" s="1"/>
  <c r="B16" i="35"/>
  <c r="E13" i="32" s="1"/>
  <c r="U5" i="10"/>
  <c r="U12" i="10"/>
  <c r="U13" i="10"/>
  <c r="U14" i="10"/>
  <c r="AV86" i="3"/>
  <c r="AP88" i="3"/>
  <c r="AP93" i="3"/>
  <c r="BH95" i="3"/>
  <c r="O95" i="3"/>
  <c r="AY117" i="3"/>
  <c r="AV118" i="3"/>
  <c r="AY123" i="3"/>
  <c r="E115" i="3"/>
  <c r="S13" i="6" s="1"/>
  <c r="X114" i="3"/>
  <c r="L124" i="3"/>
  <c r="F13" i="10"/>
  <c r="I8" i="10"/>
  <c r="F7" i="3"/>
  <c r="I6" i="10"/>
  <c r="G8" i="9"/>
  <c r="G9" i="9"/>
  <c r="G14" i="9"/>
  <c r="G15" i="9"/>
  <c r="D69" i="3"/>
  <c r="X86" i="3"/>
  <c r="BN87" i="3"/>
  <c r="U89" i="3"/>
  <c r="AP90" i="3"/>
  <c r="AM91" i="3"/>
  <c r="BK92" i="3"/>
  <c r="AM92" i="3"/>
  <c r="BE95" i="3"/>
  <c r="AJ95" i="3"/>
  <c r="BN118" i="3"/>
  <c r="BE121" i="3"/>
  <c r="AG122" i="3"/>
  <c r="BK124" i="3"/>
  <c r="I107" i="3"/>
  <c r="I121" i="3"/>
  <c r="E112" i="3"/>
  <c r="S10" i="6" s="1"/>
  <c r="BQ116" i="3"/>
  <c r="BK120" i="3"/>
  <c r="AG123" i="3"/>
  <c r="I112" i="3"/>
  <c r="AA118" i="3"/>
  <c r="O10" i="10"/>
  <c r="G40" i="11"/>
  <c r="AH2" i="3"/>
  <c r="F13" i="3"/>
  <c r="F47" i="3"/>
  <c r="F59" i="3"/>
  <c r="AW78" i="3"/>
  <c r="AH82" i="3"/>
  <c r="AS86" i="3"/>
  <c r="AS87" i="3"/>
  <c r="BN88" i="3"/>
  <c r="AY90" i="3"/>
  <c r="AD90" i="3"/>
  <c r="BQ93" i="3"/>
  <c r="AD93" i="3"/>
  <c r="BQ94" i="3"/>
  <c r="BK108" i="3"/>
  <c r="BB108" i="3"/>
  <c r="AS109" i="3"/>
  <c r="BN110" i="3"/>
  <c r="BH113" i="3"/>
  <c r="AG115" i="3"/>
  <c r="AP117" i="3"/>
  <c r="AS118" i="3"/>
  <c r="BK119" i="3"/>
  <c r="AP119" i="3"/>
  <c r="AJ122" i="3"/>
  <c r="BB123" i="3"/>
  <c r="O110" i="3"/>
  <c r="U115" i="3"/>
  <c r="X111" i="3"/>
  <c r="AA114" i="3"/>
  <c r="AA124" i="3"/>
  <c r="M82" i="3"/>
  <c r="P84" i="3"/>
  <c r="S79" i="3"/>
  <c r="V80" i="3"/>
  <c r="Y81" i="3"/>
  <c r="K14" i="9"/>
  <c r="D13" i="14"/>
  <c r="AK78" i="3"/>
  <c r="AZ83" i="3"/>
  <c r="BK86" i="3"/>
  <c r="AA90" i="3"/>
  <c r="X92" i="3"/>
  <c r="X93" i="3"/>
  <c r="X95" i="3"/>
  <c r="AS108" i="3"/>
  <c r="BE110" i="3"/>
  <c r="AM111" i="3"/>
  <c r="BQ112" i="3"/>
  <c r="AG114" i="3"/>
  <c r="BK115" i="3"/>
  <c r="AP116" i="3"/>
  <c r="AM120" i="3"/>
  <c r="BB122" i="3"/>
  <c r="AV123" i="3"/>
  <c r="AV124" i="3"/>
  <c r="U114" i="3"/>
  <c r="X109" i="3"/>
  <c r="I119" i="3"/>
  <c r="R121" i="3"/>
  <c r="AD121" i="3"/>
  <c r="J83" i="3"/>
  <c r="M79" i="3"/>
  <c r="P79" i="3"/>
  <c r="I5" i="32"/>
  <c r="H62" i="9" s="1"/>
  <c r="AV113" i="3"/>
  <c r="E113" i="3"/>
  <c r="S11" i="6" s="1"/>
  <c r="D109" i="3"/>
  <c r="H7" i="4" s="1"/>
  <c r="AG112" i="3"/>
  <c r="F50" i="3"/>
  <c r="AH79" i="3"/>
  <c r="AZ84" i="3"/>
  <c r="D42" i="14"/>
  <c r="AS90" i="3"/>
  <c r="X90" i="3"/>
  <c r="U91" i="3"/>
  <c r="D93" i="3"/>
  <c r="U95" i="3"/>
  <c r="BE107" i="3"/>
  <c r="AV108" i="3"/>
  <c r="BQ109" i="3"/>
  <c r="BH110" i="3"/>
  <c r="AY110" i="3"/>
  <c r="BN115" i="3"/>
  <c r="BE115" i="3"/>
  <c r="AJ117" i="3"/>
  <c r="AJ120" i="3"/>
  <c r="AY122" i="3"/>
  <c r="AS124" i="3"/>
  <c r="AS125" i="3"/>
  <c r="E109" i="3"/>
  <c r="AA112" i="3"/>
  <c r="AD119" i="3"/>
  <c r="J76" i="3"/>
  <c r="I15" i="37"/>
  <c r="O11" i="9"/>
  <c r="W13" i="10"/>
  <c r="D6" i="14"/>
  <c r="D83" i="14"/>
  <c r="F63" i="3"/>
  <c r="D73" i="3"/>
  <c r="BF77" i="3"/>
  <c r="AT81" i="3"/>
  <c r="AE85" i="3"/>
  <c r="AD87" i="3"/>
  <c r="AY88" i="3"/>
  <c r="AG91" i="3"/>
  <c r="BB93" i="3"/>
  <c r="BB94" i="3"/>
  <c r="L94" i="3"/>
  <c r="BB95" i="3"/>
  <c r="AV109" i="3"/>
  <c r="AG113" i="3"/>
  <c r="BK114" i="3"/>
  <c r="AY116" i="3"/>
  <c r="AV117" i="3"/>
  <c r="BQ119" i="3"/>
  <c r="BE125" i="3"/>
  <c r="AJ125" i="3"/>
  <c r="O112" i="3"/>
  <c r="R115" i="3"/>
  <c r="D124" i="3"/>
  <c r="C12" i="4" s="1"/>
  <c r="V12" i="4" s="1"/>
  <c r="D119" i="3"/>
  <c r="C7" i="4" s="1"/>
  <c r="V7" i="4" s="1"/>
  <c r="AD118" i="3"/>
  <c r="AB85" i="3"/>
  <c r="R123" i="3"/>
  <c r="M55" i="29"/>
  <c r="M59" i="29"/>
  <c r="M63" i="29"/>
  <c r="M54" i="29"/>
  <c r="M57" i="29"/>
  <c r="M61" i="29"/>
  <c r="M44" i="29"/>
  <c r="M48" i="29"/>
  <c r="M52" i="29"/>
  <c r="M56" i="29"/>
  <c r="M60" i="29"/>
  <c r="I11" i="37"/>
  <c r="I54" i="37"/>
  <c r="I35" i="37"/>
  <c r="I27" i="37"/>
  <c r="I19" i="37"/>
  <c r="I10" i="37"/>
  <c r="C4" i="37"/>
  <c r="I32" i="37"/>
  <c r="I24" i="37"/>
  <c r="I39" i="37"/>
  <c r="I14" i="37"/>
  <c r="I57" i="37"/>
  <c r="I56" i="37"/>
  <c r="I55" i="37"/>
  <c r="I61" i="37"/>
  <c r="I60" i="37"/>
  <c r="I52" i="37"/>
  <c r="I59" i="37"/>
  <c r="M62" i="29"/>
  <c r="M46" i="29"/>
  <c r="M43" i="29"/>
  <c r="M42" i="29"/>
  <c r="M58" i="29"/>
  <c r="D5" i="32"/>
  <c r="D4" i="32"/>
  <c r="D3" i="32"/>
  <c r="H6" i="4"/>
  <c r="AR4" i="20"/>
  <c r="D90" i="3"/>
  <c r="AS123" i="3"/>
  <c r="L89" i="3"/>
  <c r="AS116" i="3"/>
  <c r="BK117" i="3"/>
  <c r="J6" i="9"/>
  <c r="J10" i="9"/>
  <c r="J14" i="9"/>
  <c r="J7" i="9"/>
  <c r="J8" i="9"/>
  <c r="J9" i="9"/>
  <c r="J11" i="9"/>
  <c r="J12" i="9"/>
  <c r="J13" i="9"/>
  <c r="J15" i="9"/>
  <c r="O121" i="3"/>
  <c r="E121" i="3"/>
  <c r="D9" i="4" s="1"/>
  <c r="W9" i="4" s="1"/>
  <c r="Y9" i="9"/>
  <c r="Y64" i="9"/>
  <c r="Y61" i="9"/>
  <c r="Y46" i="9"/>
  <c r="Y57" i="9"/>
  <c r="Y6" i="9"/>
  <c r="Y11" i="9"/>
  <c r="Y38" i="9"/>
  <c r="Y10" i="9"/>
  <c r="Y12" i="9"/>
  <c r="Y13" i="9"/>
  <c r="Y14" i="9"/>
  <c r="Y15" i="9"/>
  <c r="Y7" i="9"/>
  <c r="Y8" i="9"/>
  <c r="I44" i="9"/>
  <c r="I62" i="9"/>
  <c r="I66" i="9"/>
  <c r="I63" i="9"/>
  <c r="I9" i="9"/>
  <c r="I43" i="9"/>
  <c r="I64" i="9"/>
  <c r="I65" i="9"/>
  <c r="I41" i="9"/>
  <c r="I46" i="9"/>
  <c r="I13" i="9"/>
  <c r="I45" i="9"/>
  <c r="I61" i="9"/>
  <c r="I40" i="9"/>
  <c r="I60" i="9"/>
  <c r="I42" i="9"/>
  <c r="I6" i="9"/>
  <c r="I7" i="9"/>
  <c r="I89" i="9" s="1"/>
  <c r="I8" i="9"/>
  <c r="I10" i="9"/>
  <c r="I11" i="9"/>
  <c r="I12" i="9"/>
  <c r="I14" i="9"/>
  <c r="I15" i="9"/>
  <c r="AH17" i="20"/>
  <c r="AH16" i="20" s="1"/>
  <c r="D117" i="3"/>
  <c r="C5" i="4" s="1"/>
  <c r="V5" i="4" s="1"/>
  <c r="F17" i="20"/>
  <c r="F16" i="20" s="1"/>
  <c r="R86" i="3"/>
  <c r="D89" i="3"/>
  <c r="BB90" i="3"/>
  <c r="AM93" i="3"/>
  <c r="AS121" i="3"/>
  <c r="L111" i="3"/>
  <c r="D111" i="3"/>
  <c r="I4" i="20"/>
  <c r="AK4" i="20"/>
  <c r="F40" i="11"/>
  <c r="M6" i="6"/>
  <c r="N6" i="6" s="1"/>
  <c r="D88" i="3"/>
  <c r="O17" i="20"/>
  <c r="O16" i="20" s="1"/>
  <c r="P2" i="3"/>
  <c r="F12" i="3"/>
  <c r="D74" i="3"/>
  <c r="E89" i="3"/>
  <c r="I89" i="3"/>
  <c r="D114" i="3"/>
  <c r="E63" i="28"/>
  <c r="X63" i="9"/>
  <c r="X64" i="9"/>
  <c r="X65" i="9"/>
  <c r="X66" i="9"/>
  <c r="X15" i="9"/>
  <c r="X41" i="9"/>
  <c r="X46" i="9"/>
  <c r="X60" i="9"/>
  <c r="X9" i="9"/>
  <c r="X13" i="9"/>
  <c r="X62" i="9"/>
  <c r="X43" i="9"/>
  <c r="X45" i="9"/>
  <c r="X61" i="9"/>
  <c r="X40" i="9"/>
  <c r="X42" i="9"/>
  <c r="X44" i="9"/>
  <c r="X6" i="9"/>
  <c r="X7" i="9"/>
  <c r="X8" i="9"/>
  <c r="X10" i="9"/>
  <c r="X11" i="9"/>
  <c r="X12" i="9"/>
  <c r="X14" i="9"/>
  <c r="Z42" i="9"/>
  <c r="Z66" i="9"/>
  <c r="Z62" i="9"/>
  <c r="Z40" i="9"/>
  <c r="Z45" i="9"/>
  <c r="Z60" i="9"/>
  <c r="Z61" i="9"/>
  <c r="Z44" i="9"/>
  <c r="Z12" i="9"/>
  <c r="Z46" i="9"/>
  <c r="Z57" i="9"/>
  <c r="Z37" i="9"/>
  <c r="Z65" i="9"/>
  <c r="Z41" i="9"/>
  <c r="Z43" i="9"/>
  <c r="Z64" i="9"/>
  <c r="Z38" i="9"/>
  <c r="Z58" i="9"/>
  <c r="Z63" i="9"/>
  <c r="Z6" i="9"/>
  <c r="Z7" i="9"/>
  <c r="Z8" i="9"/>
  <c r="Z9" i="9"/>
  <c r="Z10" i="9"/>
  <c r="Z11" i="9"/>
  <c r="F79" i="9"/>
  <c r="F43" i="9"/>
  <c r="F63" i="9"/>
  <c r="F89" i="9"/>
  <c r="F120" i="9"/>
  <c r="F42" i="9"/>
  <c r="F44" i="9"/>
  <c r="F100" i="9"/>
  <c r="F60" i="9"/>
  <c r="F13" i="9"/>
  <c r="F61" i="9"/>
  <c r="F62" i="9"/>
  <c r="F64" i="9"/>
  <c r="F40" i="9"/>
  <c r="F65" i="9"/>
  <c r="F41" i="9"/>
  <c r="F66" i="9"/>
  <c r="F45" i="9"/>
  <c r="F46" i="9"/>
  <c r="F6" i="9"/>
  <c r="F7" i="9"/>
  <c r="F8" i="9"/>
  <c r="F9" i="9"/>
  <c r="F10" i="9"/>
  <c r="F11" i="9"/>
  <c r="F12" i="9"/>
  <c r="F14" i="9"/>
  <c r="F15" i="9"/>
  <c r="Z13" i="9"/>
  <c r="W41" i="9"/>
  <c r="W44" i="9"/>
  <c r="W62" i="9"/>
  <c r="W43" i="9"/>
  <c r="W8" i="9"/>
  <c r="W64" i="9"/>
  <c r="W61" i="9"/>
  <c r="W66" i="9"/>
  <c r="W11" i="9"/>
  <c r="W12" i="9"/>
  <c r="W13" i="9"/>
  <c r="W14" i="9"/>
  <c r="W15" i="9"/>
  <c r="W6" i="9"/>
  <c r="W79" i="9" s="1"/>
  <c r="W7" i="9"/>
  <c r="W9" i="9"/>
  <c r="W10" i="9"/>
  <c r="BN94" i="3"/>
  <c r="L17" i="20"/>
  <c r="L16" i="20" s="1"/>
  <c r="AN17" i="20"/>
  <c r="AN16" i="20" s="1"/>
  <c r="F11" i="3"/>
  <c r="F8" i="3"/>
  <c r="F64" i="3"/>
  <c r="BE87" i="3"/>
  <c r="E114" i="3"/>
  <c r="I1" i="27"/>
  <c r="Z17" i="10"/>
  <c r="Z20" i="10"/>
  <c r="Z10" i="10"/>
  <c r="Z21" i="10"/>
  <c r="Z6" i="10"/>
  <c r="Z15" i="10"/>
  <c r="Z16" i="10"/>
  <c r="Z18" i="10"/>
  <c r="Z11" i="10"/>
  <c r="Z19" i="10"/>
  <c r="Z22" i="10"/>
  <c r="Z23" i="10"/>
  <c r="Z24" i="10"/>
  <c r="Z8" i="10"/>
  <c r="Z57" i="10" s="1"/>
  <c r="Z9" i="10"/>
  <c r="Z12" i="10"/>
  <c r="Z13" i="10"/>
  <c r="Z14" i="10"/>
  <c r="J10" i="10"/>
  <c r="J20" i="10"/>
  <c r="J21" i="10"/>
  <c r="J22" i="10"/>
  <c r="J23" i="10"/>
  <c r="J24" i="10"/>
  <c r="J5" i="10"/>
  <c r="J9" i="10"/>
  <c r="J15" i="10"/>
  <c r="J16" i="10"/>
  <c r="J17" i="10"/>
  <c r="J18" i="10"/>
  <c r="J19" i="10"/>
  <c r="J6" i="10"/>
  <c r="J7" i="10"/>
  <c r="J8" i="10"/>
  <c r="J11" i="10"/>
  <c r="J12" i="10"/>
  <c r="J13" i="10"/>
  <c r="J14" i="10"/>
  <c r="AA108" i="3"/>
  <c r="AY4" i="20" s="1"/>
  <c r="AX4" i="20"/>
  <c r="V4" i="20"/>
  <c r="X124" i="3"/>
  <c r="E124" i="3"/>
  <c r="D12" i="4" s="1"/>
  <c r="W12" i="4" s="1"/>
  <c r="R90" i="3"/>
  <c r="X110" i="3"/>
  <c r="AU4" i="20"/>
  <c r="BK93" i="3"/>
  <c r="AV116" i="3"/>
  <c r="I109" i="3"/>
  <c r="D123" i="3"/>
  <c r="C11" i="4" s="1"/>
  <c r="V11" i="4" s="1"/>
  <c r="U119" i="3"/>
  <c r="M41" i="29"/>
  <c r="U20" i="29"/>
  <c r="K2" i="29"/>
  <c r="D41" i="29"/>
  <c r="E117" i="3"/>
  <c r="D5" i="4" s="1"/>
  <c r="W5" i="4" s="1"/>
  <c r="D115" i="3"/>
  <c r="J4" i="20"/>
  <c r="E108" i="3"/>
  <c r="AK17" i="20"/>
  <c r="AK16" i="20" s="1"/>
  <c r="I17" i="20"/>
  <c r="I16" i="20" s="1"/>
  <c r="E123" i="3"/>
  <c r="D11" i="4" s="1"/>
  <c r="W11" i="4" s="1"/>
  <c r="E95" i="3"/>
  <c r="E58" i="28"/>
  <c r="F62" i="3"/>
  <c r="BK89" i="3"/>
  <c r="BB92" i="3"/>
  <c r="E92" i="3"/>
  <c r="D126" i="3"/>
  <c r="P4" i="4" s="1"/>
  <c r="D134" i="3"/>
  <c r="P12" i="4" s="1"/>
  <c r="U46" i="9"/>
  <c r="U63" i="9"/>
  <c r="U40" i="9"/>
  <c r="U60" i="9"/>
  <c r="U64" i="9"/>
  <c r="U61" i="9"/>
  <c r="U62" i="9"/>
  <c r="U44" i="9"/>
  <c r="U13" i="9"/>
  <c r="U65" i="9"/>
  <c r="U41" i="9"/>
  <c r="U43" i="9"/>
  <c r="U45" i="9"/>
  <c r="U42" i="9"/>
  <c r="U66" i="9"/>
  <c r="U11" i="9"/>
  <c r="U12" i="9"/>
  <c r="U14" i="9"/>
  <c r="U15" i="9"/>
  <c r="U6" i="9"/>
  <c r="U7" i="9"/>
  <c r="U8" i="9"/>
  <c r="AZ2" i="3"/>
  <c r="C28" i="37"/>
  <c r="J40" i="11"/>
  <c r="M10" i="6"/>
  <c r="N10" i="6" s="1"/>
  <c r="U107" i="3"/>
  <c r="F28" i="28"/>
  <c r="E28" i="28"/>
  <c r="D120" i="3"/>
  <c r="C8" i="4" s="1"/>
  <c r="V8" i="4" s="1"/>
  <c r="E91" i="3"/>
  <c r="F60" i="3"/>
  <c r="D72" i="3"/>
  <c r="D91" i="3"/>
  <c r="D133" i="3"/>
  <c r="P11" i="4" s="1"/>
  <c r="S20" i="37"/>
  <c r="G2" i="37"/>
  <c r="L40" i="11"/>
  <c r="M12" i="6"/>
  <c r="N12" i="6" s="1"/>
  <c r="F58" i="3"/>
  <c r="D75" i="3"/>
  <c r="E86" i="3"/>
  <c r="D87" i="3"/>
  <c r="E88" i="3"/>
  <c r="D94" i="3"/>
  <c r="AX17" i="20"/>
  <c r="AX16" i="20" s="1"/>
  <c r="V17" i="20"/>
  <c r="V16" i="20" s="1"/>
  <c r="O90" i="3"/>
  <c r="U93" i="3"/>
  <c r="E93" i="3"/>
  <c r="E120" i="3"/>
  <c r="D8" i="4" s="1"/>
  <c r="I120" i="3"/>
  <c r="D116" i="3"/>
  <c r="C4" i="4" s="1"/>
  <c r="V4" i="4" s="1"/>
  <c r="X4" i="4" s="1"/>
  <c r="D118" i="14"/>
  <c r="F56" i="3"/>
  <c r="I87" i="3"/>
  <c r="AS91" i="3"/>
  <c r="E94" i="3"/>
  <c r="D12" i="14"/>
  <c r="D95" i="3"/>
  <c r="L95" i="3"/>
  <c r="D132" i="3"/>
  <c r="P10" i="4" s="1"/>
  <c r="AN4" i="20"/>
  <c r="AQ17" i="20"/>
  <c r="AQ16" i="20" s="1"/>
  <c r="S2" i="3"/>
  <c r="G20" i="39"/>
  <c r="G21" i="39"/>
  <c r="D44" i="14"/>
  <c r="D74" i="14"/>
  <c r="D66" i="3"/>
  <c r="D68" i="3"/>
  <c r="AK76" i="3"/>
  <c r="BL80" i="3"/>
  <c r="BC83" i="3"/>
  <c r="AV94" i="3"/>
  <c r="H4" i="20"/>
  <c r="R113" i="3"/>
  <c r="D113" i="3"/>
  <c r="R106" i="3"/>
  <c r="M4" i="20"/>
  <c r="AO4" i="20"/>
  <c r="X4" i="20"/>
  <c r="AZ4" i="20"/>
  <c r="X118" i="3"/>
  <c r="AU17" i="20"/>
  <c r="AU16" i="20" s="1"/>
  <c r="E118" i="3"/>
  <c r="D6" i="4" s="1"/>
  <c r="W6" i="4" s="1"/>
  <c r="J77" i="3"/>
  <c r="M78" i="3"/>
  <c r="P81" i="3"/>
  <c r="S77" i="3"/>
  <c r="V79" i="3"/>
  <c r="Y82" i="3"/>
  <c r="L117" i="3"/>
  <c r="M17" i="20"/>
  <c r="M16" i="20" s="1"/>
  <c r="R116" i="3"/>
  <c r="AO17" i="20"/>
  <c r="AO16" i="20" s="1"/>
  <c r="X123" i="3"/>
  <c r="E90" i="3"/>
  <c r="D135" i="3"/>
  <c r="P13" i="4" s="1"/>
  <c r="AH4" i="20"/>
  <c r="L110" i="3"/>
  <c r="AG92" i="3"/>
  <c r="AL17" i="20"/>
  <c r="AL16" i="20" s="1"/>
  <c r="C11" i="11"/>
  <c r="S17" i="20"/>
  <c r="S16" i="20" s="1"/>
  <c r="S4" i="6"/>
  <c r="D118" i="3"/>
  <c r="C6" i="4" s="1"/>
  <c r="V6" i="4" s="1"/>
  <c r="R17" i="20"/>
  <c r="R16" i="20" s="1"/>
  <c r="AT17" i="20"/>
  <c r="AT16" i="20" s="1"/>
  <c r="X117" i="3"/>
  <c r="AB76" i="3"/>
  <c r="V84" i="3"/>
  <c r="S80" i="3"/>
  <c r="P76" i="3"/>
  <c r="J84" i="3"/>
  <c r="AB77" i="3"/>
  <c r="V85" i="3"/>
  <c r="S81" i="3"/>
  <c r="P77" i="3"/>
  <c r="J85" i="3"/>
  <c r="AB78" i="3"/>
  <c r="S82" i="3"/>
  <c r="P78" i="3"/>
  <c r="AB80" i="3"/>
  <c r="Y76" i="3"/>
  <c r="S84" i="3"/>
  <c r="P80" i="3"/>
  <c r="M76" i="3"/>
  <c r="M83" i="3"/>
  <c r="J79" i="3"/>
  <c r="BF85" i="3"/>
  <c r="BI84" i="3"/>
  <c r="BI83" i="3"/>
  <c r="BI82" i="3"/>
  <c r="BI81" i="3"/>
  <c r="BO80" i="3"/>
  <c r="BO79" i="3"/>
  <c r="G77" i="3"/>
  <c r="M84" i="3"/>
  <c r="J80" i="3"/>
  <c r="BI85" i="3"/>
  <c r="BL84" i="3"/>
  <c r="BL83" i="3"/>
  <c r="BL82" i="3"/>
  <c r="BL81" i="3"/>
  <c r="G78" i="3"/>
  <c r="M85" i="3"/>
  <c r="J81" i="3"/>
  <c r="BL85" i="3"/>
  <c r="BO84" i="3"/>
  <c r="BO83" i="3"/>
  <c r="BO82" i="3"/>
  <c r="BO81" i="3"/>
  <c r="G79" i="3"/>
  <c r="AE77" i="3"/>
  <c r="AE76" i="3"/>
  <c r="J82" i="3"/>
  <c r="BO85" i="3"/>
  <c r="G83" i="3"/>
  <c r="G82" i="3"/>
  <c r="G81" i="3"/>
  <c r="G80" i="3"/>
  <c r="AE78" i="3"/>
  <c r="AH77" i="3"/>
  <c r="AH76" i="3"/>
  <c r="AB81" i="3"/>
  <c r="Y78" i="3"/>
  <c r="AE84" i="3"/>
  <c r="AK81" i="3"/>
  <c r="AK80" i="3"/>
  <c r="AK79" i="3"/>
  <c r="AN78" i="3"/>
  <c r="AQ77" i="3"/>
  <c r="AQ76" i="3"/>
  <c r="AB83" i="3"/>
  <c r="Y80" i="3"/>
  <c r="V76" i="3"/>
  <c r="AH85" i="3"/>
  <c r="AK85" i="3"/>
  <c r="BC84" i="3"/>
  <c r="AK82" i="3"/>
  <c r="AZ81" i="3"/>
  <c r="AN79" i="3"/>
  <c r="BF78" i="3"/>
  <c r="AN76" i="3"/>
  <c r="BL79" i="3"/>
  <c r="AN85" i="3"/>
  <c r="BF84" i="3"/>
  <c r="AN82" i="3"/>
  <c r="BC81" i="3"/>
  <c r="AQ79" i="3"/>
  <c r="BI78" i="3"/>
  <c r="AT76" i="3"/>
  <c r="AQ85" i="3"/>
  <c r="AE83" i="3"/>
  <c r="AQ82" i="3"/>
  <c r="BF81" i="3"/>
  <c r="AT79" i="3"/>
  <c r="BL78" i="3"/>
  <c r="AW76" i="3"/>
  <c r="AT83" i="3"/>
  <c r="AZ77" i="3"/>
  <c r="AT85" i="3"/>
  <c r="AT82" i="3"/>
  <c r="AE80" i="3"/>
  <c r="AW79" i="3"/>
  <c r="BO78" i="3"/>
  <c r="AZ76" i="3"/>
  <c r="AW85" i="3"/>
  <c r="AH83" i="3"/>
  <c r="AW82" i="3"/>
  <c r="AH80" i="3"/>
  <c r="AZ79" i="3"/>
  <c r="AK77" i="3"/>
  <c r="BC76" i="3"/>
  <c r="AZ85" i="3"/>
  <c r="AK83" i="3"/>
  <c r="AZ82" i="3"/>
  <c r="AN80" i="3"/>
  <c r="BC79" i="3"/>
  <c r="AN77" i="3"/>
  <c r="BF76" i="3"/>
  <c r="AE81" i="3"/>
  <c r="BC85" i="3"/>
  <c r="AN83" i="3"/>
  <c r="BC82" i="3"/>
  <c r="AQ80" i="3"/>
  <c r="BF79" i="3"/>
  <c r="AT77" i="3"/>
  <c r="BI76" i="3"/>
  <c r="Y77" i="3"/>
  <c r="AW80" i="3"/>
  <c r="G84" i="3"/>
  <c r="AQ83" i="3"/>
  <c r="BF82" i="3"/>
  <c r="AT80" i="3"/>
  <c r="BI79" i="3"/>
  <c r="AW77" i="3"/>
  <c r="BL76" i="3"/>
  <c r="E8" i="32"/>
  <c r="E6" i="32"/>
  <c r="T21" i="10"/>
  <c r="T8" i="10"/>
  <c r="T9" i="10"/>
  <c r="T15" i="10"/>
  <c r="T16" i="10"/>
  <c r="T13" i="10"/>
  <c r="T17" i="10"/>
  <c r="T18" i="10"/>
  <c r="T19" i="10"/>
  <c r="T20" i="10"/>
  <c r="T22" i="10"/>
  <c r="T23" i="10"/>
  <c r="T24" i="10"/>
  <c r="T5" i="10"/>
  <c r="T57" i="10" s="1"/>
  <c r="T6" i="10"/>
  <c r="T7" i="10"/>
  <c r="T56" i="10" s="1"/>
  <c r="T10" i="10"/>
  <c r="T11" i="10"/>
  <c r="T12" i="10"/>
  <c r="T14" i="10"/>
  <c r="R87" i="3"/>
  <c r="AP123" i="3"/>
  <c r="AQ4" i="20"/>
  <c r="O4" i="20"/>
  <c r="BH89" i="3"/>
  <c r="D92" i="3"/>
  <c r="I92" i="3"/>
  <c r="BK122" i="3"/>
  <c r="R110" i="3"/>
  <c r="U106" i="3"/>
  <c r="L116" i="3"/>
  <c r="G17" i="20"/>
  <c r="G16" i="20" s="1"/>
  <c r="AP89" i="3"/>
  <c r="BA17" i="20"/>
  <c r="BA16" i="20" s="1"/>
  <c r="AD116" i="3"/>
  <c r="AJ4" i="20"/>
  <c r="D67" i="3"/>
  <c r="I86" i="3"/>
  <c r="BN90" i="3"/>
  <c r="L90" i="3"/>
  <c r="BB91" i="3"/>
  <c r="R91" i="3"/>
  <c r="BN92" i="3"/>
  <c r="AD95" i="3"/>
  <c r="U4" i="20"/>
  <c r="AA125" i="3"/>
  <c r="AY17" i="20" s="1"/>
  <c r="AY16" i="20" s="1"/>
  <c r="BB87" i="3"/>
  <c r="AG95" i="3"/>
  <c r="AJ119" i="3"/>
  <c r="AP122" i="3"/>
  <c r="D40" i="14"/>
  <c r="D82" i="14"/>
  <c r="P4" i="20"/>
  <c r="AR17" i="20"/>
  <c r="AR16" i="20" s="1"/>
  <c r="F5" i="3"/>
  <c r="C11" i="6"/>
  <c r="F11" i="4"/>
  <c r="F14" i="3"/>
  <c r="D70" i="3"/>
  <c r="BE89" i="3"/>
  <c r="AA92" i="3"/>
  <c r="AL4" i="20"/>
  <c r="O106" i="3"/>
  <c r="R109" i="3"/>
  <c r="R4" i="20"/>
  <c r="AT4" i="20"/>
  <c r="C3" i="32"/>
  <c r="C4" i="32"/>
  <c r="C5" i="32"/>
  <c r="M7" i="10"/>
  <c r="F10" i="4"/>
  <c r="C10" i="6"/>
  <c r="C12" i="6"/>
  <c r="F12" i="4"/>
  <c r="D8" i="14"/>
  <c r="I90" i="3"/>
  <c r="AJ112" i="3"/>
  <c r="S4" i="20"/>
  <c r="X108" i="3"/>
  <c r="Y17" i="20"/>
  <c r="Y16" i="20" s="1"/>
  <c r="C13" i="6"/>
  <c r="F13" i="4"/>
  <c r="BB114" i="3"/>
  <c r="N19" i="10"/>
  <c r="N6" i="10"/>
  <c r="N24" i="10"/>
  <c r="N11" i="10"/>
  <c r="N15" i="10"/>
  <c r="N16" i="10"/>
  <c r="N17" i="10"/>
  <c r="N18" i="10"/>
  <c r="N20" i="10"/>
  <c r="N21" i="10"/>
  <c r="N22" i="10"/>
  <c r="N23" i="10"/>
  <c r="N5" i="10"/>
  <c r="N56" i="10" s="1"/>
  <c r="N7" i="10"/>
  <c r="N8" i="10"/>
  <c r="N9" i="10"/>
  <c r="N10" i="10"/>
  <c r="N12" i="10"/>
  <c r="N13" i="10"/>
  <c r="N14" i="10"/>
  <c r="L86" i="3"/>
  <c r="BE91" i="3"/>
  <c r="W4" i="20"/>
  <c r="AW4" i="20"/>
  <c r="E107" i="3"/>
  <c r="F6" i="3"/>
  <c r="F46" i="3"/>
  <c r="AM106" i="3"/>
  <c r="BQ107" i="3"/>
  <c r="BN113" i="3"/>
  <c r="E111" i="3"/>
  <c r="D121" i="3"/>
  <c r="C9" i="4" s="1"/>
  <c r="V9" i="4" s="1"/>
  <c r="J17" i="20"/>
  <c r="J16" i="20" s="1"/>
  <c r="O117" i="3"/>
  <c r="U17" i="20"/>
  <c r="U16" i="20" s="1"/>
  <c r="X17" i="20"/>
  <c r="X16" i="20" s="1"/>
  <c r="D130" i="3"/>
  <c r="P8" i="4" s="1"/>
  <c r="D128" i="3"/>
  <c r="P6" i="4" s="1"/>
  <c r="M15" i="10"/>
  <c r="M11" i="10"/>
  <c r="M16" i="10"/>
  <c r="M17" i="10"/>
  <c r="M18" i="10"/>
  <c r="M19" i="10"/>
  <c r="M20" i="10"/>
  <c r="M21" i="10"/>
  <c r="M22" i="10"/>
  <c r="M23" i="10"/>
  <c r="M8" i="10"/>
  <c r="M24" i="10"/>
  <c r="M13" i="10"/>
  <c r="M14" i="10"/>
  <c r="M5" i="10"/>
  <c r="M9" i="10"/>
  <c r="M10" i="10"/>
  <c r="M12" i="10"/>
  <c r="F9" i="3"/>
  <c r="E87" i="3"/>
  <c r="AJ106" i="3"/>
  <c r="BN107" i="3"/>
  <c r="AV114" i="3"/>
  <c r="D125" i="3"/>
  <c r="C13" i="4" s="1"/>
  <c r="V13" i="4" s="1"/>
  <c r="G11" i="39"/>
  <c r="L21" i="10"/>
  <c r="L16" i="10"/>
  <c r="L23" i="10"/>
  <c r="L6" i="10"/>
  <c r="L24" i="10"/>
  <c r="L10" i="10"/>
  <c r="L14" i="10"/>
  <c r="L15" i="10"/>
  <c r="L17" i="10"/>
  <c r="L18" i="10"/>
  <c r="L19" i="10"/>
  <c r="L20" i="10"/>
  <c r="L22" i="10"/>
  <c r="L5" i="10"/>
  <c r="L7" i="10"/>
  <c r="L8" i="10"/>
  <c r="L9" i="10"/>
  <c r="L11" i="10"/>
  <c r="L12" i="10"/>
  <c r="L13" i="10"/>
  <c r="BN91" i="3"/>
  <c r="U92" i="3"/>
  <c r="O94" i="3"/>
  <c r="BK107" i="3"/>
  <c r="AS114" i="3"/>
  <c r="I110" i="3"/>
  <c r="AG4" i="20" s="1"/>
  <c r="E110" i="3"/>
  <c r="BA4" i="20"/>
  <c r="Y4" i="20"/>
  <c r="L125" i="3"/>
  <c r="O123" i="3"/>
  <c r="R119" i="3"/>
  <c r="K23" i="10"/>
  <c r="K5" i="10"/>
  <c r="K12" i="10"/>
  <c r="K15" i="10"/>
  <c r="K16" i="10"/>
  <c r="K17" i="10"/>
  <c r="K18" i="10"/>
  <c r="K19" i="10"/>
  <c r="K20" i="10"/>
  <c r="K21" i="10"/>
  <c r="K22" i="10"/>
  <c r="K24" i="10"/>
  <c r="K11" i="10"/>
  <c r="K13" i="10"/>
  <c r="K14" i="10"/>
  <c r="K6" i="10"/>
  <c r="K7" i="10"/>
  <c r="K8" i="10"/>
  <c r="K9" i="10"/>
  <c r="K10" i="10"/>
  <c r="T40" i="9"/>
  <c r="T60" i="9"/>
  <c r="T64" i="9"/>
  <c r="T41" i="9"/>
  <c r="T61" i="9"/>
  <c r="T62" i="9"/>
  <c r="T63" i="9"/>
  <c r="T7" i="9"/>
  <c r="T89" i="9" s="1"/>
  <c r="T45" i="9"/>
  <c r="T43" i="9"/>
  <c r="T46" i="9"/>
  <c r="T65" i="9"/>
  <c r="T8" i="9"/>
  <c r="T12" i="9"/>
  <c r="T42" i="9"/>
  <c r="T66" i="9"/>
  <c r="T44" i="9"/>
  <c r="T6" i="9"/>
  <c r="T90" i="9" s="1"/>
  <c r="T9" i="9"/>
  <c r="T10" i="9"/>
  <c r="T11" i="9"/>
  <c r="T13" i="9"/>
  <c r="T14" i="9"/>
  <c r="T15" i="9"/>
  <c r="F56" i="10"/>
  <c r="F23" i="10"/>
  <c r="F8" i="10"/>
  <c r="F15" i="10"/>
  <c r="F12" i="10"/>
  <c r="F19" i="10"/>
  <c r="F16" i="10"/>
  <c r="F17" i="10"/>
  <c r="F18" i="10"/>
  <c r="F20" i="10"/>
  <c r="F21" i="10"/>
  <c r="F22" i="10"/>
  <c r="F24" i="10"/>
  <c r="F5" i="10"/>
  <c r="F6" i="10"/>
  <c r="F7" i="10"/>
  <c r="F9" i="10"/>
  <c r="BH122" i="3"/>
  <c r="L119" i="3"/>
  <c r="S64" i="9"/>
  <c r="S41" i="9"/>
  <c r="S42" i="9"/>
  <c r="S90" i="9"/>
  <c r="S45" i="9"/>
  <c r="S13" i="9"/>
  <c r="S43" i="9"/>
  <c r="S65" i="9"/>
  <c r="S10" i="9"/>
  <c r="S62" i="9"/>
  <c r="S15" i="9"/>
  <c r="S61" i="9"/>
  <c r="S66" i="9"/>
  <c r="S44" i="9"/>
  <c r="S63" i="9"/>
  <c r="S46" i="9"/>
  <c r="S12" i="9"/>
  <c r="S14" i="9"/>
  <c r="I44" i="37"/>
  <c r="T10" i="37" s="1"/>
  <c r="Q13" i="10"/>
  <c r="R41" i="9"/>
  <c r="R42" i="9"/>
  <c r="R43" i="9"/>
  <c r="R62" i="9"/>
  <c r="R45" i="9"/>
  <c r="R61" i="9"/>
  <c r="R64" i="9"/>
  <c r="R9" i="9"/>
  <c r="R66" i="9"/>
  <c r="R44" i="9"/>
  <c r="R63" i="9"/>
  <c r="R46" i="9"/>
  <c r="R65" i="9"/>
  <c r="R6" i="9"/>
  <c r="R7" i="9"/>
  <c r="R8" i="9"/>
  <c r="R10" i="9"/>
  <c r="R11" i="9"/>
  <c r="R12" i="9"/>
  <c r="R13" i="9"/>
  <c r="R14" i="9"/>
  <c r="R15" i="9"/>
  <c r="Q12" i="10"/>
  <c r="L118" i="3"/>
  <c r="AW17" i="20"/>
  <c r="AW16" i="20" s="1"/>
  <c r="Q11" i="10"/>
  <c r="Q9" i="10"/>
  <c r="M51" i="29"/>
  <c r="M53" i="29"/>
  <c r="D53" i="29"/>
  <c r="F6" i="4"/>
  <c r="C6" i="6"/>
  <c r="S18" i="10"/>
  <c r="S13" i="10"/>
  <c r="S20" i="10"/>
  <c r="S21" i="10"/>
  <c r="S22" i="10"/>
  <c r="S23" i="10"/>
  <c r="S24" i="10"/>
  <c r="S6" i="10"/>
  <c r="S15" i="10"/>
  <c r="S16" i="10"/>
  <c r="S17" i="10"/>
  <c r="S19" i="10"/>
  <c r="S5" i="10"/>
  <c r="S7" i="10"/>
  <c r="S8" i="10"/>
  <c r="S14" i="10"/>
  <c r="F7" i="4"/>
  <c r="C7" i="6"/>
  <c r="R17" i="10"/>
  <c r="R8" i="10"/>
  <c r="R15" i="10"/>
  <c r="R16" i="10"/>
  <c r="R18" i="10"/>
  <c r="R19" i="10"/>
  <c r="R12" i="10"/>
  <c r="R20" i="10"/>
  <c r="R21" i="10"/>
  <c r="R22" i="10"/>
  <c r="R23" i="10"/>
  <c r="R24" i="10"/>
  <c r="R5" i="10"/>
  <c r="R6" i="10"/>
  <c r="R7" i="10"/>
  <c r="R9" i="10"/>
  <c r="R10" i="10"/>
  <c r="R11" i="10"/>
  <c r="R13" i="10"/>
  <c r="R14" i="10"/>
  <c r="S12" i="10"/>
  <c r="E125" i="3"/>
  <c r="D13" i="4" s="1"/>
  <c r="W13" i="4" s="1"/>
  <c r="X13" i="4" s="1"/>
  <c r="AQ2" i="3"/>
  <c r="Q23" i="10"/>
  <c r="Q15" i="10"/>
  <c r="Q7" i="10"/>
  <c r="Q18" i="10"/>
  <c r="Q10" i="10"/>
  <c r="Q19" i="10"/>
  <c r="Q20" i="10"/>
  <c r="Q21" i="10"/>
  <c r="Q22" i="10"/>
  <c r="Q14" i="10"/>
  <c r="Q24" i="10"/>
  <c r="Q16" i="10"/>
  <c r="Q17" i="10"/>
  <c r="Q5" i="10"/>
  <c r="Q6" i="10"/>
  <c r="I9" i="37"/>
  <c r="C52" i="37"/>
  <c r="S11" i="10"/>
  <c r="F9" i="4"/>
  <c r="C9" i="6"/>
  <c r="C14" i="6" s="1"/>
  <c r="P22" i="10"/>
  <c r="P12" i="10"/>
  <c r="P15" i="10"/>
  <c r="P16" i="10"/>
  <c r="P17" i="10"/>
  <c r="P7" i="10"/>
  <c r="P18" i="10"/>
  <c r="P19" i="10"/>
  <c r="P20" i="10"/>
  <c r="P21" i="10"/>
  <c r="P23" i="10"/>
  <c r="P24" i="10"/>
  <c r="P5" i="10"/>
  <c r="P6" i="10"/>
  <c r="P8" i="10"/>
  <c r="P9" i="10"/>
  <c r="P10" i="10"/>
  <c r="P11" i="10"/>
  <c r="P13" i="10"/>
  <c r="P14" i="10"/>
  <c r="K43" i="9"/>
  <c r="K46" i="9"/>
  <c r="K62" i="9"/>
  <c r="K66" i="9"/>
  <c r="K80" i="9"/>
  <c r="K79" i="9"/>
  <c r="K13" i="9"/>
  <c r="K42" i="9"/>
  <c r="K63" i="9"/>
  <c r="K64" i="9"/>
  <c r="K65" i="9"/>
  <c r="K45" i="9"/>
  <c r="K61" i="9"/>
  <c r="K40" i="9"/>
  <c r="K7" i="9"/>
  <c r="K60" i="9"/>
  <c r="K44" i="9"/>
  <c r="K41" i="9"/>
  <c r="K6" i="9"/>
  <c r="K8" i="9"/>
  <c r="K9" i="9"/>
  <c r="I33" i="37"/>
  <c r="I25" i="37"/>
  <c r="I8" i="37"/>
  <c r="K10" i="9"/>
  <c r="K89" i="9" s="1"/>
  <c r="S11" i="9"/>
  <c r="S10" i="10"/>
  <c r="O19" i="10"/>
  <c r="O16" i="10"/>
  <c r="O5" i="10"/>
  <c r="O17" i="10"/>
  <c r="O18" i="10"/>
  <c r="O20" i="10"/>
  <c r="O21" i="10"/>
  <c r="O9" i="10"/>
  <c r="O22" i="10"/>
  <c r="O23" i="10"/>
  <c r="O24" i="10"/>
  <c r="O13" i="10"/>
  <c r="O15" i="10"/>
  <c r="V11" i="9"/>
  <c r="V63" i="9"/>
  <c r="V44" i="9"/>
  <c r="V6" i="9"/>
  <c r="V46" i="9"/>
  <c r="V65" i="9"/>
  <c r="V62" i="9"/>
  <c r="V10" i="9"/>
  <c r="V41" i="9"/>
  <c r="V43" i="9"/>
  <c r="V45" i="9"/>
  <c r="V64" i="9"/>
  <c r="V15" i="9"/>
  <c r="V61" i="9"/>
  <c r="V40" i="9"/>
  <c r="V42" i="9"/>
  <c r="V60" i="9"/>
  <c r="V66" i="9"/>
  <c r="I51" i="37"/>
  <c r="I43" i="37"/>
  <c r="T16" i="37" s="1"/>
  <c r="M8" i="9"/>
  <c r="O7" i="9"/>
  <c r="V14" i="9"/>
  <c r="O6" i="10"/>
  <c r="U9" i="10"/>
  <c r="W10" i="10"/>
  <c r="Y10" i="10"/>
  <c r="I6" i="37"/>
  <c r="I58" i="37"/>
  <c r="V13" i="9"/>
  <c r="U8" i="10"/>
  <c r="W8" i="10"/>
  <c r="Y9" i="10"/>
  <c r="I38" i="37"/>
  <c r="I22" i="37"/>
  <c r="I13" i="37"/>
  <c r="I50" i="37"/>
  <c r="I42" i="37"/>
  <c r="T14" i="37" s="1"/>
  <c r="N15" i="9"/>
  <c r="P13" i="9"/>
  <c r="V12" i="9"/>
  <c r="U6" i="10"/>
  <c r="W6" i="10"/>
  <c r="Y8" i="10"/>
  <c r="L15" i="9"/>
  <c r="N14" i="9"/>
  <c r="P12" i="9"/>
  <c r="V9" i="9"/>
  <c r="Y7" i="10"/>
  <c r="I37" i="37"/>
  <c r="I29" i="37"/>
  <c r="I21" i="37"/>
  <c r="I12" i="37"/>
  <c r="L14" i="9"/>
  <c r="N13" i="9"/>
  <c r="P11" i="9"/>
  <c r="V8" i="9"/>
  <c r="Y6" i="10"/>
  <c r="Q64" i="9"/>
  <c r="Q42" i="9"/>
  <c r="Q9" i="9"/>
  <c r="Q80" i="9" s="1"/>
  <c r="Q7" i="9"/>
  <c r="Q62" i="9"/>
  <c r="Q12" i="9"/>
  <c r="Q89" i="9" s="1"/>
  <c r="L12" i="9"/>
  <c r="N10" i="9"/>
  <c r="V7" i="9"/>
  <c r="V12" i="10"/>
  <c r="X14" i="10"/>
  <c r="Y23" i="10"/>
  <c r="Y22" i="10"/>
  <c r="Y12" i="10"/>
  <c r="Y24" i="10"/>
  <c r="Y15" i="10"/>
  <c r="Y16" i="10"/>
  <c r="Y17" i="10"/>
  <c r="Y18" i="10"/>
  <c r="Y19" i="10"/>
  <c r="Y20" i="10"/>
  <c r="Y21" i="10"/>
  <c r="I19" i="10"/>
  <c r="I7" i="10"/>
  <c r="I11" i="10"/>
  <c r="I15" i="10"/>
  <c r="I16" i="10"/>
  <c r="I17" i="10"/>
  <c r="I18" i="10"/>
  <c r="I20" i="10"/>
  <c r="I21" i="10"/>
  <c r="I22" i="10"/>
  <c r="I23" i="10"/>
  <c r="I24" i="10"/>
  <c r="P41" i="9"/>
  <c r="P43" i="9"/>
  <c r="P44" i="9"/>
  <c r="P61" i="9"/>
  <c r="P65" i="9"/>
  <c r="P45" i="9"/>
  <c r="P15" i="9"/>
  <c r="P62" i="9"/>
  <c r="P14" i="9"/>
  <c r="P64" i="9"/>
  <c r="P66" i="9"/>
  <c r="P6" i="9"/>
  <c r="P42" i="9"/>
  <c r="P63" i="9"/>
  <c r="P46" i="9"/>
  <c r="I48" i="37"/>
  <c r="I40" i="37"/>
  <c r="L11" i="9"/>
  <c r="N9" i="9"/>
  <c r="P9" i="9"/>
  <c r="V11" i="10"/>
  <c r="G79" i="9"/>
  <c r="G89" i="9"/>
  <c r="G41" i="9"/>
  <c r="G63" i="9"/>
  <c r="G42" i="9"/>
  <c r="G43" i="9"/>
  <c r="G120" i="9"/>
  <c r="G7" i="9"/>
  <c r="G40" i="9"/>
  <c r="G44" i="9"/>
  <c r="G45" i="9"/>
  <c r="G60" i="9"/>
  <c r="G61" i="9"/>
  <c r="G62" i="9"/>
  <c r="G46" i="9"/>
  <c r="G64" i="9"/>
  <c r="G6" i="9"/>
  <c r="G66" i="9"/>
  <c r="G11" i="9"/>
  <c r="G65" i="9"/>
  <c r="G100" i="9"/>
  <c r="X17" i="10"/>
  <c r="X18" i="10"/>
  <c r="X15" i="10"/>
  <c r="X16" i="10"/>
  <c r="X19" i="10"/>
  <c r="X6" i="10"/>
  <c r="X20" i="10"/>
  <c r="X21" i="10"/>
  <c r="X22" i="10"/>
  <c r="X23" i="10"/>
  <c r="X10" i="10"/>
  <c r="X24" i="10"/>
  <c r="O41" i="9"/>
  <c r="O42" i="9"/>
  <c r="O44" i="9"/>
  <c r="O61" i="9"/>
  <c r="O65" i="9"/>
  <c r="O45" i="9"/>
  <c r="O46" i="9"/>
  <c r="O43" i="9"/>
  <c r="O66" i="9"/>
  <c r="O9" i="9"/>
  <c r="O64" i="9"/>
  <c r="O13" i="9"/>
  <c r="O79" i="9" s="1"/>
  <c r="O63" i="9"/>
  <c r="O62" i="9"/>
  <c r="L10" i="9"/>
  <c r="P8" i="9"/>
  <c r="I14" i="10"/>
  <c r="V10" i="10"/>
  <c r="X12" i="10"/>
  <c r="W19" i="10"/>
  <c r="W24" i="10"/>
  <c r="W9" i="10"/>
  <c r="W22" i="10"/>
  <c r="W7" i="10"/>
  <c r="W23" i="10"/>
  <c r="W12" i="10"/>
  <c r="W15" i="10"/>
  <c r="W16" i="10"/>
  <c r="W17" i="10"/>
  <c r="W18" i="10"/>
  <c r="W20" i="10"/>
  <c r="W21" i="10"/>
  <c r="G8" i="39"/>
  <c r="N43" i="9"/>
  <c r="N45" i="9"/>
  <c r="N46" i="9"/>
  <c r="N11" i="9"/>
  <c r="N12" i="9"/>
  <c r="N90" i="9" s="1"/>
  <c r="N64" i="9"/>
  <c r="N61" i="9"/>
  <c r="N42" i="9"/>
  <c r="N63" i="9"/>
  <c r="L8" i="9"/>
  <c r="N7" i="9"/>
  <c r="P7" i="9"/>
  <c r="I13" i="10"/>
  <c r="X11" i="10"/>
  <c r="G14" i="39"/>
  <c r="V14" i="10"/>
  <c r="V15" i="10"/>
  <c r="V13" i="10"/>
  <c r="V16" i="10"/>
  <c r="V17" i="10"/>
  <c r="V18" i="10"/>
  <c r="V19" i="10"/>
  <c r="V20" i="10"/>
  <c r="V21" i="10"/>
  <c r="V22" i="10"/>
  <c r="V5" i="10"/>
  <c r="V23" i="10"/>
  <c r="V24" i="10"/>
  <c r="M42" i="9"/>
  <c r="M65" i="9"/>
  <c r="M46" i="9"/>
  <c r="M41" i="9"/>
  <c r="M45" i="9"/>
  <c r="M6" i="9"/>
  <c r="M10" i="9"/>
  <c r="C16" i="37"/>
  <c r="I62" i="37"/>
  <c r="N6" i="9"/>
  <c r="Q15" i="9"/>
  <c r="I12" i="10"/>
  <c r="V8" i="10"/>
  <c r="X9" i="10"/>
  <c r="U15" i="10"/>
  <c r="U21" i="10"/>
  <c r="U22" i="10"/>
  <c r="U23" i="10"/>
  <c r="U24" i="10"/>
  <c r="U7" i="10"/>
  <c r="U11" i="10"/>
  <c r="U16" i="10"/>
  <c r="U17" i="10"/>
  <c r="U18" i="10"/>
  <c r="U19" i="10"/>
  <c r="U20" i="10"/>
  <c r="L7" i="9"/>
  <c r="L9" i="9"/>
  <c r="L13" i="9"/>
  <c r="I34" i="37"/>
  <c r="I26" i="37"/>
  <c r="I18" i="37"/>
  <c r="I46" i="37"/>
  <c r="M15" i="9"/>
  <c r="O15" i="9"/>
  <c r="Q14" i="9"/>
  <c r="I10" i="10"/>
  <c r="O14" i="10"/>
  <c r="V7" i="10"/>
  <c r="X8" i="10"/>
  <c r="H21" i="10"/>
  <c r="H43" i="9"/>
  <c r="H14" i="10"/>
  <c r="H56" i="10"/>
  <c r="H42" i="9"/>
  <c r="H19" i="10"/>
  <c r="H100" i="9"/>
  <c r="H40" i="9"/>
  <c r="H18" i="10"/>
  <c r="H65" i="9"/>
  <c r="H17" i="10"/>
  <c r="H16" i="10"/>
  <c r="H15" i="10"/>
  <c r="I53" i="37"/>
  <c r="I49" i="37"/>
  <c r="I41" i="37"/>
  <c r="T13" i="37" s="1"/>
  <c r="H79" i="9"/>
  <c r="H41" i="9"/>
  <c r="H89" i="9"/>
  <c r="H63" i="9"/>
  <c r="H120" i="9"/>
  <c r="H46" i="9"/>
  <c r="H13" i="10"/>
  <c r="H66" i="9"/>
  <c r="H12" i="10"/>
  <c r="H60" i="9"/>
  <c r="H11" i="10"/>
  <c r="I47" i="37"/>
  <c r="H10" i="10"/>
  <c r="G56" i="10"/>
  <c r="G6" i="10"/>
  <c r="G63" i="10" s="1"/>
  <c r="G22" i="10"/>
  <c r="H9" i="10"/>
  <c r="H24" i="10"/>
  <c r="H8" i="10"/>
  <c r="H23" i="10"/>
  <c r="H7" i="10"/>
  <c r="H64" i="9"/>
  <c r="H61" i="9"/>
  <c r="H45" i="9"/>
  <c r="I36" i="37"/>
  <c r="I28" i="37"/>
  <c r="I45" i="37"/>
  <c r="H13" i="9"/>
  <c r="H22" i="10"/>
  <c r="H6" i="10"/>
  <c r="H44" i="9"/>
  <c r="B7" i="35"/>
  <c r="E4" i="32" s="1"/>
  <c r="B6" i="35"/>
  <c r="E3" i="32" s="1"/>
  <c r="B8" i="35"/>
  <c r="E5" i="32" s="1"/>
  <c r="F8" i="6"/>
  <c r="L28" i="11"/>
  <c r="I9" i="6"/>
  <c r="F11" i="6"/>
  <c r="G9" i="4"/>
  <c r="F12" i="6"/>
  <c r="G13" i="4"/>
  <c r="F7" i="6"/>
  <c r="I13" i="6"/>
  <c r="I8" i="6"/>
  <c r="I6" i="4"/>
  <c r="I10" i="4"/>
  <c r="I11" i="6"/>
  <c r="J28" i="11"/>
  <c r="G6" i="4"/>
  <c r="G10" i="4"/>
  <c r="F10" i="6"/>
  <c r="I12" i="6"/>
  <c r="I5" i="6"/>
  <c r="U5" i="6" s="1"/>
  <c r="I7" i="6"/>
  <c r="C8" i="6"/>
  <c r="C25" i="11"/>
  <c r="D28" i="11"/>
  <c r="K28" i="11"/>
  <c r="C27" i="11"/>
  <c r="I28" i="11"/>
  <c r="P14" i="4"/>
  <c r="L14" i="4"/>
  <c r="L15" i="4"/>
  <c r="AF18" i="20" s="1"/>
  <c r="AF131" i="3"/>
  <c r="AG131" i="3" s="1"/>
  <c r="O45" i="30"/>
  <c r="P45" i="30" s="1"/>
  <c r="O102" i="30"/>
  <c r="P102" i="30" s="1"/>
  <c r="O47" i="30"/>
  <c r="P47" i="30" s="1"/>
  <c r="O72" i="30"/>
  <c r="P72" i="30" s="1"/>
  <c r="O71" i="30"/>
  <c r="P71" i="30" s="1"/>
  <c r="O56" i="30"/>
  <c r="P56" i="30" s="1"/>
  <c r="O46" i="30"/>
  <c r="P46" i="30" s="1"/>
  <c r="O247" i="30"/>
  <c r="P247" i="30" s="1"/>
  <c r="AF134" i="3"/>
  <c r="AG134" i="3" s="1"/>
  <c r="AR130" i="3"/>
  <c r="AS130" i="3" s="1"/>
  <c r="H127" i="3"/>
  <c r="I127" i="3" s="1"/>
  <c r="F28" i="11"/>
  <c r="AL134" i="3"/>
  <c r="AM134" i="3" s="1"/>
  <c r="T128" i="3"/>
  <c r="U128" i="3" s="1"/>
  <c r="BJ134" i="3"/>
  <c r="BK134" i="3" s="1"/>
  <c r="AC133" i="3"/>
  <c r="AD133" i="3" s="1"/>
  <c r="Z132" i="3"/>
  <c r="AA132" i="3" s="1"/>
  <c r="H134" i="3"/>
  <c r="I134" i="3" s="1"/>
  <c r="AO126" i="3"/>
  <c r="AP126" i="3" s="1"/>
  <c r="AO131" i="3"/>
  <c r="AP131" i="3" s="1"/>
  <c r="W128" i="3"/>
  <c r="X128" i="3" s="1"/>
  <c r="Q135" i="3"/>
  <c r="R135" i="3" s="1"/>
  <c r="BD131" i="3"/>
  <c r="BE131" i="3" s="1"/>
  <c r="BM126" i="3"/>
  <c r="D94" i="14" s="1"/>
  <c r="AU132" i="3"/>
  <c r="AV132" i="3" s="1"/>
  <c r="AL127" i="3"/>
  <c r="AM127" i="3" s="1"/>
  <c r="BJ129" i="3"/>
  <c r="D62" i="14" s="1"/>
  <c r="AL132" i="3"/>
  <c r="AM132" i="3" s="1"/>
  <c r="AF126" i="3"/>
  <c r="AG126" i="3" s="1"/>
  <c r="Z128" i="3"/>
  <c r="AA128" i="3" s="1"/>
  <c r="AX130" i="3"/>
  <c r="AY130" i="3" s="1"/>
  <c r="AF133" i="3"/>
  <c r="AG133" i="3" s="1"/>
  <c r="T134" i="3"/>
  <c r="U134" i="3" s="1"/>
  <c r="E28" i="11"/>
  <c r="U4" i="6"/>
  <c r="B4" i="2" s="1"/>
  <c r="C23" i="11"/>
  <c r="M28" i="11"/>
  <c r="H28" i="11"/>
  <c r="G28" i="11"/>
  <c r="AU133" i="3"/>
  <c r="AV133" i="3" s="1"/>
  <c r="AI127" i="3"/>
  <c r="AJ127" i="3" s="1"/>
  <c r="AX129" i="3"/>
  <c r="AY129" i="3" s="1"/>
  <c r="W126" i="3"/>
  <c r="X126" i="3" s="1"/>
  <c r="BM133" i="3"/>
  <c r="BN133" i="3" s="1"/>
  <c r="AR133" i="3"/>
  <c r="AS133" i="3" s="1"/>
  <c r="AR132" i="3"/>
  <c r="AS132" i="3" s="1"/>
  <c r="W135" i="3"/>
  <c r="X135" i="3" s="1"/>
  <c r="AX131" i="3"/>
  <c r="AY131" i="3" s="1"/>
  <c r="BP127" i="3"/>
  <c r="D130" i="14" s="1"/>
  <c r="BP133" i="3"/>
  <c r="D136" i="14" s="1"/>
  <c r="AX135" i="3"/>
  <c r="AY135" i="3" s="1"/>
  <c r="AI131" i="3"/>
  <c r="AJ131" i="3" s="1"/>
  <c r="AO127" i="3"/>
  <c r="AP127" i="3" s="1"/>
  <c r="AL129" i="3"/>
  <c r="AM129" i="3" s="1"/>
  <c r="N131" i="3"/>
  <c r="O131" i="3" s="1"/>
  <c r="AU135" i="3"/>
  <c r="AV135" i="3" s="1"/>
  <c r="BD127" i="3"/>
  <c r="BE127" i="3" s="1"/>
  <c r="T135" i="3"/>
  <c r="U135" i="3" s="1"/>
  <c r="AF132" i="3"/>
  <c r="AG132" i="3" s="1"/>
  <c r="BD135" i="3"/>
  <c r="BE135" i="3" s="1"/>
  <c r="BA127" i="3"/>
  <c r="BB127" i="3" s="1"/>
  <c r="AC134" i="3"/>
  <c r="AD134" i="3" s="1"/>
  <c r="AC132" i="3"/>
  <c r="AD132" i="3" s="1"/>
  <c r="AR131" i="3"/>
  <c r="AS131" i="3" s="1"/>
  <c r="AC131" i="3"/>
  <c r="AD131" i="3" s="1"/>
  <c r="T133" i="3"/>
  <c r="U133" i="3" s="1"/>
  <c r="Q128" i="3"/>
  <c r="R128" i="3" s="1"/>
  <c r="Q131" i="3"/>
  <c r="R131" i="3" s="1"/>
  <c r="BM134" i="3"/>
  <c r="BN134" i="3" s="1"/>
  <c r="AF127" i="3"/>
  <c r="AG127" i="3" s="1"/>
  <c r="AL135" i="3"/>
  <c r="AM135" i="3" s="1"/>
  <c r="Z126" i="3"/>
  <c r="AA126" i="3" s="1"/>
  <c r="AX126" i="3"/>
  <c r="AY126" i="3" s="1"/>
  <c r="AF129" i="3"/>
  <c r="AG129" i="3" s="1"/>
  <c r="N134" i="3"/>
  <c r="O134" i="3" s="1"/>
  <c r="BG135" i="3"/>
  <c r="BH135" i="3" s="1"/>
  <c r="AI130" i="3"/>
  <c r="AJ130" i="3" s="1"/>
  <c r="BD126" i="3"/>
  <c r="BE126" i="3" s="1"/>
  <c r="H133" i="3"/>
  <c r="I133" i="3" s="1"/>
  <c r="AC130" i="3"/>
  <c r="AD130" i="3" s="1"/>
  <c r="BJ132" i="3"/>
  <c r="D65" i="14" s="1"/>
  <c r="Z133" i="3"/>
  <c r="AA133" i="3" s="1"/>
  <c r="BD128" i="3"/>
  <c r="BE128" i="3" s="1"/>
  <c r="Q126" i="3"/>
  <c r="R126" i="3" s="1"/>
  <c r="AL130" i="3"/>
  <c r="AM130" i="3" s="1"/>
  <c r="BA135" i="3"/>
  <c r="BB135" i="3" s="1"/>
  <c r="Q129" i="3"/>
  <c r="R129" i="3" s="1"/>
  <c r="BJ127" i="3"/>
  <c r="BK127" i="3" s="1"/>
  <c r="BG128" i="3"/>
  <c r="BH128" i="3" s="1"/>
  <c r="AC128" i="3"/>
  <c r="AD128" i="3" s="1"/>
  <c r="AI126" i="3"/>
  <c r="AJ126" i="3" s="1"/>
  <c r="BM130" i="3"/>
  <c r="D98" i="14" s="1"/>
  <c r="W132" i="3"/>
  <c r="X132" i="3" s="1"/>
  <c r="Z131" i="3"/>
  <c r="AA131" i="3" s="1"/>
  <c r="AC127" i="3"/>
  <c r="AD127" i="3" s="1"/>
  <c r="N126" i="3"/>
  <c r="O126" i="3" s="1"/>
  <c r="BA132" i="3"/>
  <c r="BB132" i="3" s="1"/>
  <c r="AL128" i="3"/>
  <c r="AM128" i="3" s="1"/>
  <c r="BD130" i="3"/>
  <c r="BE130" i="3" s="1"/>
  <c r="H132" i="3"/>
  <c r="I132" i="3" s="1"/>
  <c r="AX133" i="3"/>
  <c r="AY133" i="3" s="1"/>
  <c r="AO129" i="3"/>
  <c r="AP129" i="3" s="1"/>
  <c r="BA134" i="3"/>
  <c r="BB134" i="3" s="1"/>
  <c r="AR134" i="3"/>
  <c r="AS134" i="3" s="1"/>
  <c r="AR135" i="3"/>
  <c r="AS135" i="3" s="1"/>
  <c r="BJ135" i="3"/>
  <c r="D68" i="14" s="1"/>
  <c r="AX132" i="3"/>
  <c r="AY132" i="3" s="1"/>
  <c r="Q127" i="3"/>
  <c r="R127" i="3" s="1"/>
  <c r="BM131" i="3"/>
  <c r="BP135" i="3"/>
  <c r="D138" i="14" s="1"/>
  <c r="AO134" i="3"/>
  <c r="AP134" i="3" s="1"/>
  <c r="BP134" i="3"/>
  <c r="BQ134" i="3" s="1"/>
  <c r="AF128" i="3"/>
  <c r="AG128" i="3" s="1"/>
  <c r="N128" i="3"/>
  <c r="O128" i="3" s="1"/>
  <c r="Q132" i="3"/>
  <c r="R132" i="3" s="1"/>
  <c r="BP128" i="3"/>
  <c r="D131" i="14" s="1"/>
  <c r="AR126" i="3"/>
  <c r="AS126" i="3" s="1"/>
  <c r="AX128" i="3"/>
  <c r="AY128" i="3" s="1"/>
  <c r="Q130" i="3"/>
  <c r="R130" i="3" s="1"/>
  <c r="BM132" i="3"/>
  <c r="D100" i="14" s="1"/>
  <c r="AI135" i="3"/>
  <c r="AJ135" i="3" s="1"/>
  <c r="W127" i="3"/>
  <c r="X127" i="3" s="1"/>
  <c r="BG126" i="3"/>
  <c r="BH126" i="3" s="1"/>
  <c r="T126" i="3"/>
  <c r="U126" i="3" s="1"/>
  <c r="AU130" i="3"/>
  <c r="AV130" i="3" s="1"/>
  <c r="BJ126" i="3"/>
  <c r="BK126" i="3" s="1"/>
  <c r="AI128" i="3"/>
  <c r="AJ128" i="3" s="1"/>
  <c r="BG127" i="3"/>
  <c r="BH127" i="3" s="1"/>
  <c r="T129" i="3"/>
  <c r="U129" i="3" s="1"/>
  <c r="BJ133" i="3"/>
  <c r="BK133" i="3" s="1"/>
  <c r="BM128" i="3"/>
  <c r="D96" i="14" s="1"/>
  <c r="BJ131" i="3"/>
  <c r="BK131" i="3" s="1"/>
  <c r="BD129" i="3"/>
  <c r="BE129" i="3" s="1"/>
  <c r="AO128" i="3"/>
  <c r="AP128" i="3" s="1"/>
  <c r="W134" i="3"/>
  <c r="X134" i="3" s="1"/>
  <c r="AO135" i="3"/>
  <c r="AP135" i="3" s="1"/>
  <c r="BG134" i="3"/>
  <c r="BH134" i="3" s="1"/>
  <c r="AO132" i="3"/>
  <c r="AP132" i="3" s="1"/>
  <c r="Z127" i="3"/>
  <c r="AA127" i="3" s="1"/>
  <c r="AI134" i="3"/>
  <c r="AJ134" i="3" s="1"/>
  <c r="AU127" i="3"/>
  <c r="AV127" i="3" s="1"/>
  <c r="Z134" i="3"/>
  <c r="AA134" i="3" s="1"/>
  <c r="AC129" i="3"/>
  <c r="AD129" i="3" s="1"/>
  <c r="AL131" i="3"/>
  <c r="AM131" i="3" s="1"/>
  <c r="AX127" i="3"/>
  <c r="AY127" i="3" s="1"/>
  <c r="AI129" i="3"/>
  <c r="AJ129" i="3" s="1"/>
  <c r="BM129" i="3"/>
  <c r="D97" i="14" s="1"/>
  <c r="Z135" i="3"/>
  <c r="AA135" i="3" s="1"/>
  <c r="BA126" i="3"/>
  <c r="BB126" i="3" s="1"/>
  <c r="BD133" i="3"/>
  <c r="BE133" i="3" s="1"/>
  <c r="N130" i="3"/>
  <c r="O130" i="3" s="1"/>
  <c r="BG130" i="3"/>
  <c r="BH130" i="3" s="1"/>
  <c r="Q133" i="3"/>
  <c r="R133" i="3" s="1"/>
  <c r="AC135" i="3"/>
  <c r="AD135" i="3" s="1"/>
  <c r="AO133" i="3"/>
  <c r="AP133" i="3" s="1"/>
  <c r="AI133" i="3"/>
  <c r="AJ133" i="3" s="1"/>
  <c r="Z130" i="3"/>
  <c r="AA130" i="3" s="1"/>
  <c r="AU128" i="3"/>
  <c r="AV128" i="3" s="1"/>
  <c r="BA129" i="3"/>
  <c r="BB129" i="3" s="1"/>
  <c r="AR129" i="3"/>
  <c r="AS129" i="3" s="1"/>
  <c r="BP129" i="3"/>
  <c r="D132" i="14" s="1"/>
  <c r="AR127" i="3"/>
  <c r="AS127" i="3" s="1"/>
  <c r="BA131" i="3"/>
  <c r="BB131" i="3" s="1"/>
  <c r="BJ128" i="3"/>
  <c r="BK128" i="3" s="1"/>
  <c r="BD132" i="3"/>
  <c r="BE132" i="3" s="1"/>
  <c r="N133" i="3"/>
  <c r="O133" i="3" s="1"/>
  <c r="BM135" i="3"/>
  <c r="D103" i="14" s="1"/>
  <c r="T132" i="3"/>
  <c r="U132" i="3" s="1"/>
  <c r="H129" i="3"/>
  <c r="I129" i="3" s="1"/>
  <c r="AF130" i="3"/>
  <c r="AG130" i="3" s="1"/>
  <c r="N135" i="3"/>
  <c r="O135" i="3" s="1"/>
  <c r="AI132" i="3"/>
  <c r="AJ132" i="3" s="1"/>
  <c r="BP132" i="3"/>
  <c r="BQ132" i="3" s="1"/>
  <c r="T127" i="3"/>
  <c r="U127" i="3" s="1"/>
  <c r="AR128" i="3"/>
  <c r="AS128" i="3" s="1"/>
  <c r="N127" i="3"/>
  <c r="O127" i="3" s="1"/>
  <c r="AL133" i="3"/>
  <c r="AM133" i="3" s="1"/>
  <c r="AU131" i="3"/>
  <c r="AV131" i="3" s="1"/>
  <c r="BP130" i="3"/>
  <c r="D133" i="14" s="1"/>
  <c r="BP126" i="3"/>
  <c r="D129" i="14" s="1"/>
  <c r="AL126" i="3"/>
  <c r="AM126" i="3" s="1"/>
  <c r="AF135" i="3"/>
  <c r="AG135" i="3" s="1"/>
  <c r="W131" i="3"/>
  <c r="X131" i="3" s="1"/>
  <c r="H126" i="3"/>
  <c r="I126" i="3" s="1"/>
  <c r="BG131" i="3"/>
  <c r="BH131" i="3" s="1"/>
  <c r="Q134" i="3"/>
  <c r="R134" i="3" s="1"/>
  <c r="BA133" i="3"/>
  <c r="BB133" i="3" s="1"/>
  <c r="BJ130" i="3"/>
  <c r="D63" i="14" s="1"/>
  <c r="BD134" i="3"/>
  <c r="BE134" i="3" s="1"/>
  <c r="AU129" i="3"/>
  <c r="AV129" i="3" s="1"/>
  <c r="BP131" i="3"/>
  <c r="BQ131" i="3" s="1"/>
  <c r="AX134" i="3"/>
  <c r="AY134" i="3" s="1"/>
  <c r="BM127" i="3"/>
  <c r="D95" i="14" s="1"/>
  <c r="BA128" i="3"/>
  <c r="BB128" i="3" s="1"/>
  <c r="BG133" i="3"/>
  <c r="BH133" i="3" s="1"/>
  <c r="Z129" i="3"/>
  <c r="AA129" i="3" s="1"/>
  <c r="H130" i="3"/>
  <c r="I130" i="3" s="1"/>
  <c r="W129" i="3"/>
  <c r="X129" i="3" s="1"/>
  <c r="H131" i="3"/>
  <c r="D29" i="14" s="1"/>
  <c r="T130" i="3"/>
  <c r="U130" i="3" s="1"/>
  <c r="AU134" i="3"/>
  <c r="AV134" i="3" s="1"/>
  <c r="BA130" i="3"/>
  <c r="BB130" i="3" s="1"/>
  <c r="BG132" i="3"/>
  <c r="BH132" i="3" s="1"/>
  <c r="BG129" i="3"/>
  <c r="BH129" i="3" s="1"/>
  <c r="W130" i="3"/>
  <c r="X130" i="3" s="1"/>
  <c r="H135" i="3"/>
  <c r="I135" i="3" s="1"/>
  <c r="AC126" i="3"/>
  <c r="AD126" i="3" s="1"/>
  <c r="AO130" i="3"/>
  <c r="AP130" i="3" s="1"/>
  <c r="W133" i="3"/>
  <c r="X133" i="3" s="1"/>
  <c r="T131" i="3"/>
  <c r="U131" i="3" s="1"/>
  <c r="AU126" i="3"/>
  <c r="AV126" i="3" s="1"/>
  <c r="N132" i="3"/>
  <c r="O132" i="3" s="1"/>
  <c r="H128" i="3"/>
  <c r="I128" i="3" s="1"/>
  <c r="N129" i="3"/>
  <c r="O129" i="3" s="1"/>
  <c r="N71" i="3"/>
  <c r="O71" i="3" s="1"/>
  <c r="N101" i="3" s="1"/>
  <c r="O101" i="3" s="1"/>
  <c r="BA69" i="3"/>
  <c r="BA79" i="3" s="1"/>
  <c r="BB79" i="3" s="1"/>
  <c r="BG74" i="3"/>
  <c r="BH74" i="3" s="1"/>
  <c r="BG104" i="3" s="1"/>
  <c r="BH104" i="3" s="1"/>
  <c r="AR70" i="3"/>
  <c r="AS70" i="3" s="1"/>
  <c r="AR100" i="3" s="1"/>
  <c r="AS100" i="3" s="1"/>
  <c r="BD69" i="3"/>
  <c r="BD79" i="3" s="1"/>
  <c r="BE79" i="3" s="1"/>
  <c r="BG75" i="3"/>
  <c r="BH75" i="3" s="1"/>
  <c r="BG105" i="3" s="1"/>
  <c r="BH105" i="3" s="1"/>
  <c r="AI66" i="3"/>
  <c r="AI76" i="3" s="1"/>
  <c r="AJ76" i="3" s="1"/>
  <c r="AO69" i="3"/>
  <c r="AP69" i="3" s="1"/>
  <c r="AO99" i="3" s="1"/>
  <c r="AP99" i="3" s="1"/>
  <c r="Q66" i="3"/>
  <c r="R66" i="3" s="1"/>
  <c r="Q96" i="3" s="1"/>
  <c r="R96" i="3" s="1"/>
  <c r="BP74" i="3"/>
  <c r="BQ74" i="3" s="1"/>
  <c r="BP104" i="3" s="1"/>
  <c r="BQ104" i="3" s="1"/>
  <c r="AC70" i="3"/>
  <c r="AD70" i="3" s="1"/>
  <c r="AC100" i="3" s="1"/>
  <c r="AD100" i="3" s="1"/>
  <c r="N70" i="3"/>
  <c r="N80" i="3" s="1"/>
  <c r="O80" i="3" s="1"/>
  <c r="BM72" i="3"/>
  <c r="BN72" i="3" s="1"/>
  <c r="BM102" i="3" s="1"/>
  <c r="BN102" i="3" s="1"/>
  <c r="H68" i="3"/>
  <c r="I68" i="3" s="1"/>
  <c r="H98" i="3" s="1"/>
  <c r="I98" i="3" s="1"/>
  <c r="BJ69" i="3"/>
  <c r="BK69" i="3" s="1"/>
  <c r="BJ99" i="3" s="1"/>
  <c r="BK99" i="3" s="1"/>
  <c r="T74" i="3"/>
  <c r="U74" i="3" s="1"/>
  <c r="T104" i="3" s="1"/>
  <c r="U104" i="3" s="1"/>
  <c r="AX69" i="3"/>
  <c r="AX79" i="3" s="1"/>
  <c r="AY79" i="3" s="1"/>
  <c r="W75" i="3"/>
  <c r="X75" i="3" s="1"/>
  <c r="W105" i="3" s="1"/>
  <c r="X105" i="3" s="1"/>
  <c r="Z71" i="3"/>
  <c r="Z81" i="3" s="1"/>
  <c r="AA81" i="3" s="1"/>
  <c r="BG73" i="3"/>
  <c r="BH73" i="3" s="1"/>
  <c r="BG103" i="3" s="1"/>
  <c r="BH103" i="3" s="1"/>
  <c r="BP73" i="3"/>
  <c r="BQ73" i="3" s="1"/>
  <c r="BP103" i="3" s="1"/>
  <c r="BQ103" i="3" s="1"/>
  <c r="Z72" i="3"/>
  <c r="Z82" i="3" s="1"/>
  <c r="BM70" i="3"/>
  <c r="BN70" i="3" s="1"/>
  <c r="BM100" i="3" s="1"/>
  <c r="BN100" i="3" s="1"/>
  <c r="AU67" i="3"/>
  <c r="AU77" i="3" s="1"/>
  <c r="AV77" i="3" s="1"/>
  <c r="AU71" i="3"/>
  <c r="AV71" i="3" s="1"/>
  <c r="AU101" i="3" s="1"/>
  <c r="AV101" i="3" s="1"/>
  <c r="E167" i="9"/>
  <c r="E168" i="9"/>
  <c r="H4" i="37"/>
  <c r="I4" i="37" s="1"/>
  <c r="E169" i="9"/>
  <c r="E159" i="9"/>
  <c r="E157" i="9"/>
  <c r="E170" i="9"/>
  <c r="H16" i="37"/>
  <c r="I16" i="37" s="1"/>
  <c r="T12" i="37" s="1"/>
  <c r="E160" i="9"/>
  <c r="E158" i="9"/>
  <c r="H73" i="3"/>
  <c r="I73" i="3" s="1"/>
  <c r="H103" i="3" s="1"/>
  <c r="I103" i="3" s="1"/>
  <c r="BA66" i="3"/>
  <c r="BA72" i="3"/>
  <c r="BB72" i="3" s="1"/>
  <c r="BA102" i="3" s="1"/>
  <c r="BB102" i="3" s="1"/>
  <c r="H75" i="3"/>
  <c r="BA68" i="3"/>
  <c r="BB68" i="3" s="1"/>
  <c r="BA98" i="3" s="1"/>
  <c r="BB98" i="3" s="1"/>
  <c r="Q75" i="3"/>
  <c r="R75" i="3" s="1"/>
  <c r="Q105" i="3" s="1"/>
  <c r="R105" i="3" s="1"/>
  <c r="BD68" i="3"/>
  <c r="AL74" i="3"/>
  <c r="AR72" i="3"/>
  <c r="AS72" i="3" s="1"/>
  <c r="AR102" i="3" s="1"/>
  <c r="AS102" i="3" s="1"/>
  <c r="AL73" i="3"/>
  <c r="AC75" i="3"/>
  <c r="AU72" i="3"/>
  <c r="AU82" i="3" s="1"/>
  <c r="AV82" i="3" s="1"/>
  <c r="BD67" i="3"/>
  <c r="Z74" i="3"/>
  <c r="AA74" i="3" s="1"/>
  <c r="Z104" i="3" s="1"/>
  <c r="AA104" i="3" s="1"/>
  <c r="BA75" i="3"/>
  <c r="BA85" i="3" s="1"/>
  <c r="AF74" i="3"/>
  <c r="AG74" i="3" s="1"/>
  <c r="AF104" i="3" s="1"/>
  <c r="AG104" i="3" s="1"/>
  <c r="AX66" i="3"/>
  <c r="AY66" i="3" s="1"/>
  <c r="AX96" i="3" s="1"/>
  <c r="AY96" i="3" s="1"/>
  <c r="BG71" i="3"/>
  <c r="T68" i="3"/>
  <c r="T78" i="3" s="1"/>
  <c r="U78" i="3" s="1"/>
  <c r="AX67" i="3"/>
  <c r="T70" i="3"/>
  <c r="Q68" i="3"/>
  <c r="AL67" i="3"/>
  <c r="AL77" i="3" s="1"/>
  <c r="AM77" i="3" s="1"/>
  <c r="BJ66" i="3"/>
  <c r="BJ76" i="3" s="1"/>
  <c r="BK76" i="3" s="1"/>
  <c r="AC69" i="3"/>
  <c r="AL68" i="3"/>
  <c r="AM68" i="3" s="1"/>
  <c r="AL98" i="3" s="1"/>
  <c r="AM98" i="3" s="1"/>
  <c r="BJ72" i="3"/>
  <c r="BJ82" i="3" s="1"/>
  <c r="BK82" i="3" s="1"/>
  <c r="T73" i="3"/>
  <c r="AO68" i="3"/>
  <c r="AP68" i="3" s="1"/>
  <c r="AO98" i="3" s="1"/>
  <c r="AP98" i="3" s="1"/>
  <c r="BJ74" i="3"/>
  <c r="BJ84" i="3" s="1"/>
  <c r="BK84" i="3" s="1"/>
  <c r="AL69" i="3"/>
  <c r="AC68" i="3"/>
  <c r="AD68" i="3" s="1"/>
  <c r="AC98" i="3" s="1"/>
  <c r="AD98" i="3" s="1"/>
  <c r="AO67" i="3"/>
  <c r="AP67" i="3" s="1"/>
  <c r="AO97" i="3" s="1"/>
  <c r="AP97" i="3" s="1"/>
  <c r="AI72" i="3"/>
  <c r="AJ72" i="3" s="1"/>
  <c r="AI102" i="3" s="1"/>
  <c r="AJ102" i="3" s="1"/>
  <c r="AX71" i="3"/>
  <c r="AY71" i="3" s="1"/>
  <c r="AX101" i="3" s="1"/>
  <c r="AY101" i="3" s="1"/>
  <c r="Z68" i="3"/>
  <c r="AL66" i="3"/>
  <c r="Z73" i="3"/>
  <c r="AA73" i="3" s="1"/>
  <c r="Z103" i="3" s="1"/>
  <c r="AA103" i="3" s="1"/>
  <c r="W71" i="3"/>
  <c r="X71" i="3" s="1"/>
  <c r="W101" i="3" s="1"/>
  <c r="X101" i="3" s="1"/>
  <c r="BM66" i="3"/>
  <c r="AR73" i="3"/>
  <c r="H74" i="3"/>
  <c r="AF70" i="3"/>
  <c r="AO71" i="3"/>
  <c r="H67" i="3"/>
  <c r="N74" i="3"/>
  <c r="H71" i="3"/>
  <c r="AC74" i="3"/>
  <c r="AF67" i="3"/>
  <c r="W72" i="3"/>
  <c r="X72" i="3" s="1"/>
  <c r="W102" i="3" s="1"/>
  <c r="X102" i="3" s="1"/>
  <c r="BG72" i="3"/>
  <c r="BG82" i="3" s="1"/>
  <c r="W68" i="3"/>
  <c r="X68" i="3" s="1"/>
  <c r="W98" i="3" s="1"/>
  <c r="X98" i="3" s="1"/>
  <c r="BP72" i="3"/>
  <c r="H69" i="3"/>
  <c r="I69" i="3" s="1"/>
  <c r="H99" i="3" s="1"/>
  <c r="I99" i="3" s="1"/>
  <c r="AL72" i="3"/>
  <c r="AM72" i="3" s="1"/>
  <c r="AL102" i="3" s="1"/>
  <c r="AM102" i="3" s="1"/>
  <c r="Z70" i="3"/>
  <c r="AA70" i="3" s="1"/>
  <c r="Z100" i="3" s="1"/>
  <c r="AA100" i="3" s="1"/>
  <c r="AR75" i="3"/>
  <c r="AS75" i="3" s="1"/>
  <c r="AR105" i="3" s="1"/>
  <c r="AS105" i="3" s="1"/>
  <c r="BP70" i="3"/>
  <c r="BQ70" i="3" s="1"/>
  <c r="BP100" i="3" s="1"/>
  <c r="BQ100" i="3" s="1"/>
  <c r="Z69" i="3"/>
  <c r="AA69" i="3" s="1"/>
  <c r="Z99" i="3" s="1"/>
  <c r="AA99" i="3" s="1"/>
  <c r="BD75" i="3"/>
  <c r="BD85" i="3" s="1"/>
  <c r="BE85" i="3" s="1"/>
  <c r="AO75" i="3"/>
  <c r="AO85" i="3" s="1"/>
  <c r="AP85" i="3" s="1"/>
  <c r="AF68" i="3"/>
  <c r="AF78" i="3" s="1"/>
  <c r="Z67" i="3"/>
  <c r="AA67" i="3" s="1"/>
  <c r="Z97" i="3" s="1"/>
  <c r="AA97" i="3" s="1"/>
  <c r="BP67" i="3"/>
  <c r="BQ67" i="3" s="1"/>
  <c r="BP97" i="3" s="1"/>
  <c r="BQ97" i="3" s="1"/>
  <c r="BG68" i="3"/>
  <c r="BH68" i="3" s="1"/>
  <c r="BG98" i="3" s="1"/>
  <c r="BH98" i="3" s="1"/>
  <c r="H72" i="3"/>
  <c r="I72" i="3" s="1"/>
  <c r="H102" i="3" s="1"/>
  <c r="I102" i="3" s="1"/>
  <c r="N68" i="3"/>
  <c r="AX74" i="3"/>
  <c r="AX84" i="3" s="1"/>
  <c r="AY84" i="3" s="1"/>
  <c r="BD71" i="3"/>
  <c r="Q74" i="3"/>
  <c r="Q84" i="3" s="1"/>
  <c r="R84" i="3" s="1"/>
  <c r="AX75" i="3"/>
  <c r="AY75" i="3" s="1"/>
  <c r="AX105" i="3" s="1"/>
  <c r="AY105" i="3" s="1"/>
  <c r="W73" i="3"/>
  <c r="X73" i="3" s="1"/>
  <c r="W103" i="3" s="1"/>
  <c r="X103" i="3" s="1"/>
  <c r="BG70" i="3"/>
  <c r="BG80" i="3" s="1"/>
  <c r="BH80" i="3" s="1"/>
  <c r="BJ71" i="3"/>
  <c r="BK71" i="3" s="1"/>
  <c r="BJ101" i="3" s="1"/>
  <c r="BK101" i="3" s="1"/>
  <c r="AI68" i="3"/>
  <c r="AJ68" i="3" s="1"/>
  <c r="AI98" i="3" s="1"/>
  <c r="AJ98" i="3" s="1"/>
  <c r="BM67" i="3"/>
  <c r="BN67" i="3" s="1"/>
  <c r="BM97" i="3" s="1"/>
  <c r="BN97" i="3" s="1"/>
  <c r="AI69" i="3"/>
  <c r="AJ69" i="3" s="1"/>
  <c r="AI99" i="3" s="1"/>
  <c r="AJ99" i="3" s="1"/>
  <c r="AI73" i="3"/>
  <c r="AJ73" i="3" s="1"/>
  <c r="AI103" i="3" s="1"/>
  <c r="AJ103" i="3" s="1"/>
  <c r="AL71" i="3"/>
  <c r="AM71" i="3" s="1"/>
  <c r="AL101" i="3" s="1"/>
  <c r="AM101" i="3" s="1"/>
  <c r="BG66" i="3"/>
  <c r="BH66" i="3" s="1"/>
  <c r="BG96" i="3" s="1"/>
  <c r="BH96" i="3" s="1"/>
  <c r="W66" i="3"/>
  <c r="X66" i="3" s="1"/>
  <c r="W96" i="3" s="1"/>
  <c r="X96" i="3" s="1"/>
  <c r="BJ68" i="3"/>
  <c r="BK68" i="3" s="1"/>
  <c r="BJ98" i="3" s="1"/>
  <c r="BK98" i="3" s="1"/>
  <c r="Z66" i="3"/>
  <c r="AA66" i="3" s="1"/>
  <c r="Z96" i="3" s="1"/>
  <c r="AA96" i="3" s="1"/>
  <c r="AX72" i="3"/>
  <c r="AX82" i="3" s="1"/>
  <c r="AY82" i="3" s="1"/>
  <c r="N73" i="3"/>
  <c r="N83" i="3" s="1"/>
  <c r="O83" i="3" s="1"/>
  <c r="BM73" i="3"/>
  <c r="BN73" i="3" s="1"/>
  <c r="BM103" i="3" s="1"/>
  <c r="BN103" i="3" s="1"/>
  <c r="N75" i="3"/>
  <c r="O75" i="3" s="1"/>
  <c r="N105" i="3" s="1"/>
  <c r="O105" i="3" s="1"/>
  <c r="AU69" i="3"/>
  <c r="AU79" i="3" s="1"/>
  <c r="Q69" i="3"/>
  <c r="R69" i="3" s="1"/>
  <c r="Q99" i="3" s="1"/>
  <c r="R99" i="3" s="1"/>
  <c r="AX70" i="3"/>
  <c r="AY70" i="3" s="1"/>
  <c r="AX100" i="3" s="1"/>
  <c r="AY100" i="3" s="1"/>
  <c r="N67" i="3"/>
  <c r="O67" i="3" s="1"/>
  <c r="N97" i="3" s="1"/>
  <c r="O97" i="3" s="1"/>
  <c r="AU66" i="3"/>
  <c r="AV66" i="3" s="1"/>
  <c r="AU96" i="3" s="1"/>
  <c r="AV96" i="3" s="1"/>
  <c r="BM71" i="3"/>
  <c r="BN71" i="3" s="1"/>
  <c r="BM101" i="3" s="1"/>
  <c r="BN101" i="3" s="1"/>
  <c r="AC71" i="3"/>
  <c r="AX73" i="3"/>
  <c r="AY73" i="3" s="1"/>
  <c r="AX103" i="3" s="1"/>
  <c r="AY103" i="3" s="1"/>
  <c r="BP68" i="3"/>
  <c r="BQ68" i="3" s="1"/>
  <c r="BP98" i="3" s="1"/>
  <c r="BQ98" i="3" s="1"/>
  <c r="Q73" i="3"/>
  <c r="R73" i="3" s="1"/>
  <c r="Q103" i="3" s="1"/>
  <c r="R103" i="3" s="1"/>
  <c r="AU74" i="3"/>
  <c r="AV74" i="3" s="1"/>
  <c r="AU104" i="3" s="1"/>
  <c r="AV104" i="3" s="1"/>
  <c r="AI67" i="3"/>
  <c r="AJ67" i="3" s="1"/>
  <c r="AI97" i="3" s="1"/>
  <c r="AJ97" i="3" s="1"/>
  <c r="BA70" i="3"/>
  <c r="BA80" i="3" s="1"/>
  <c r="BB80" i="3" s="1"/>
  <c r="BG69" i="3"/>
  <c r="BH69" i="3" s="1"/>
  <c r="BG99" i="3" s="1"/>
  <c r="BH99" i="3" s="1"/>
  <c r="H70" i="3"/>
  <c r="I70" i="3" s="1"/>
  <c r="H100" i="3" s="1"/>
  <c r="I100" i="3" s="1"/>
  <c r="BD66" i="3"/>
  <c r="BE66" i="3" s="1"/>
  <c r="BD96" i="3" s="1"/>
  <c r="BE96" i="3" s="1"/>
  <c r="AF75" i="3"/>
  <c r="AG75" i="3" s="1"/>
  <c r="AF105" i="3" s="1"/>
  <c r="AG105" i="3" s="1"/>
  <c r="AC66" i="3"/>
  <c r="AC76" i="3" s="1"/>
  <c r="BD70" i="3"/>
  <c r="BE70" i="3" s="1"/>
  <c r="BD100" i="3" s="1"/>
  <c r="BE100" i="3" s="1"/>
  <c r="Q71" i="3"/>
  <c r="R71" i="3" s="1"/>
  <c r="Q101" i="3" s="1"/>
  <c r="R101" i="3" s="1"/>
  <c r="BA73" i="3"/>
  <c r="BA83" i="3" s="1"/>
  <c r="BB83" i="3" s="1"/>
  <c r="N69" i="3"/>
  <c r="O69" i="3" s="1"/>
  <c r="N99" i="3" s="1"/>
  <c r="O99" i="3" s="1"/>
  <c r="AO70" i="3"/>
  <c r="AP70" i="3" s="1"/>
  <c r="AO100" i="3" s="1"/>
  <c r="AP100" i="3" s="1"/>
  <c r="AC72" i="3"/>
  <c r="AD72" i="3" s="1"/>
  <c r="AC102" i="3" s="1"/>
  <c r="AD102" i="3" s="1"/>
  <c r="AR74" i="3"/>
  <c r="AS74" i="3" s="1"/>
  <c r="AR104" i="3" s="1"/>
  <c r="AS104" i="3" s="1"/>
  <c r="AF72" i="3"/>
  <c r="AG72" i="3" s="1"/>
  <c r="AF102" i="3" s="1"/>
  <c r="AG102" i="3" s="1"/>
  <c r="W70" i="3"/>
  <c r="W80" i="3" s="1"/>
  <c r="X80" i="3" s="1"/>
  <c r="AI71" i="3"/>
  <c r="AJ71" i="3" s="1"/>
  <c r="AI101" i="3" s="1"/>
  <c r="AJ101" i="3" s="1"/>
  <c r="AL70" i="3"/>
  <c r="AM70" i="3" s="1"/>
  <c r="AL100" i="3" s="1"/>
  <c r="AM100" i="3" s="1"/>
  <c r="BP66" i="3"/>
  <c r="BQ66" i="3" s="1"/>
  <c r="BP96" i="3" s="1"/>
  <c r="BQ96" i="3" s="1"/>
  <c r="AX68" i="3"/>
  <c r="AY68" i="3" s="1"/>
  <c r="AX98" i="3" s="1"/>
  <c r="AY98" i="3" s="1"/>
  <c r="Q67" i="3"/>
  <c r="R67" i="3" s="1"/>
  <c r="Q97" i="3" s="1"/>
  <c r="R97" i="3" s="1"/>
  <c r="BJ75" i="3"/>
  <c r="BK75" i="3" s="1"/>
  <c r="BJ105" i="3" s="1"/>
  <c r="BK105" i="3" s="1"/>
  <c r="AR67" i="3"/>
  <c r="AS67" i="3" s="1"/>
  <c r="AR97" i="3" s="1"/>
  <c r="AS97" i="3" s="1"/>
  <c r="BP75" i="3"/>
  <c r="BQ75" i="3" s="1"/>
  <c r="BP105" i="3" s="1"/>
  <c r="BQ105" i="3" s="1"/>
  <c r="AF71" i="3"/>
  <c r="AG71" i="3" s="1"/>
  <c r="AF101" i="3" s="1"/>
  <c r="AG101" i="3" s="1"/>
  <c r="BA71" i="3"/>
  <c r="BA81" i="3" s="1"/>
  <c r="BB81" i="3" s="1"/>
  <c r="H66" i="3"/>
  <c r="I66" i="3" s="1"/>
  <c r="H96" i="3" s="1"/>
  <c r="I96" i="3" s="1"/>
  <c r="T72" i="3"/>
  <c r="T82" i="3" s="1"/>
  <c r="U82" i="3" s="1"/>
  <c r="BA74" i="3"/>
  <c r="BB74" i="3" s="1"/>
  <c r="BA104" i="3" s="1"/>
  <c r="BB104" i="3" s="1"/>
  <c r="BP69" i="3"/>
  <c r="BQ69" i="3" s="1"/>
  <c r="BP99" i="3" s="1"/>
  <c r="BQ99" i="3" s="1"/>
  <c r="AU73" i="3"/>
  <c r="AU83" i="3" s="1"/>
  <c r="AC67" i="3"/>
  <c r="AC77" i="3" s="1"/>
  <c r="BP71" i="3"/>
  <c r="BQ71" i="3" s="1"/>
  <c r="BP101" i="3" s="1"/>
  <c r="BQ101" i="3" s="1"/>
  <c r="T69" i="3"/>
  <c r="U69" i="3" s="1"/>
  <c r="T99" i="3" s="1"/>
  <c r="U99" i="3" s="1"/>
  <c r="BJ73" i="3"/>
  <c r="BK73" i="3" s="1"/>
  <c r="BJ103" i="3" s="1"/>
  <c r="BK103" i="3" s="1"/>
  <c r="AR71" i="3"/>
  <c r="AR81" i="3" s="1"/>
  <c r="AS81" i="3" s="1"/>
  <c r="BD73" i="3"/>
  <c r="BE73" i="3" s="1"/>
  <c r="BD103" i="3" s="1"/>
  <c r="BE103" i="3" s="1"/>
  <c r="AU70" i="3"/>
  <c r="AV70" i="3" s="1"/>
  <c r="AU100" i="3" s="1"/>
  <c r="AV100" i="3" s="1"/>
  <c r="T71" i="3"/>
  <c r="U71" i="3" s="1"/>
  <c r="T101" i="3" s="1"/>
  <c r="U101" i="3" s="1"/>
  <c r="AF66" i="3"/>
  <c r="AF76" i="3" s="1"/>
  <c r="AG76" i="3" s="1"/>
  <c r="BM74" i="3"/>
  <c r="BN74" i="3" s="1"/>
  <c r="BM104" i="3" s="1"/>
  <c r="BN104" i="3" s="1"/>
  <c r="BJ67" i="3"/>
  <c r="BJ77" i="3" s="1"/>
  <c r="BK77" i="3" s="1"/>
  <c r="AR68" i="3"/>
  <c r="AR78" i="3" s="1"/>
  <c r="AS78" i="3" s="1"/>
  <c r="AF73" i="3"/>
  <c r="AG73" i="3" s="1"/>
  <c r="AF103" i="3" s="1"/>
  <c r="AG103" i="3" s="1"/>
  <c r="N66" i="3"/>
  <c r="O66" i="3" s="1"/>
  <c r="N96" i="3" s="1"/>
  <c r="O96" i="3" s="1"/>
  <c r="AR69" i="3"/>
  <c r="AR79" i="3" s="1"/>
  <c r="AS79" i="3" s="1"/>
  <c r="T67" i="3"/>
  <c r="U67" i="3" s="1"/>
  <c r="T97" i="3" s="1"/>
  <c r="U97" i="3" s="1"/>
  <c r="BM69" i="3"/>
  <c r="BN69" i="3" s="1"/>
  <c r="BM99" i="3" s="1"/>
  <c r="BN99" i="3" s="1"/>
  <c r="T75" i="3"/>
  <c r="U75" i="3" s="1"/>
  <c r="T105" i="3" s="1"/>
  <c r="U105" i="3" s="1"/>
  <c r="BJ70" i="3"/>
  <c r="BK70" i="3" s="1"/>
  <c r="BJ100" i="3" s="1"/>
  <c r="BK100" i="3" s="1"/>
  <c r="AC73" i="3"/>
  <c r="AD73" i="3" s="1"/>
  <c r="AC103" i="3" s="1"/>
  <c r="AD103" i="3" s="1"/>
  <c r="AF69" i="3"/>
  <c r="AG69" i="3" s="1"/>
  <c r="AF99" i="3" s="1"/>
  <c r="AG99" i="3" s="1"/>
  <c r="AR66" i="3"/>
  <c r="AS66" i="3" s="1"/>
  <c r="AR96" i="3" s="1"/>
  <c r="AS96" i="3" s="1"/>
  <c r="W74" i="3"/>
  <c r="W84" i="3" s="1"/>
  <c r="X84" i="3" s="1"/>
  <c r="AI75" i="3"/>
  <c r="AI85" i="3" s="1"/>
  <c r="AJ85" i="3" s="1"/>
  <c r="BD74" i="3"/>
  <c r="BE74" i="3" s="1"/>
  <c r="BD104" i="3" s="1"/>
  <c r="BE104" i="3" s="1"/>
  <c r="AO74" i="3"/>
  <c r="AP74" i="3" s="1"/>
  <c r="AO104" i="3" s="1"/>
  <c r="AP104" i="3" s="1"/>
  <c r="W69" i="3"/>
  <c r="X69" i="3" s="1"/>
  <c r="W99" i="3" s="1"/>
  <c r="X99" i="3" s="1"/>
  <c r="AO66" i="3"/>
  <c r="AP66" i="3" s="1"/>
  <c r="AO96" i="3" s="1"/>
  <c r="AP96" i="3" s="1"/>
  <c r="Z75" i="3"/>
  <c r="AA75" i="3" s="1"/>
  <c r="Z105" i="3" s="1"/>
  <c r="AA105" i="3" s="1"/>
  <c r="BM75" i="3"/>
  <c r="BN75" i="3" s="1"/>
  <c r="BM105" i="3" s="1"/>
  <c r="BN105" i="3" s="1"/>
  <c r="Q72" i="3"/>
  <c r="R72" i="3" s="1"/>
  <c r="Q102" i="3" s="1"/>
  <c r="R102" i="3" s="1"/>
  <c r="BG67" i="3"/>
  <c r="BG77" i="3" s="1"/>
  <c r="BH77" i="3" s="1"/>
  <c r="Q70" i="3"/>
  <c r="R70" i="3" s="1"/>
  <c r="Q100" i="3" s="1"/>
  <c r="R100" i="3" s="1"/>
  <c r="BA67" i="3"/>
  <c r="BB67" i="3" s="1"/>
  <c r="BA97" i="3" s="1"/>
  <c r="BB97" i="3" s="1"/>
  <c r="BD72" i="3"/>
  <c r="BD82" i="3" s="1"/>
  <c r="BE82" i="3" s="1"/>
  <c r="AL75" i="3"/>
  <c r="AM75" i="3" s="1"/>
  <c r="AL105" i="3" s="1"/>
  <c r="AM105" i="3" s="1"/>
  <c r="T66" i="3"/>
  <c r="T76" i="3" s="1"/>
  <c r="U76" i="3" s="1"/>
  <c r="W67" i="3"/>
  <c r="W77" i="3" s="1"/>
  <c r="X77" i="3" s="1"/>
  <c r="BM68" i="3"/>
  <c r="BM78" i="3" s="1"/>
  <c r="BN78" i="3" s="1"/>
  <c r="AI70" i="3"/>
  <c r="AJ70" i="3" s="1"/>
  <c r="AI100" i="3" s="1"/>
  <c r="AJ100" i="3" s="1"/>
  <c r="AU75" i="3"/>
  <c r="AV75" i="3" s="1"/>
  <c r="AU105" i="3" s="1"/>
  <c r="AV105" i="3" s="1"/>
  <c r="AO73" i="3"/>
  <c r="AP73" i="3" s="1"/>
  <c r="AO103" i="3" s="1"/>
  <c r="AP103" i="3" s="1"/>
  <c r="AO72" i="3"/>
  <c r="AP72" i="3" s="1"/>
  <c r="AO102" i="3" s="1"/>
  <c r="AP102" i="3" s="1"/>
  <c r="AI74" i="3"/>
  <c r="AJ74" i="3" s="1"/>
  <c r="AI104" i="3" s="1"/>
  <c r="AJ104" i="3" s="1"/>
  <c r="AU68" i="3"/>
  <c r="AV68" i="3" s="1"/>
  <c r="AU98" i="3" s="1"/>
  <c r="AV98" i="3" s="1"/>
  <c r="N72" i="3"/>
  <c r="N82" i="3" s="1"/>
  <c r="K74" i="3"/>
  <c r="L74" i="3" s="1"/>
  <c r="K104" i="3" s="1"/>
  <c r="L104" i="3" s="1"/>
  <c r="K135" i="3"/>
  <c r="K133" i="3"/>
  <c r="K131" i="3"/>
  <c r="L127" i="3"/>
  <c r="K134" i="3"/>
  <c r="K130" i="3"/>
  <c r="K126" i="3"/>
  <c r="K129" i="3"/>
  <c r="K132" i="3"/>
  <c r="K128" i="3"/>
  <c r="K71" i="3"/>
  <c r="K81" i="3" s="1"/>
  <c r="K70" i="3"/>
  <c r="K80" i="3" s="1"/>
  <c r="L80" i="3" s="1"/>
  <c r="K69" i="3"/>
  <c r="K68" i="3"/>
  <c r="L68" i="3" s="1"/>
  <c r="K98" i="3" s="1"/>
  <c r="K75" i="3"/>
  <c r="K85" i="3" s="1"/>
  <c r="K73" i="3"/>
  <c r="K72" i="3"/>
  <c r="K77" i="3"/>
  <c r="L67" i="3"/>
  <c r="K66" i="3"/>
  <c r="O445" i="30" l="1"/>
  <c r="P445" i="30" s="1"/>
  <c r="O51" i="30"/>
  <c r="P51" i="30" s="1"/>
  <c r="O521" i="30"/>
  <c r="P521" i="30" s="1"/>
  <c r="O448" i="30"/>
  <c r="P448" i="30" s="1"/>
  <c r="O478" i="30"/>
  <c r="P478" i="30" s="1"/>
  <c r="O487" i="30"/>
  <c r="P487" i="30" s="1"/>
  <c r="O509" i="30"/>
  <c r="P509" i="30" s="1"/>
  <c r="O466" i="30"/>
  <c r="P466" i="30" s="1"/>
  <c r="O446" i="30"/>
  <c r="P446" i="30" s="1"/>
  <c r="O511" i="30"/>
  <c r="P511" i="30" s="1"/>
  <c r="O474" i="30"/>
  <c r="P474" i="30" s="1"/>
  <c r="O450" i="30"/>
  <c r="P450" i="30" s="1"/>
  <c r="O506" i="30"/>
  <c r="P506" i="30" s="1"/>
  <c r="O494" i="30"/>
  <c r="P494" i="30" s="1"/>
  <c r="O522" i="30"/>
  <c r="P522" i="30" s="1"/>
  <c r="O470" i="30"/>
  <c r="P470" i="30" s="1"/>
  <c r="O491" i="30"/>
  <c r="P491" i="30" s="1"/>
  <c r="O44" i="30"/>
  <c r="P44" i="30" s="1"/>
  <c r="O524" i="30"/>
  <c r="P524" i="30" s="1"/>
  <c r="O449" i="30"/>
  <c r="P449" i="30" s="1"/>
  <c r="O463" i="30"/>
  <c r="P463" i="30" s="1"/>
  <c r="O490" i="30"/>
  <c r="P490" i="30" s="1"/>
  <c r="O518" i="30"/>
  <c r="P518" i="30" s="1"/>
  <c r="O514" i="30"/>
  <c r="P514" i="30" s="1"/>
  <c r="O481" i="30"/>
  <c r="P481" i="30" s="1"/>
  <c r="L63" i="9"/>
  <c r="L62" i="9"/>
  <c r="N41" i="9"/>
  <c r="L44" i="9"/>
  <c r="N65" i="9"/>
  <c r="N66" i="9"/>
  <c r="L66" i="9"/>
  <c r="N62" i="9"/>
  <c r="L64" i="9"/>
  <c r="L45" i="9"/>
  <c r="L43" i="9"/>
  <c r="L42" i="9"/>
  <c r="M64" i="9"/>
  <c r="M61" i="9"/>
  <c r="M43" i="9"/>
  <c r="M44" i="9"/>
  <c r="M66" i="9"/>
  <c r="M63" i="9"/>
  <c r="M62" i="9"/>
  <c r="L65" i="9"/>
  <c r="L46" i="9"/>
  <c r="L41" i="9"/>
  <c r="H86" i="9"/>
  <c r="J65" i="9"/>
  <c r="M22" i="30"/>
  <c r="M30" i="30"/>
  <c r="M38" i="30"/>
  <c r="M57" i="30"/>
  <c r="M81" i="30"/>
  <c r="M89" i="30"/>
  <c r="M99" i="30"/>
  <c r="M107" i="30"/>
  <c r="M115" i="30"/>
  <c r="M130" i="30"/>
  <c r="M23" i="30"/>
  <c r="M39" i="30"/>
  <c r="M82" i="30"/>
  <c r="M100" i="30"/>
  <c r="M108" i="30"/>
  <c r="M18" i="30"/>
  <c r="M103" i="30"/>
  <c r="M29" i="30"/>
  <c r="M80" i="30"/>
  <c r="M98" i="30"/>
  <c r="M106" i="30"/>
  <c r="M24" i="30"/>
  <c r="M101" i="30"/>
  <c r="M125" i="30"/>
  <c r="M25" i="30"/>
  <c r="M60" i="30"/>
  <c r="M84" i="30"/>
  <c r="M94" i="30"/>
  <c r="M110" i="30"/>
  <c r="M126" i="30"/>
  <c r="M87" i="30"/>
  <c r="M97" i="30"/>
  <c r="M113" i="30"/>
  <c r="M128" i="30"/>
  <c r="M77" i="30"/>
  <c r="M114" i="30"/>
  <c r="M129" i="30"/>
  <c r="M40" i="30"/>
  <c r="M83" i="30"/>
  <c r="M93" i="30"/>
  <c r="M109" i="30"/>
  <c r="M104" i="30"/>
  <c r="M20" i="30"/>
  <c r="M28" i="30"/>
  <c r="M79" i="30"/>
  <c r="M105" i="30"/>
  <c r="M26" i="30"/>
  <c r="M95" i="30"/>
  <c r="M111" i="30"/>
  <c r="M127" i="30"/>
  <c r="M21" i="30"/>
  <c r="M85" i="30"/>
  <c r="M88" i="30"/>
  <c r="M27" i="30"/>
  <c r="M19" i="30"/>
  <c r="M86" i="30"/>
  <c r="M96" i="30"/>
  <c r="M112" i="30"/>
  <c r="N372" i="30"/>
  <c r="N374" i="30"/>
  <c r="N376" i="30"/>
  <c r="N378" i="30"/>
  <c r="N383" i="30"/>
  <c r="N385" i="30"/>
  <c r="N387" i="30"/>
  <c r="N389" i="30"/>
  <c r="N391" i="30"/>
  <c r="N393" i="30"/>
  <c r="N395" i="30"/>
  <c r="N397" i="30"/>
  <c r="N399" i="30"/>
  <c r="N401" i="30"/>
  <c r="N403" i="30"/>
  <c r="N405" i="30"/>
  <c r="N407" i="30"/>
  <c r="N409" i="30"/>
  <c r="N411" i="30"/>
  <c r="N413" i="30"/>
  <c r="N415" i="30"/>
  <c r="N417" i="30"/>
  <c r="N419" i="30"/>
  <c r="N421" i="30"/>
  <c r="N423" i="30"/>
  <c r="N425" i="30"/>
  <c r="N427" i="30"/>
  <c r="N429" i="30"/>
  <c r="N609" i="30"/>
  <c r="N375" i="30"/>
  <c r="N390" i="30"/>
  <c r="N398" i="30"/>
  <c r="N406" i="30"/>
  <c r="N414" i="30"/>
  <c r="N422" i="30"/>
  <c r="N430" i="30"/>
  <c r="N373" i="30"/>
  <c r="N388" i="30"/>
  <c r="N396" i="30"/>
  <c r="N404" i="30"/>
  <c r="N412" i="30"/>
  <c r="N420" i="30"/>
  <c r="N428" i="30"/>
  <c r="N379" i="30"/>
  <c r="N386" i="30"/>
  <c r="N394" i="30"/>
  <c r="N402" i="30"/>
  <c r="N410" i="30"/>
  <c r="N418" i="30"/>
  <c r="N426" i="30"/>
  <c r="N377" i="30"/>
  <c r="N384" i="30"/>
  <c r="N392" i="30"/>
  <c r="N400" i="30"/>
  <c r="N408" i="30"/>
  <c r="N416" i="30"/>
  <c r="N424" i="30"/>
  <c r="N610" i="30"/>
  <c r="M263" i="30"/>
  <c r="M265" i="30"/>
  <c r="M267" i="30"/>
  <c r="M269" i="30"/>
  <c r="M271" i="30"/>
  <c r="M273" i="30"/>
  <c r="M275" i="30"/>
  <c r="M277" i="30"/>
  <c r="M279" i="30"/>
  <c r="M281" i="30"/>
  <c r="M264" i="30"/>
  <c r="M266" i="30"/>
  <c r="M268" i="30"/>
  <c r="M270" i="30"/>
  <c r="M272" i="30"/>
  <c r="M274" i="30"/>
  <c r="M276" i="30"/>
  <c r="M278" i="30"/>
  <c r="M280" i="30"/>
  <c r="M282" i="30"/>
  <c r="M590" i="30"/>
  <c r="M599" i="30"/>
  <c r="M606" i="30"/>
  <c r="M604" i="30"/>
  <c r="M586" i="30"/>
  <c r="M602" i="30"/>
  <c r="M600" i="30"/>
  <c r="M598" i="30"/>
  <c r="M603" i="30"/>
  <c r="M588" i="30"/>
  <c r="M597" i="30"/>
  <c r="M591" i="30"/>
  <c r="M605" i="30"/>
  <c r="M593" i="30"/>
  <c r="M607" i="30"/>
  <c r="M594" i="30"/>
  <c r="M589" i="30"/>
  <c r="M596" i="30"/>
  <c r="M587" i="30"/>
  <c r="M592" i="30"/>
  <c r="M601" i="30"/>
  <c r="M608" i="30"/>
  <c r="M595" i="30"/>
  <c r="M262" i="30"/>
  <c r="M257" i="30"/>
  <c r="M249" i="30"/>
  <c r="M246" i="30"/>
  <c r="M238" i="30"/>
  <c r="M230" i="30"/>
  <c r="M222" i="30"/>
  <c r="M214" i="30"/>
  <c r="M258" i="30"/>
  <c r="M252" i="30"/>
  <c r="M241" i="30"/>
  <c r="M233" i="30"/>
  <c r="M225" i="30"/>
  <c r="M217" i="30"/>
  <c r="M209" i="30"/>
  <c r="M261" i="30"/>
  <c r="M255" i="30"/>
  <c r="M244" i="30"/>
  <c r="M236" i="30"/>
  <c r="M228" i="30"/>
  <c r="M220" i="30"/>
  <c r="M212" i="30"/>
  <c r="M188" i="30"/>
  <c r="M58" i="30"/>
  <c r="M92" i="30"/>
  <c r="M250" i="30"/>
  <c r="M239" i="30"/>
  <c r="M231" i="30"/>
  <c r="M223" i="30"/>
  <c r="M215" i="30"/>
  <c r="M259" i="30"/>
  <c r="M253" i="30"/>
  <c r="M242" i="30"/>
  <c r="M234" i="30"/>
  <c r="M226" i="30"/>
  <c r="M218" i="30"/>
  <c r="M210" i="30"/>
  <c r="M256" i="30"/>
  <c r="M248" i="30"/>
  <c r="M245" i="30"/>
  <c r="M237" i="30"/>
  <c r="M229" i="30"/>
  <c r="M221" i="30"/>
  <c r="M213" i="30"/>
  <c r="M78" i="30"/>
  <c r="M251" i="30"/>
  <c r="M240" i="30"/>
  <c r="M232" i="30"/>
  <c r="M224" i="30"/>
  <c r="M216" i="30"/>
  <c r="M208" i="30"/>
  <c r="M260" i="30"/>
  <c r="M254" i="30"/>
  <c r="M243" i="30"/>
  <c r="M235" i="30"/>
  <c r="M227" i="30"/>
  <c r="M219" i="30"/>
  <c r="M211" i="30"/>
  <c r="M187" i="30"/>
  <c r="O493" i="30"/>
  <c r="P493" i="30" s="1"/>
  <c r="O496" i="30"/>
  <c r="P496" i="30" s="1"/>
  <c r="N263" i="30"/>
  <c r="N265" i="30"/>
  <c r="N267" i="30"/>
  <c r="N269" i="30"/>
  <c r="N271" i="30"/>
  <c r="N273" i="30"/>
  <c r="N275" i="30"/>
  <c r="N277" i="30"/>
  <c r="N279" i="30"/>
  <c r="N281" i="30"/>
  <c r="N264" i="30"/>
  <c r="N266" i="30"/>
  <c r="N268" i="30"/>
  <c r="N270" i="30"/>
  <c r="N272" i="30"/>
  <c r="N274" i="30"/>
  <c r="N276" i="30"/>
  <c r="N278" i="30"/>
  <c r="N280" i="30"/>
  <c r="N282" i="30"/>
  <c r="N587" i="30"/>
  <c r="N589" i="30"/>
  <c r="N591" i="30"/>
  <c r="N593" i="30"/>
  <c r="N595" i="30"/>
  <c r="N597" i="30"/>
  <c r="N599" i="30"/>
  <c r="N601" i="30"/>
  <c r="N603" i="30"/>
  <c r="N605" i="30"/>
  <c r="N607" i="30"/>
  <c r="N592" i="30"/>
  <c r="N608" i="30"/>
  <c r="N590" i="30"/>
  <c r="N606" i="30"/>
  <c r="N604" i="30"/>
  <c r="N602" i="30"/>
  <c r="N600" i="30"/>
  <c r="N598" i="30"/>
  <c r="N594" i="30"/>
  <c r="N588" i="30"/>
  <c r="N586" i="30"/>
  <c r="N596" i="30"/>
  <c r="N258" i="30"/>
  <c r="N252" i="30"/>
  <c r="N241" i="30"/>
  <c r="N233" i="30"/>
  <c r="N225" i="30"/>
  <c r="N217" i="30"/>
  <c r="N209" i="30"/>
  <c r="N261" i="30"/>
  <c r="N255" i="30"/>
  <c r="N244" i="30"/>
  <c r="N236" i="30"/>
  <c r="N228" i="30"/>
  <c r="N220" i="30"/>
  <c r="N212" i="30"/>
  <c r="N188" i="30"/>
  <c r="N78" i="30"/>
  <c r="N58" i="30"/>
  <c r="N250" i="30"/>
  <c r="N239" i="30"/>
  <c r="N231" i="30"/>
  <c r="N223" i="30"/>
  <c r="N215" i="30"/>
  <c r="N92" i="30"/>
  <c r="N259" i="30"/>
  <c r="N253" i="30"/>
  <c r="N242" i="30"/>
  <c r="N234" i="30"/>
  <c r="N226" i="30"/>
  <c r="N218" i="30"/>
  <c r="N210" i="30"/>
  <c r="N256" i="30"/>
  <c r="N248" i="30"/>
  <c r="N245" i="30"/>
  <c r="N237" i="30"/>
  <c r="N229" i="30"/>
  <c r="N221" i="30"/>
  <c r="N213" i="30"/>
  <c r="N251" i="30"/>
  <c r="N240" i="30"/>
  <c r="N232" i="30"/>
  <c r="N224" i="30"/>
  <c r="N216" i="30"/>
  <c r="N208" i="30"/>
  <c r="N260" i="30"/>
  <c r="N254" i="30"/>
  <c r="N243" i="30"/>
  <c r="N235" i="30"/>
  <c r="N227" i="30"/>
  <c r="N219" i="30"/>
  <c r="N211" i="30"/>
  <c r="N187" i="30"/>
  <c r="N262" i="30"/>
  <c r="N257" i="30"/>
  <c r="N249" i="30"/>
  <c r="N246" i="30"/>
  <c r="N238" i="30"/>
  <c r="N230" i="30"/>
  <c r="N222" i="30"/>
  <c r="N214" i="30"/>
  <c r="M372" i="30"/>
  <c r="M374" i="30"/>
  <c r="M376" i="30"/>
  <c r="M378" i="30"/>
  <c r="M383" i="30"/>
  <c r="M385" i="30"/>
  <c r="M387" i="30"/>
  <c r="M389" i="30"/>
  <c r="M391" i="30"/>
  <c r="M393" i="30"/>
  <c r="M395" i="30"/>
  <c r="M397" i="30"/>
  <c r="M399" i="30"/>
  <c r="M401" i="30"/>
  <c r="M403" i="30"/>
  <c r="M405" i="30"/>
  <c r="M407" i="30"/>
  <c r="M409" i="30"/>
  <c r="M411" i="30"/>
  <c r="M413" i="30"/>
  <c r="M415" i="30"/>
  <c r="M417" i="30"/>
  <c r="M419" i="30"/>
  <c r="M421" i="30"/>
  <c r="M423" i="30"/>
  <c r="M425" i="30"/>
  <c r="M427" i="30"/>
  <c r="M429" i="30"/>
  <c r="M375" i="30"/>
  <c r="M390" i="30"/>
  <c r="M398" i="30"/>
  <c r="M406" i="30"/>
  <c r="M414" i="30"/>
  <c r="M422" i="30"/>
  <c r="M430" i="30"/>
  <c r="M373" i="30"/>
  <c r="M388" i="30"/>
  <c r="M396" i="30"/>
  <c r="M404" i="30"/>
  <c r="M412" i="30"/>
  <c r="M420" i="30"/>
  <c r="M428" i="30"/>
  <c r="M609" i="30"/>
  <c r="M418" i="30"/>
  <c r="M379" i="30"/>
  <c r="M386" i="30"/>
  <c r="M394" i="30"/>
  <c r="M402" i="30"/>
  <c r="M410" i="30"/>
  <c r="M426" i="30"/>
  <c r="M610" i="30"/>
  <c r="M377" i="30"/>
  <c r="M384" i="30"/>
  <c r="M392" i="30"/>
  <c r="M400" i="30"/>
  <c r="M408" i="30"/>
  <c r="M416" i="30"/>
  <c r="M424" i="30"/>
  <c r="N109" i="30"/>
  <c r="N19" i="30"/>
  <c r="N27" i="30"/>
  <c r="N86" i="30"/>
  <c r="N96" i="30"/>
  <c r="N104" i="30"/>
  <c r="N112" i="30"/>
  <c r="N20" i="30"/>
  <c r="N28" i="30"/>
  <c r="N128" i="30"/>
  <c r="N82" i="30"/>
  <c r="N18" i="30"/>
  <c r="N88" i="30"/>
  <c r="N114" i="30"/>
  <c r="N22" i="30"/>
  <c r="N30" i="30"/>
  <c r="N38" i="30"/>
  <c r="N57" i="30"/>
  <c r="N81" i="30"/>
  <c r="N89" i="30"/>
  <c r="N99" i="30"/>
  <c r="N107" i="30"/>
  <c r="N115" i="30"/>
  <c r="N130" i="30"/>
  <c r="N84" i="30"/>
  <c r="N79" i="30"/>
  <c r="N87" i="30"/>
  <c r="N105" i="30"/>
  <c r="N108" i="30"/>
  <c r="N77" i="30"/>
  <c r="N85" i="30"/>
  <c r="N103" i="30"/>
  <c r="N21" i="30"/>
  <c r="N29" i="30"/>
  <c r="N80" i="30"/>
  <c r="N98" i="30"/>
  <c r="N40" i="30"/>
  <c r="N83" i="30"/>
  <c r="N93" i="30"/>
  <c r="N25" i="30"/>
  <c r="N60" i="30"/>
  <c r="N94" i="30"/>
  <c r="N110" i="30"/>
  <c r="N126" i="30"/>
  <c r="N97" i="30"/>
  <c r="N113" i="30"/>
  <c r="N23" i="30"/>
  <c r="N26" i="30"/>
  <c r="N95" i="30"/>
  <c r="N111" i="30"/>
  <c r="N127" i="30"/>
  <c r="N39" i="30"/>
  <c r="N100" i="30"/>
  <c r="N106" i="30"/>
  <c r="N129" i="30"/>
  <c r="N24" i="30"/>
  <c r="N101" i="30"/>
  <c r="N125" i="30"/>
  <c r="J60" i="9"/>
  <c r="O519" i="30"/>
  <c r="P519" i="30" s="1"/>
  <c r="O453" i="30"/>
  <c r="P453" i="30" s="1"/>
  <c r="O465" i="30"/>
  <c r="P465" i="30" s="1"/>
  <c r="O512" i="30"/>
  <c r="P512" i="30" s="1"/>
  <c r="O456" i="30"/>
  <c r="P456" i="30" s="1"/>
  <c r="O501" i="30"/>
  <c r="P501" i="30" s="1"/>
  <c r="O523" i="30"/>
  <c r="P523" i="30" s="1"/>
  <c r="O517" i="30"/>
  <c r="P517" i="30" s="1"/>
  <c r="F14" i="4"/>
  <c r="L469" i="30"/>
  <c r="O469" i="30" s="1"/>
  <c r="P469" i="30" s="1"/>
  <c r="L472" i="30"/>
  <c r="O472" i="30" s="1"/>
  <c r="P472" i="30" s="1"/>
  <c r="L507" i="30"/>
  <c r="O507" i="30" s="1"/>
  <c r="P507" i="30" s="1"/>
  <c r="L473" i="30"/>
  <c r="O473" i="30" s="1"/>
  <c r="P473" i="30" s="1"/>
  <c r="L515" i="30"/>
  <c r="O515" i="30" s="1"/>
  <c r="P515" i="30" s="1"/>
  <c r="L468" i="30"/>
  <c r="O468" i="30" s="1"/>
  <c r="P468" i="30" s="1"/>
  <c r="L467" i="30"/>
  <c r="O467" i="30" s="1"/>
  <c r="P467" i="30" s="1"/>
  <c r="L486" i="30"/>
  <c r="O486" i="30" s="1"/>
  <c r="P486" i="30" s="1"/>
  <c r="L499" i="30"/>
  <c r="O499" i="30" s="1"/>
  <c r="P499" i="30" s="1"/>
  <c r="L52" i="30"/>
  <c r="O52" i="30" s="1"/>
  <c r="P52" i="30" s="1"/>
  <c r="J46" i="9"/>
  <c r="J42" i="9"/>
  <c r="J61" i="9"/>
  <c r="J45" i="9"/>
  <c r="J41" i="9"/>
  <c r="L81" i="3"/>
  <c r="L335" i="30"/>
  <c r="O335" i="30" s="1"/>
  <c r="P335" i="30" s="1"/>
  <c r="L363" i="30"/>
  <c r="O363" i="30" s="1"/>
  <c r="P363" i="30" s="1"/>
  <c r="L334" i="30"/>
  <c r="O334" i="30" s="1"/>
  <c r="P334" i="30" s="1"/>
  <c r="L364" i="30"/>
  <c r="O364" i="30" s="1"/>
  <c r="P364" i="30" s="1"/>
  <c r="L351" i="30"/>
  <c r="O351" i="30" s="1"/>
  <c r="P351" i="30" s="1"/>
  <c r="L191" i="30"/>
  <c r="O191" i="30" s="1"/>
  <c r="P191" i="30" s="1"/>
  <c r="L194" i="30"/>
  <c r="O194" i="30" s="1"/>
  <c r="P194" i="30" s="1"/>
  <c r="L338" i="30"/>
  <c r="O338" i="30" s="1"/>
  <c r="P338" i="30" s="1"/>
  <c r="L366" i="30"/>
  <c r="O366" i="30" s="1"/>
  <c r="P366" i="30" s="1"/>
  <c r="L352" i="30"/>
  <c r="O352" i="30" s="1"/>
  <c r="P352" i="30" s="1"/>
  <c r="L345" i="30"/>
  <c r="O345" i="30" s="1"/>
  <c r="P345" i="30" s="1"/>
  <c r="L358" i="30"/>
  <c r="O358" i="30" s="1"/>
  <c r="P358" i="30" s="1"/>
  <c r="L16" i="30"/>
  <c r="O16" i="30" s="1"/>
  <c r="P16" i="30" s="1"/>
  <c r="L14" i="30"/>
  <c r="O14" i="30" s="1"/>
  <c r="P14" i="30" s="1"/>
  <c r="L353" i="30"/>
  <c r="O353" i="30" s="1"/>
  <c r="P353" i="30" s="1"/>
  <c r="L337" i="30"/>
  <c r="O337" i="30" s="1"/>
  <c r="P337" i="30" s="1"/>
  <c r="L340" i="30"/>
  <c r="O340" i="30" s="1"/>
  <c r="P340" i="30" s="1"/>
  <c r="L354" i="30"/>
  <c r="O354" i="30" s="1"/>
  <c r="P354" i="30" s="1"/>
  <c r="L367" i="30"/>
  <c r="O367" i="30" s="1"/>
  <c r="P367" i="30" s="1"/>
  <c r="L17" i="30"/>
  <c r="O17" i="30" s="1"/>
  <c r="P17" i="30" s="1"/>
  <c r="L15" i="30"/>
  <c r="O15" i="30" s="1"/>
  <c r="P15" i="30" s="1"/>
  <c r="L357" i="30"/>
  <c r="O357" i="30" s="1"/>
  <c r="P357" i="30" s="1"/>
  <c r="L341" i="30"/>
  <c r="O341" i="30" s="1"/>
  <c r="P341" i="30" s="1"/>
  <c r="L343" i="30"/>
  <c r="O343" i="30" s="1"/>
  <c r="P343" i="30" s="1"/>
  <c r="L361" i="30"/>
  <c r="O361" i="30" s="1"/>
  <c r="P361" i="30" s="1"/>
  <c r="L365" i="30"/>
  <c r="O365" i="30" s="1"/>
  <c r="P365" i="30" s="1"/>
  <c r="L196" i="30"/>
  <c r="O196" i="30" s="1"/>
  <c r="P196" i="30" s="1"/>
  <c r="L369" i="30"/>
  <c r="O369" i="30" s="1"/>
  <c r="P369" i="30" s="1"/>
  <c r="L356" i="30"/>
  <c r="O356" i="30" s="1"/>
  <c r="P356" i="30" s="1"/>
  <c r="L346" i="30"/>
  <c r="O346" i="30" s="1"/>
  <c r="P346" i="30" s="1"/>
  <c r="L336" i="30"/>
  <c r="O336" i="30" s="1"/>
  <c r="P336" i="30" s="1"/>
  <c r="L370" i="30"/>
  <c r="O370" i="30" s="1"/>
  <c r="P370" i="30" s="1"/>
  <c r="L192" i="30"/>
  <c r="O192" i="30" s="1"/>
  <c r="P192" i="30" s="1"/>
  <c r="L344" i="30"/>
  <c r="O344" i="30" s="1"/>
  <c r="P344" i="30" s="1"/>
  <c r="L359" i="30"/>
  <c r="O359" i="30" s="1"/>
  <c r="P359" i="30" s="1"/>
  <c r="L339" i="30"/>
  <c r="O339" i="30" s="1"/>
  <c r="P339" i="30" s="1"/>
  <c r="L349" i="30"/>
  <c r="O349" i="30" s="1"/>
  <c r="P349" i="30" s="1"/>
  <c r="L333" i="30"/>
  <c r="O333" i="30" s="1"/>
  <c r="P333" i="30" s="1"/>
  <c r="L193" i="30"/>
  <c r="O193" i="30" s="1"/>
  <c r="P193" i="30" s="1"/>
  <c r="L347" i="30"/>
  <c r="O347" i="30" s="1"/>
  <c r="P347" i="30" s="1"/>
  <c r="L362" i="30"/>
  <c r="O362" i="30" s="1"/>
  <c r="P362" i="30" s="1"/>
  <c r="L342" i="30"/>
  <c r="O342" i="30" s="1"/>
  <c r="P342" i="30" s="1"/>
  <c r="L368" i="30"/>
  <c r="O368" i="30" s="1"/>
  <c r="P368" i="30" s="1"/>
  <c r="L348" i="30"/>
  <c r="O348" i="30" s="1"/>
  <c r="P348" i="30" s="1"/>
  <c r="L12" i="30"/>
  <c r="O12" i="30" s="1"/>
  <c r="P12" i="30" s="1"/>
  <c r="L332" i="30"/>
  <c r="O332" i="30" s="1"/>
  <c r="P332" i="30" s="1"/>
  <c r="L350" i="30"/>
  <c r="O350" i="30" s="1"/>
  <c r="P350" i="30" s="1"/>
  <c r="L331" i="30"/>
  <c r="O331" i="30" s="1"/>
  <c r="P331" i="30" s="1"/>
  <c r="L360" i="30"/>
  <c r="O360" i="30" s="1"/>
  <c r="P360" i="30" s="1"/>
  <c r="L355" i="30"/>
  <c r="O355" i="30" s="1"/>
  <c r="P355" i="30" s="1"/>
  <c r="L195" i="30"/>
  <c r="O195" i="30" s="1"/>
  <c r="P195" i="30" s="1"/>
  <c r="L13" i="30"/>
  <c r="O13" i="30" s="1"/>
  <c r="P13" i="30" s="1"/>
  <c r="V20" i="37"/>
  <c r="X12" i="4"/>
  <c r="F106" i="3"/>
  <c r="F93" i="3"/>
  <c r="E7" i="4"/>
  <c r="X6" i="4"/>
  <c r="AG78" i="3"/>
  <c r="E4" i="4"/>
  <c r="AD77" i="3"/>
  <c r="V14" i="4"/>
  <c r="X11" i="4"/>
  <c r="H8" i="4"/>
  <c r="E9" i="4"/>
  <c r="E6" i="4"/>
  <c r="E5" i="4"/>
  <c r="X9" i="4"/>
  <c r="AV79" i="3"/>
  <c r="F94" i="3"/>
  <c r="F109" i="3"/>
  <c r="R7" i="6"/>
  <c r="U7" i="6" s="1"/>
  <c r="X10" i="4"/>
  <c r="X5" i="4"/>
  <c r="J16" i="32"/>
  <c r="F15" i="4"/>
  <c r="V65" i="10"/>
  <c r="L86" i="9"/>
  <c r="E10" i="10"/>
  <c r="U60" i="10"/>
  <c r="J32" i="28"/>
  <c r="I32" i="28" s="1"/>
  <c r="J57" i="28"/>
  <c r="I57" i="28" s="1"/>
  <c r="G63" i="28"/>
  <c r="H63" i="28" s="1"/>
  <c r="J63" i="28" s="1"/>
  <c r="H10" i="4"/>
  <c r="F124" i="3"/>
  <c r="C14" i="4"/>
  <c r="F122" i="3"/>
  <c r="O82" i="3"/>
  <c r="BB85" i="3"/>
  <c r="U10" i="6"/>
  <c r="B10" i="2" s="1"/>
  <c r="F123" i="3"/>
  <c r="F125" i="3"/>
  <c r="F120" i="3"/>
  <c r="AV4" i="20"/>
  <c r="F88" i="3"/>
  <c r="BH82" i="3"/>
  <c r="AA82" i="3"/>
  <c r="F118" i="3"/>
  <c r="F119" i="3"/>
  <c r="E17" i="20"/>
  <c r="F112" i="3"/>
  <c r="S7" i="6"/>
  <c r="T7" i="6" s="1"/>
  <c r="D14" i="4"/>
  <c r="E10" i="4"/>
  <c r="AV83" i="3"/>
  <c r="AD76" i="3"/>
  <c r="W7" i="4"/>
  <c r="X7" i="4" s="1"/>
  <c r="Q17" i="20"/>
  <c r="Q16" i="20" s="1"/>
  <c r="E12" i="4"/>
  <c r="G28" i="28"/>
  <c r="H28" i="28" s="1"/>
  <c r="J28" i="28" s="1"/>
  <c r="G68" i="28"/>
  <c r="H68" i="28" s="1"/>
  <c r="J68" i="28" s="1"/>
  <c r="G78" i="28"/>
  <c r="H78" i="28" s="1"/>
  <c r="J78" i="28" s="1"/>
  <c r="G88" i="28"/>
  <c r="H88" i="28" s="1"/>
  <c r="J88" i="28" s="1"/>
  <c r="G33" i="28"/>
  <c r="H33" i="28" s="1"/>
  <c r="J33" i="28" s="1"/>
  <c r="G8" i="28"/>
  <c r="H8" i="28" s="1"/>
  <c r="G13" i="28"/>
  <c r="H13" i="28" s="1"/>
  <c r="J13" i="28" s="1"/>
  <c r="G93" i="28"/>
  <c r="H93" i="28" s="1"/>
  <c r="J93" i="28" s="1"/>
  <c r="G73" i="28"/>
  <c r="H73" i="28" s="1"/>
  <c r="J73" i="28" s="1"/>
  <c r="G23" i="28"/>
  <c r="H23" i="28" s="1"/>
  <c r="J23" i="28" s="1"/>
  <c r="G38" i="28"/>
  <c r="H38" i="28" s="1"/>
  <c r="J38" i="28" s="1"/>
  <c r="G48" i="28"/>
  <c r="H48" i="28" s="1"/>
  <c r="J48" i="28" s="1"/>
  <c r="G18" i="28"/>
  <c r="H18" i="28" s="1"/>
  <c r="J18" i="28" s="1"/>
  <c r="G58" i="28"/>
  <c r="H58" i="28" s="1"/>
  <c r="J58" i="28" s="1"/>
  <c r="G43" i="28"/>
  <c r="H43" i="28" s="1"/>
  <c r="J43" i="28" s="1"/>
  <c r="G53" i="28"/>
  <c r="H53" i="28" s="1"/>
  <c r="G83" i="28"/>
  <c r="H83" i="28" s="1"/>
  <c r="J83" i="28" s="1"/>
  <c r="U58" i="10"/>
  <c r="S98" i="9"/>
  <c r="K94" i="9"/>
  <c r="R63" i="10"/>
  <c r="X84" i="9"/>
  <c r="Z60" i="10"/>
  <c r="Y64" i="10"/>
  <c r="X86" i="9"/>
  <c r="N82" i="9"/>
  <c r="R85" i="9"/>
  <c r="Q93" i="9"/>
  <c r="X91" i="9"/>
  <c r="U62" i="10"/>
  <c r="U59" i="10"/>
  <c r="P96" i="9"/>
  <c r="I64" i="10"/>
  <c r="V86" i="9"/>
  <c r="K96" i="9"/>
  <c r="Q61" i="10"/>
  <c r="R64" i="10"/>
  <c r="S83" i="9"/>
  <c r="J85" i="9"/>
  <c r="V62" i="10"/>
  <c r="K98" i="9"/>
  <c r="K88" i="9"/>
  <c r="L58" i="10"/>
  <c r="Z64" i="10"/>
  <c r="Y83" i="9"/>
  <c r="M95" i="9"/>
  <c r="V63" i="10"/>
  <c r="W59" i="10"/>
  <c r="P84" i="9"/>
  <c r="O84" i="9"/>
  <c r="W62" i="10"/>
  <c r="S87" i="9"/>
  <c r="U83" i="9"/>
  <c r="Z81" i="9"/>
  <c r="J88" i="9"/>
  <c r="V58" i="10"/>
  <c r="N92" i="9"/>
  <c r="V95" i="9"/>
  <c r="K86" i="9"/>
  <c r="K91" i="9"/>
  <c r="K64" i="10"/>
  <c r="X85" i="9"/>
  <c r="V60" i="10"/>
  <c r="V64" i="10"/>
  <c r="W64" i="10"/>
  <c r="V84" i="9"/>
  <c r="Y63" i="10"/>
  <c r="O62" i="10"/>
  <c r="K85" i="9"/>
  <c r="P58" i="10"/>
  <c r="S92" i="9"/>
  <c r="U86" i="9"/>
  <c r="I97" i="9"/>
  <c r="I85" i="9"/>
  <c r="Y94" i="9"/>
  <c r="J82" i="9"/>
  <c r="N87" i="9"/>
  <c r="M84" i="9"/>
  <c r="K93" i="9"/>
  <c r="S61" i="10"/>
  <c r="S86" i="9"/>
  <c r="T86" i="9"/>
  <c r="U95" i="9"/>
  <c r="J65" i="10"/>
  <c r="Z88" i="9"/>
  <c r="J91" i="9"/>
  <c r="X59" i="10"/>
  <c r="U98" i="9"/>
  <c r="X88" i="9"/>
  <c r="I91" i="9"/>
  <c r="X92" i="9"/>
  <c r="X96" i="9"/>
  <c r="Y88" i="9"/>
  <c r="T5" i="37"/>
  <c r="T4" i="37"/>
  <c r="V22" i="37"/>
  <c r="T6" i="37"/>
  <c r="T7" i="37"/>
  <c r="T8" i="37"/>
  <c r="L541" i="30"/>
  <c r="O541" i="30" s="1"/>
  <c r="P541" i="30" s="1"/>
  <c r="L546" i="30"/>
  <c r="O546" i="30" s="1"/>
  <c r="P546" i="30" s="1"/>
  <c r="L545" i="30"/>
  <c r="O545" i="30" s="1"/>
  <c r="P545" i="30" s="1"/>
  <c r="L548" i="30"/>
  <c r="O548" i="30" s="1"/>
  <c r="P548" i="30" s="1"/>
  <c r="L549" i="30"/>
  <c r="O549" i="30" s="1"/>
  <c r="P549" i="30" s="1"/>
  <c r="L543" i="30"/>
  <c r="O543" i="30" s="1"/>
  <c r="P543" i="30" s="1"/>
  <c r="L542" i="30"/>
  <c r="O542" i="30" s="1"/>
  <c r="P542" i="30" s="1"/>
  <c r="L540" i="30"/>
  <c r="O540" i="30" s="1"/>
  <c r="P540" i="30" s="1"/>
  <c r="L539" i="30"/>
  <c r="O539" i="30" s="1"/>
  <c r="P539" i="30" s="1"/>
  <c r="L547" i="30"/>
  <c r="O547" i="30" s="1"/>
  <c r="P547" i="30" s="1"/>
  <c r="L544" i="30"/>
  <c r="O544" i="30" s="1"/>
  <c r="P544" i="30" s="1"/>
  <c r="L76" i="30"/>
  <c r="O76" i="30" s="1"/>
  <c r="P76" i="30" s="1"/>
  <c r="L159" i="30"/>
  <c r="O159" i="30" s="1"/>
  <c r="P159" i="30" s="1"/>
  <c r="L155" i="30"/>
  <c r="O155" i="30" s="1"/>
  <c r="P155" i="30" s="1"/>
  <c r="L151" i="30"/>
  <c r="O151" i="30" s="1"/>
  <c r="P151" i="30" s="1"/>
  <c r="L147" i="30"/>
  <c r="O147" i="30" s="1"/>
  <c r="P147" i="30" s="1"/>
  <c r="L160" i="30"/>
  <c r="O160" i="30" s="1"/>
  <c r="P160" i="30" s="1"/>
  <c r="L156" i="30"/>
  <c r="O156" i="30" s="1"/>
  <c r="P156" i="30" s="1"/>
  <c r="L152" i="30"/>
  <c r="O152" i="30" s="1"/>
  <c r="P152" i="30" s="1"/>
  <c r="L148" i="30"/>
  <c r="O148" i="30" s="1"/>
  <c r="P148" i="30" s="1"/>
  <c r="L161" i="30"/>
  <c r="O161" i="30" s="1"/>
  <c r="P161" i="30" s="1"/>
  <c r="L157" i="30"/>
  <c r="O157" i="30" s="1"/>
  <c r="P157" i="30" s="1"/>
  <c r="L153" i="30"/>
  <c r="O153" i="30" s="1"/>
  <c r="P153" i="30" s="1"/>
  <c r="L149" i="30"/>
  <c r="O149" i="30" s="1"/>
  <c r="P149" i="30" s="1"/>
  <c r="L145" i="30"/>
  <c r="O145" i="30" s="1"/>
  <c r="P145" i="30" s="1"/>
  <c r="L143" i="30"/>
  <c r="O143" i="30" s="1"/>
  <c r="P143" i="30" s="1"/>
  <c r="L70" i="30"/>
  <c r="O70" i="30" s="1"/>
  <c r="P70" i="30" s="1"/>
  <c r="L158" i="30"/>
  <c r="O158" i="30" s="1"/>
  <c r="P158" i="30" s="1"/>
  <c r="L154" i="30"/>
  <c r="O154" i="30" s="1"/>
  <c r="P154" i="30" s="1"/>
  <c r="L150" i="30"/>
  <c r="O150" i="30" s="1"/>
  <c r="P150" i="30" s="1"/>
  <c r="L146" i="30"/>
  <c r="O146" i="30" s="1"/>
  <c r="P146" i="30" s="1"/>
  <c r="L199" i="30"/>
  <c r="O199" i="30" s="1"/>
  <c r="P199" i="30" s="1"/>
  <c r="L200" i="30"/>
  <c r="O200" i="30" s="1"/>
  <c r="P200" i="30" s="1"/>
  <c r="L24" i="30"/>
  <c r="L40" i="30"/>
  <c r="L81" i="30"/>
  <c r="L89" i="30"/>
  <c r="L99" i="30"/>
  <c r="L107" i="30"/>
  <c r="L115" i="30"/>
  <c r="O115" i="30" s="1"/>
  <c r="P115" i="30" s="1"/>
  <c r="L130" i="30"/>
  <c r="L25" i="30"/>
  <c r="L82" i="30"/>
  <c r="L100" i="30"/>
  <c r="L108" i="30"/>
  <c r="L18" i="30"/>
  <c r="L26" i="30"/>
  <c r="L83" i="30"/>
  <c r="O83" i="30" s="1"/>
  <c r="P83" i="30" s="1"/>
  <c r="L93" i="30"/>
  <c r="L101" i="30"/>
  <c r="L109" i="30"/>
  <c r="L125" i="30"/>
  <c r="O125" i="30" s="1"/>
  <c r="P125" i="30" s="1"/>
  <c r="L19" i="30"/>
  <c r="L27" i="30"/>
  <c r="L84" i="30"/>
  <c r="O84" i="30" s="1"/>
  <c r="P84" i="30" s="1"/>
  <c r="L94" i="30"/>
  <c r="O94" i="30" s="1"/>
  <c r="P94" i="30" s="1"/>
  <c r="L110" i="30"/>
  <c r="L126" i="30"/>
  <c r="L20" i="30"/>
  <c r="L28" i="30"/>
  <c r="L77" i="30"/>
  <c r="L85" i="30"/>
  <c r="O85" i="30" s="1"/>
  <c r="P85" i="30" s="1"/>
  <c r="L95" i="30"/>
  <c r="O95" i="30" s="1"/>
  <c r="P95" i="30" s="1"/>
  <c r="L103" i="30"/>
  <c r="L111" i="30"/>
  <c r="L127" i="30"/>
  <c r="L21" i="30"/>
  <c r="L29" i="30"/>
  <c r="L60" i="30"/>
  <c r="L86" i="30"/>
  <c r="O86" i="30" s="1"/>
  <c r="P86" i="30" s="1"/>
  <c r="L96" i="30"/>
  <c r="L104" i="30"/>
  <c r="L112" i="30"/>
  <c r="L22" i="30"/>
  <c r="L30" i="30"/>
  <c r="L38" i="30"/>
  <c r="L79" i="30"/>
  <c r="L87" i="30"/>
  <c r="L97" i="30"/>
  <c r="L105" i="30"/>
  <c r="L113" i="30"/>
  <c r="L128" i="30"/>
  <c r="L23" i="30"/>
  <c r="O23" i="30" s="1"/>
  <c r="P23" i="30" s="1"/>
  <c r="L39" i="30"/>
  <c r="L57" i="30"/>
  <c r="O57" i="30" s="1"/>
  <c r="P57" i="30" s="1"/>
  <c r="L80" i="30"/>
  <c r="O80" i="30" s="1"/>
  <c r="P80" i="30" s="1"/>
  <c r="L88" i="30"/>
  <c r="L98" i="30"/>
  <c r="L106" i="30"/>
  <c r="L114" i="30"/>
  <c r="L129" i="30"/>
  <c r="L526" i="30"/>
  <c r="O526" i="30" s="1"/>
  <c r="P526" i="30" s="1"/>
  <c r="L533" i="30"/>
  <c r="O533" i="30" s="1"/>
  <c r="P533" i="30" s="1"/>
  <c r="L538" i="30"/>
  <c r="O538" i="30" s="1"/>
  <c r="P538" i="30" s="1"/>
  <c r="L530" i="30"/>
  <c r="O530" i="30" s="1"/>
  <c r="P530" i="30" s="1"/>
  <c r="L527" i="30"/>
  <c r="O527" i="30" s="1"/>
  <c r="P527" i="30" s="1"/>
  <c r="L531" i="30"/>
  <c r="O531" i="30" s="1"/>
  <c r="P531" i="30" s="1"/>
  <c r="L534" i="30"/>
  <c r="O534" i="30" s="1"/>
  <c r="P534" i="30" s="1"/>
  <c r="L525" i="30"/>
  <c r="O525" i="30" s="1"/>
  <c r="P525" i="30" s="1"/>
  <c r="L528" i="30"/>
  <c r="O528" i="30" s="1"/>
  <c r="P528" i="30" s="1"/>
  <c r="L535" i="30"/>
  <c r="O535" i="30" s="1"/>
  <c r="P535" i="30" s="1"/>
  <c r="L537" i="30"/>
  <c r="O537" i="30" s="1"/>
  <c r="P537" i="30" s="1"/>
  <c r="L532" i="30"/>
  <c r="O532" i="30" s="1"/>
  <c r="P532" i="30" s="1"/>
  <c r="L529" i="30"/>
  <c r="O529" i="30" s="1"/>
  <c r="P529" i="30" s="1"/>
  <c r="L536" i="30"/>
  <c r="O536" i="30" s="1"/>
  <c r="P536" i="30" s="1"/>
  <c r="L207" i="30"/>
  <c r="O207" i="30" s="1"/>
  <c r="P207" i="30" s="1"/>
  <c r="L203" i="30"/>
  <c r="O203" i="30" s="1"/>
  <c r="P203" i="30" s="1"/>
  <c r="L204" i="30"/>
  <c r="O204" i="30" s="1"/>
  <c r="P204" i="30" s="1"/>
  <c r="L205" i="30"/>
  <c r="O205" i="30" s="1"/>
  <c r="P205" i="30" s="1"/>
  <c r="L201" i="30"/>
  <c r="O201" i="30" s="1"/>
  <c r="P201" i="30" s="1"/>
  <c r="L197" i="30"/>
  <c r="O197" i="30" s="1"/>
  <c r="P197" i="30" s="1"/>
  <c r="L206" i="30"/>
  <c r="O206" i="30" s="1"/>
  <c r="P206" i="30" s="1"/>
  <c r="L202" i="30"/>
  <c r="O202" i="30" s="1"/>
  <c r="P202" i="30" s="1"/>
  <c r="L198" i="30"/>
  <c r="O198" i="30" s="1"/>
  <c r="P198" i="30" s="1"/>
  <c r="L265" i="30"/>
  <c r="L270" i="30"/>
  <c r="O270" i="30" s="1"/>
  <c r="P270" i="30" s="1"/>
  <c r="L588" i="30"/>
  <c r="L280" i="30"/>
  <c r="L272" i="30"/>
  <c r="L277" i="30"/>
  <c r="L264" i="30"/>
  <c r="L269" i="30"/>
  <c r="L276" i="30"/>
  <c r="L268" i="30"/>
  <c r="O268" i="30" s="1"/>
  <c r="P268" i="30" s="1"/>
  <c r="L275" i="30"/>
  <c r="L279" i="30"/>
  <c r="L282" i="30"/>
  <c r="L267" i="30"/>
  <c r="L271" i="30"/>
  <c r="L274" i="30"/>
  <c r="O274" i="30" s="1"/>
  <c r="P274" i="30" s="1"/>
  <c r="L263" i="30"/>
  <c r="O263" i="30" s="1"/>
  <c r="P263" i="30" s="1"/>
  <c r="L266" i="30"/>
  <c r="L281" i="30"/>
  <c r="L273" i="30"/>
  <c r="L278" i="30"/>
  <c r="L598" i="30"/>
  <c r="L604" i="30"/>
  <c r="O604" i="30" s="1"/>
  <c r="P604" i="30" s="1"/>
  <c r="L587" i="30"/>
  <c r="L606" i="30"/>
  <c r="L592" i="30"/>
  <c r="L601" i="30"/>
  <c r="L594" i="30"/>
  <c r="L607" i="30"/>
  <c r="L597" i="30"/>
  <c r="O597" i="30" s="1"/>
  <c r="P597" i="30" s="1"/>
  <c r="L608" i="30"/>
  <c r="L591" i="30"/>
  <c r="L600" i="30"/>
  <c r="L603" i="30"/>
  <c r="L586" i="30"/>
  <c r="L596" i="30"/>
  <c r="L593" i="30"/>
  <c r="L590" i="30"/>
  <c r="L599" i="30"/>
  <c r="L602" i="30"/>
  <c r="L605" i="30"/>
  <c r="L589" i="30"/>
  <c r="O589" i="30" s="1"/>
  <c r="P589" i="30" s="1"/>
  <c r="L595" i="30"/>
  <c r="L261" i="30"/>
  <c r="L255" i="30"/>
  <c r="L251" i="30"/>
  <c r="L243" i="30"/>
  <c r="L239" i="30"/>
  <c r="L235" i="30"/>
  <c r="O235" i="30" s="1"/>
  <c r="P235" i="30" s="1"/>
  <c r="L231" i="30"/>
  <c r="L227" i="30"/>
  <c r="L223" i="30"/>
  <c r="L219" i="30"/>
  <c r="O219" i="30" s="1"/>
  <c r="P219" i="30" s="1"/>
  <c r="L215" i="30"/>
  <c r="L211" i="30"/>
  <c r="O211" i="30" s="1"/>
  <c r="P211" i="30" s="1"/>
  <c r="L187" i="30"/>
  <c r="O187" i="30" s="1"/>
  <c r="P187" i="30" s="1"/>
  <c r="L58" i="30"/>
  <c r="O58" i="30" s="1"/>
  <c r="P58" i="30" s="1"/>
  <c r="L92" i="30"/>
  <c r="L258" i="30"/>
  <c r="L256" i="30"/>
  <c r="L252" i="30"/>
  <c r="L248" i="30"/>
  <c r="L244" i="30"/>
  <c r="L240" i="30"/>
  <c r="L236" i="30"/>
  <c r="L232" i="30"/>
  <c r="L228" i="30"/>
  <c r="L224" i="30"/>
  <c r="L220" i="30"/>
  <c r="L216" i="30"/>
  <c r="L212" i="30"/>
  <c r="L208" i="30"/>
  <c r="L188" i="30"/>
  <c r="O188" i="30" s="1"/>
  <c r="P188" i="30" s="1"/>
  <c r="L262" i="30"/>
  <c r="O262" i="30" s="1"/>
  <c r="P262" i="30" s="1"/>
  <c r="L259" i="30"/>
  <c r="L257" i="30"/>
  <c r="L253" i="30"/>
  <c r="L249" i="30"/>
  <c r="L245" i="30"/>
  <c r="L241" i="30"/>
  <c r="L237" i="30"/>
  <c r="L233" i="30"/>
  <c r="L229" i="30"/>
  <c r="L225" i="30"/>
  <c r="L221" i="30"/>
  <c r="L217" i="30"/>
  <c r="O217" i="30" s="1"/>
  <c r="P217" i="30" s="1"/>
  <c r="L213" i="30"/>
  <c r="L209" i="30"/>
  <c r="L78" i="30"/>
  <c r="O78" i="30" s="1"/>
  <c r="P78" i="30" s="1"/>
  <c r="L260" i="30"/>
  <c r="L254" i="30"/>
  <c r="L250" i="30"/>
  <c r="L246" i="30"/>
  <c r="L242" i="30"/>
  <c r="L238" i="30"/>
  <c r="O238" i="30" s="1"/>
  <c r="P238" i="30" s="1"/>
  <c r="L234" i="30"/>
  <c r="L230" i="30"/>
  <c r="L226" i="30"/>
  <c r="L222" i="30"/>
  <c r="L218" i="30"/>
  <c r="L214" i="30"/>
  <c r="O214" i="30" s="1"/>
  <c r="P214" i="30" s="1"/>
  <c r="L210" i="30"/>
  <c r="L319" i="30"/>
  <c r="O319" i="30" s="1"/>
  <c r="P319" i="30" s="1"/>
  <c r="L322" i="30"/>
  <c r="O322" i="30" s="1"/>
  <c r="P322" i="30" s="1"/>
  <c r="L328" i="30"/>
  <c r="O328" i="30" s="1"/>
  <c r="P328" i="30" s="1"/>
  <c r="L321" i="30"/>
  <c r="O321" i="30" s="1"/>
  <c r="P321" i="30" s="1"/>
  <c r="L325" i="30"/>
  <c r="O325" i="30" s="1"/>
  <c r="P325" i="30" s="1"/>
  <c r="L318" i="30"/>
  <c r="O318" i="30" s="1"/>
  <c r="P318" i="30" s="1"/>
  <c r="L324" i="30"/>
  <c r="O324" i="30" s="1"/>
  <c r="P324" i="30" s="1"/>
  <c r="L327" i="30"/>
  <c r="O327" i="30" s="1"/>
  <c r="P327" i="30" s="1"/>
  <c r="L330" i="30"/>
  <c r="O330" i="30" s="1"/>
  <c r="P330" i="30" s="1"/>
  <c r="L323" i="30"/>
  <c r="O323" i="30" s="1"/>
  <c r="P323" i="30" s="1"/>
  <c r="L326" i="30"/>
  <c r="O326" i="30" s="1"/>
  <c r="P326" i="30" s="1"/>
  <c r="L320" i="30"/>
  <c r="O320" i="30" s="1"/>
  <c r="P320" i="30" s="1"/>
  <c r="L317" i="30"/>
  <c r="O317" i="30" s="1"/>
  <c r="P317" i="30" s="1"/>
  <c r="L329" i="30"/>
  <c r="O329" i="30" s="1"/>
  <c r="P329" i="30" s="1"/>
  <c r="L66" i="30"/>
  <c r="O66" i="30" s="1"/>
  <c r="P66" i="30" s="1"/>
  <c r="L138" i="30"/>
  <c r="O138" i="30" s="1"/>
  <c r="P138" i="30" s="1"/>
  <c r="L131" i="30"/>
  <c r="O131" i="30" s="1"/>
  <c r="P131" i="30" s="1"/>
  <c r="L139" i="30"/>
  <c r="O139" i="30" s="1"/>
  <c r="P139" i="30" s="1"/>
  <c r="L69" i="30"/>
  <c r="O69" i="30" s="1"/>
  <c r="P69" i="30" s="1"/>
  <c r="L132" i="30"/>
  <c r="O132" i="30" s="1"/>
  <c r="P132" i="30" s="1"/>
  <c r="L53" i="30"/>
  <c r="O53" i="30" s="1"/>
  <c r="P53" i="30" s="1"/>
  <c r="L133" i="30"/>
  <c r="O133" i="30" s="1"/>
  <c r="P133" i="30" s="1"/>
  <c r="L134" i="30"/>
  <c r="O134" i="30" s="1"/>
  <c r="P134" i="30" s="1"/>
  <c r="L135" i="30"/>
  <c r="O135" i="30" s="1"/>
  <c r="P135" i="30" s="1"/>
  <c r="L136" i="30"/>
  <c r="O136" i="30" s="1"/>
  <c r="P136" i="30" s="1"/>
  <c r="L142" i="30"/>
  <c r="O142" i="30" s="1"/>
  <c r="P142" i="30" s="1"/>
  <c r="L137" i="30"/>
  <c r="O137" i="30" s="1"/>
  <c r="P137" i="30" s="1"/>
  <c r="L573" i="30"/>
  <c r="O573" i="30" s="1"/>
  <c r="P573" i="30" s="1"/>
  <c r="L585" i="30"/>
  <c r="O585" i="30" s="1"/>
  <c r="P585" i="30" s="1"/>
  <c r="L572" i="30"/>
  <c r="O572" i="30" s="1"/>
  <c r="P572" i="30" s="1"/>
  <c r="L575" i="30"/>
  <c r="O575" i="30" s="1"/>
  <c r="P575" i="30" s="1"/>
  <c r="L578" i="30"/>
  <c r="O578" i="30" s="1"/>
  <c r="P578" i="30" s="1"/>
  <c r="L576" i="30"/>
  <c r="O576" i="30" s="1"/>
  <c r="P576" i="30" s="1"/>
  <c r="L579" i="30"/>
  <c r="O579" i="30" s="1"/>
  <c r="P579" i="30" s="1"/>
  <c r="L582" i="30"/>
  <c r="O582" i="30" s="1"/>
  <c r="P582" i="30" s="1"/>
  <c r="L574" i="30"/>
  <c r="O574" i="30" s="1"/>
  <c r="P574" i="30" s="1"/>
  <c r="L583" i="30"/>
  <c r="O583" i="30" s="1"/>
  <c r="P583" i="30" s="1"/>
  <c r="L571" i="30"/>
  <c r="O571" i="30" s="1"/>
  <c r="P571" i="30" s="1"/>
  <c r="L580" i="30"/>
  <c r="O580" i="30" s="1"/>
  <c r="P580" i="30" s="1"/>
  <c r="L444" i="30"/>
  <c r="O444" i="30" s="1"/>
  <c r="P444" i="30" s="1"/>
  <c r="L577" i="30"/>
  <c r="O577" i="30" s="1"/>
  <c r="P577" i="30" s="1"/>
  <c r="L584" i="30"/>
  <c r="O584" i="30" s="1"/>
  <c r="P584" i="30" s="1"/>
  <c r="L581" i="30"/>
  <c r="O581" i="30" s="1"/>
  <c r="P581" i="30" s="1"/>
  <c r="L59" i="30"/>
  <c r="O59" i="30" s="1"/>
  <c r="P59" i="30" s="1"/>
  <c r="L118" i="30"/>
  <c r="O118" i="30" s="1"/>
  <c r="P118" i="30" s="1"/>
  <c r="L119" i="30"/>
  <c r="O119" i="30" s="1"/>
  <c r="P119" i="30" s="1"/>
  <c r="L123" i="30"/>
  <c r="O123" i="30" s="1"/>
  <c r="P123" i="30" s="1"/>
  <c r="L124" i="30"/>
  <c r="O124" i="30" s="1"/>
  <c r="P124" i="30" s="1"/>
  <c r="L189" i="30"/>
  <c r="O189" i="30" s="1"/>
  <c r="P189" i="30" s="1"/>
  <c r="L120" i="30"/>
  <c r="O120" i="30" s="1"/>
  <c r="P120" i="30" s="1"/>
  <c r="L190" i="30"/>
  <c r="O190" i="30" s="1"/>
  <c r="P190" i="30" s="1"/>
  <c r="L121" i="30"/>
  <c r="O121" i="30" s="1"/>
  <c r="P121" i="30" s="1"/>
  <c r="L122" i="30"/>
  <c r="O122" i="30" s="1"/>
  <c r="P122" i="30" s="1"/>
  <c r="L374" i="30"/>
  <c r="O374" i="30" s="1"/>
  <c r="P374" i="30" s="1"/>
  <c r="L385" i="30"/>
  <c r="O385" i="30" s="1"/>
  <c r="P385" i="30" s="1"/>
  <c r="L389" i="30"/>
  <c r="L401" i="30"/>
  <c r="O401" i="30" s="1"/>
  <c r="P401" i="30" s="1"/>
  <c r="L405" i="30"/>
  <c r="O405" i="30" s="1"/>
  <c r="P405" i="30" s="1"/>
  <c r="L417" i="30"/>
  <c r="O417" i="30" s="1"/>
  <c r="P417" i="30" s="1"/>
  <c r="L421" i="30"/>
  <c r="L395" i="30"/>
  <c r="L398" i="30"/>
  <c r="L411" i="30"/>
  <c r="L414" i="30"/>
  <c r="L427" i="30"/>
  <c r="L430" i="30"/>
  <c r="L373" i="30"/>
  <c r="L376" i="30"/>
  <c r="L379" i="30"/>
  <c r="L388" i="30"/>
  <c r="L391" i="30"/>
  <c r="O391" i="30" s="1"/>
  <c r="P391" i="30" s="1"/>
  <c r="L394" i="30"/>
  <c r="L404" i="30"/>
  <c r="L407" i="30"/>
  <c r="L410" i="30"/>
  <c r="L420" i="30"/>
  <c r="L423" i="30"/>
  <c r="L426" i="30"/>
  <c r="O426" i="30" s="1"/>
  <c r="P426" i="30" s="1"/>
  <c r="L377" i="30"/>
  <c r="L392" i="30"/>
  <c r="O392" i="30" s="1"/>
  <c r="P392" i="30" s="1"/>
  <c r="L408" i="30"/>
  <c r="L424" i="30"/>
  <c r="L384" i="30"/>
  <c r="O384" i="30" s="1"/>
  <c r="P384" i="30" s="1"/>
  <c r="L416" i="30"/>
  <c r="L609" i="30"/>
  <c r="O609" i="30" s="1"/>
  <c r="P609" i="30" s="1"/>
  <c r="L375" i="30"/>
  <c r="O375" i="30" s="1"/>
  <c r="P375" i="30" s="1"/>
  <c r="L396" i="30"/>
  <c r="L406" i="30"/>
  <c r="L428" i="30"/>
  <c r="L610" i="30"/>
  <c r="L387" i="30"/>
  <c r="L386" i="30"/>
  <c r="O386" i="30" s="1"/>
  <c r="P386" i="30" s="1"/>
  <c r="L393" i="30"/>
  <c r="O393" i="30" s="1"/>
  <c r="P393" i="30" s="1"/>
  <c r="L413" i="30"/>
  <c r="L418" i="30"/>
  <c r="L425" i="30"/>
  <c r="O425" i="30" s="1"/>
  <c r="P425" i="30" s="1"/>
  <c r="L419" i="30"/>
  <c r="L372" i="30"/>
  <c r="L383" i="30"/>
  <c r="O383" i="30" s="1"/>
  <c r="P383" i="30" s="1"/>
  <c r="L403" i="30"/>
  <c r="L415" i="30"/>
  <c r="O415" i="30" s="1"/>
  <c r="P415" i="30" s="1"/>
  <c r="L400" i="30"/>
  <c r="L390" i="30"/>
  <c r="L412" i="30"/>
  <c r="L422" i="30"/>
  <c r="L378" i="30"/>
  <c r="L397" i="30"/>
  <c r="L402" i="30"/>
  <c r="L409" i="30"/>
  <c r="O409" i="30" s="1"/>
  <c r="P409" i="30" s="1"/>
  <c r="L429" i="30"/>
  <c r="L399" i="30"/>
  <c r="L183" i="30"/>
  <c r="O183" i="30" s="1"/>
  <c r="P183" i="30" s="1"/>
  <c r="L179" i="30"/>
  <c r="O179" i="30" s="1"/>
  <c r="P179" i="30" s="1"/>
  <c r="L63" i="30"/>
  <c r="O63" i="30" s="1"/>
  <c r="P63" i="30" s="1"/>
  <c r="L67" i="30"/>
  <c r="O67" i="30" s="1"/>
  <c r="P67" i="30" s="1"/>
  <c r="L64" i="30"/>
  <c r="O64" i="30" s="1"/>
  <c r="P64" i="30" s="1"/>
  <c r="L68" i="30"/>
  <c r="O68" i="30" s="1"/>
  <c r="P68" i="30" s="1"/>
  <c r="L184" i="30"/>
  <c r="O184" i="30" s="1"/>
  <c r="P184" i="30" s="1"/>
  <c r="L180" i="30"/>
  <c r="O180" i="30" s="1"/>
  <c r="P180" i="30" s="1"/>
  <c r="L176" i="30"/>
  <c r="O176" i="30" s="1"/>
  <c r="P176" i="30" s="1"/>
  <c r="L185" i="30"/>
  <c r="O185" i="30" s="1"/>
  <c r="P185" i="30" s="1"/>
  <c r="L181" i="30"/>
  <c r="O181" i="30" s="1"/>
  <c r="P181" i="30" s="1"/>
  <c r="L177" i="30"/>
  <c r="O177" i="30" s="1"/>
  <c r="P177" i="30" s="1"/>
  <c r="L186" i="30"/>
  <c r="O186" i="30" s="1"/>
  <c r="P186" i="30" s="1"/>
  <c r="L182" i="30"/>
  <c r="O182" i="30" s="1"/>
  <c r="P182" i="30" s="1"/>
  <c r="L178" i="30"/>
  <c r="O178" i="30" s="1"/>
  <c r="P178" i="30" s="1"/>
  <c r="L61" i="30"/>
  <c r="O61" i="30" s="1"/>
  <c r="P61" i="30" s="1"/>
  <c r="L62" i="30"/>
  <c r="O62" i="30" s="1"/>
  <c r="P62" i="30" s="1"/>
  <c r="L175" i="30"/>
  <c r="O175" i="30" s="1"/>
  <c r="P175" i="30" s="1"/>
  <c r="L171" i="30"/>
  <c r="O171" i="30" s="1"/>
  <c r="P171" i="30" s="1"/>
  <c r="L167" i="30"/>
  <c r="O167" i="30" s="1"/>
  <c r="P167" i="30" s="1"/>
  <c r="L163" i="30"/>
  <c r="O163" i="30" s="1"/>
  <c r="P163" i="30" s="1"/>
  <c r="L144" i="30"/>
  <c r="O144" i="30" s="1"/>
  <c r="P144" i="30" s="1"/>
  <c r="L32" i="30"/>
  <c r="O32" i="30" s="1"/>
  <c r="P32" i="30" s="1"/>
  <c r="L33" i="30"/>
  <c r="O33" i="30" s="1"/>
  <c r="P33" i="30" s="1"/>
  <c r="L116" i="30"/>
  <c r="O116" i="30" s="1"/>
  <c r="P116" i="30" s="1"/>
  <c r="L172" i="30"/>
  <c r="O172" i="30" s="1"/>
  <c r="P172" i="30" s="1"/>
  <c r="L168" i="30"/>
  <c r="O168" i="30" s="1"/>
  <c r="P168" i="30" s="1"/>
  <c r="L164" i="30"/>
  <c r="O164" i="30" s="1"/>
  <c r="P164" i="30" s="1"/>
  <c r="L34" i="30"/>
  <c r="O34" i="30" s="1"/>
  <c r="P34" i="30" s="1"/>
  <c r="L117" i="30"/>
  <c r="O117" i="30" s="1"/>
  <c r="P117" i="30" s="1"/>
  <c r="L140" i="30"/>
  <c r="O140" i="30" s="1"/>
  <c r="P140" i="30" s="1"/>
  <c r="L35" i="30"/>
  <c r="O35" i="30" s="1"/>
  <c r="P35" i="30" s="1"/>
  <c r="L173" i="30"/>
  <c r="O173" i="30" s="1"/>
  <c r="P173" i="30" s="1"/>
  <c r="L169" i="30"/>
  <c r="O169" i="30" s="1"/>
  <c r="P169" i="30" s="1"/>
  <c r="L165" i="30"/>
  <c r="O165" i="30" s="1"/>
  <c r="P165" i="30" s="1"/>
  <c r="L36" i="30"/>
  <c r="O36" i="30" s="1"/>
  <c r="P36" i="30" s="1"/>
  <c r="L37" i="30"/>
  <c r="O37" i="30" s="1"/>
  <c r="P37" i="30" s="1"/>
  <c r="L141" i="30"/>
  <c r="O141" i="30" s="1"/>
  <c r="P141" i="30" s="1"/>
  <c r="L174" i="30"/>
  <c r="O174" i="30" s="1"/>
  <c r="P174" i="30" s="1"/>
  <c r="L170" i="30"/>
  <c r="O170" i="30" s="1"/>
  <c r="P170" i="30" s="1"/>
  <c r="L166" i="30"/>
  <c r="O166" i="30" s="1"/>
  <c r="P166" i="30" s="1"/>
  <c r="L162" i="30"/>
  <c r="O162" i="30" s="1"/>
  <c r="P162" i="30" s="1"/>
  <c r="L31" i="30"/>
  <c r="O31" i="30" s="1"/>
  <c r="P31" i="30" s="1"/>
  <c r="L561" i="30"/>
  <c r="O561" i="30" s="1"/>
  <c r="P561" i="30" s="1"/>
  <c r="L564" i="30"/>
  <c r="O564" i="30" s="1"/>
  <c r="P564" i="30" s="1"/>
  <c r="L567" i="30"/>
  <c r="O567" i="30" s="1"/>
  <c r="P567" i="30" s="1"/>
  <c r="L570" i="30"/>
  <c r="O570" i="30" s="1"/>
  <c r="P570" i="30" s="1"/>
  <c r="L560" i="30"/>
  <c r="O560" i="30" s="1"/>
  <c r="P560" i="30" s="1"/>
  <c r="L559" i="30"/>
  <c r="O559" i="30" s="1"/>
  <c r="P559" i="30" s="1"/>
  <c r="L566" i="30"/>
  <c r="O566" i="30" s="1"/>
  <c r="P566" i="30" s="1"/>
  <c r="L562" i="30"/>
  <c r="O562" i="30" s="1"/>
  <c r="P562" i="30" s="1"/>
  <c r="L569" i="30"/>
  <c r="O569" i="30" s="1"/>
  <c r="P569" i="30" s="1"/>
  <c r="L558" i="30"/>
  <c r="O558" i="30" s="1"/>
  <c r="P558" i="30" s="1"/>
  <c r="L568" i="30"/>
  <c r="O568" i="30" s="1"/>
  <c r="P568" i="30" s="1"/>
  <c r="L563" i="30"/>
  <c r="O563" i="30" s="1"/>
  <c r="P563" i="30" s="1"/>
  <c r="L565" i="30"/>
  <c r="O565" i="30" s="1"/>
  <c r="P565" i="30" s="1"/>
  <c r="L65" i="30"/>
  <c r="O65" i="30" s="1"/>
  <c r="P65" i="30" s="1"/>
  <c r="W46" i="9"/>
  <c r="Y42" i="9"/>
  <c r="J44" i="9"/>
  <c r="J43" i="9"/>
  <c r="Q46" i="9"/>
  <c r="W60" i="9"/>
  <c r="W65" i="9"/>
  <c r="W63" i="9"/>
  <c r="J62" i="9"/>
  <c r="J40" i="9"/>
  <c r="J64" i="9"/>
  <c r="Q63" i="9"/>
  <c r="Q44" i="9"/>
  <c r="W42" i="9"/>
  <c r="Y43" i="9"/>
  <c r="Y63" i="9"/>
  <c r="J63" i="9"/>
  <c r="Q66" i="9"/>
  <c r="Q43" i="9"/>
  <c r="W40" i="9"/>
  <c r="Q41" i="9"/>
  <c r="Q61" i="9"/>
  <c r="Y37" i="9"/>
  <c r="Y65" i="9"/>
  <c r="Y44" i="9"/>
  <c r="Y41" i="9"/>
  <c r="Y60" i="9"/>
  <c r="Y66" i="9"/>
  <c r="Q45" i="9"/>
  <c r="Y45" i="9"/>
  <c r="Y62" i="9"/>
  <c r="Q65" i="9"/>
  <c r="Y40" i="9"/>
  <c r="W101" i="9"/>
  <c r="Q121" i="9"/>
  <c r="U100" i="9"/>
  <c r="M121" i="9"/>
  <c r="O101" i="9"/>
  <c r="Z121" i="9"/>
  <c r="I101" i="9"/>
  <c r="N120" i="9"/>
  <c r="Y120" i="9"/>
  <c r="U120" i="9"/>
  <c r="Y121" i="9"/>
  <c r="V120" i="9"/>
  <c r="J121" i="9"/>
  <c r="M101" i="9"/>
  <c r="N121" i="9"/>
  <c r="P100" i="9"/>
  <c r="L91" i="9"/>
  <c r="L80" i="9"/>
  <c r="L87" i="9"/>
  <c r="L81" i="9"/>
  <c r="U61" i="10"/>
  <c r="M91" i="9"/>
  <c r="V61" i="10"/>
  <c r="N96" i="9"/>
  <c r="W57" i="10"/>
  <c r="W65" i="10"/>
  <c r="O88" i="9"/>
  <c r="O82" i="9"/>
  <c r="O93" i="9"/>
  <c r="X60" i="10"/>
  <c r="X62" i="10"/>
  <c r="P94" i="9"/>
  <c r="P97" i="9"/>
  <c r="P82" i="9"/>
  <c r="Y57" i="10"/>
  <c r="Q88" i="9"/>
  <c r="Q100" i="9"/>
  <c r="Q83" i="9"/>
  <c r="V101" i="9"/>
  <c r="V94" i="9"/>
  <c r="V91" i="9"/>
  <c r="V82" i="9"/>
  <c r="R62" i="10"/>
  <c r="S101" i="9"/>
  <c r="L82" i="9"/>
  <c r="L93" i="9"/>
  <c r="L94" i="9"/>
  <c r="U65" i="10"/>
  <c r="U64" i="10"/>
  <c r="M80" i="9"/>
  <c r="M88" i="9"/>
  <c r="M93" i="9"/>
  <c r="I61" i="10"/>
  <c r="H90" i="9"/>
  <c r="L120" i="9"/>
  <c r="L83" i="9"/>
  <c r="L88" i="9"/>
  <c r="U56" i="10"/>
  <c r="M120" i="9"/>
  <c r="M94" i="9"/>
  <c r="M87" i="9"/>
  <c r="V57" i="10"/>
  <c r="N80" i="9"/>
  <c r="N100" i="9"/>
  <c r="W63" i="10"/>
  <c r="O80" i="9"/>
  <c r="O87" i="9"/>
  <c r="X65" i="10"/>
  <c r="P79" i="9"/>
  <c r="P89" i="9"/>
  <c r="P86" i="9"/>
  <c r="P90" i="9"/>
  <c r="I60" i="10"/>
  <c r="Q97" i="9"/>
  <c r="V121" i="9"/>
  <c r="V97" i="9"/>
  <c r="V93" i="9"/>
  <c r="O63" i="10"/>
  <c r="L57" i="10"/>
  <c r="N83" i="9"/>
  <c r="N94" i="9"/>
  <c r="N98" i="9"/>
  <c r="W58" i="10"/>
  <c r="O96" i="9"/>
  <c r="X56" i="10"/>
  <c r="P95" i="9"/>
  <c r="I62" i="10"/>
  <c r="Q98" i="9"/>
  <c r="Q91" i="9"/>
  <c r="Y65" i="10"/>
  <c r="Y56" i="10"/>
  <c r="Y60" i="10"/>
  <c r="V83" i="9"/>
  <c r="K121" i="9"/>
  <c r="M92" i="9"/>
  <c r="M89" i="9"/>
  <c r="M96" i="9"/>
  <c r="N89" i="9"/>
  <c r="N81" i="9"/>
  <c r="O121" i="9"/>
  <c r="O91" i="9"/>
  <c r="O120" i="9"/>
  <c r="X63" i="10"/>
  <c r="P88" i="9"/>
  <c r="P93" i="9"/>
  <c r="I63" i="10"/>
  <c r="I65" i="10"/>
  <c r="Q92" i="9"/>
  <c r="O56" i="10"/>
  <c r="O60" i="10"/>
  <c r="O65" i="10"/>
  <c r="O64" i="10"/>
  <c r="P65" i="10"/>
  <c r="P64" i="10"/>
  <c r="P62" i="10"/>
  <c r="P56" i="10"/>
  <c r="P63" i="10"/>
  <c r="P57" i="10"/>
  <c r="Q57" i="10"/>
  <c r="Q58" i="10"/>
  <c r="Q60" i="10"/>
  <c r="R121" i="9"/>
  <c r="R100" i="9"/>
  <c r="R101" i="9"/>
  <c r="R120" i="9"/>
  <c r="L60" i="10"/>
  <c r="E11" i="10"/>
  <c r="L89" i="9"/>
  <c r="L121" i="9"/>
  <c r="L90" i="9"/>
  <c r="U57" i="10"/>
  <c r="M86" i="9"/>
  <c r="X58" i="10"/>
  <c r="P81" i="9"/>
  <c r="P98" i="9"/>
  <c r="P87" i="9"/>
  <c r="I57" i="10"/>
  <c r="I58" i="10"/>
  <c r="Y59" i="10"/>
  <c r="Q87" i="9"/>
  <c r="Q96" i="9"/>
  <c r="V92" i="9"/>
  <c r="O57" i="10"/>
  <c r="K95" i="9"/>
  <c r="K97" i="9"/>
  <c r="P61" i="10"/>
  <c r="P60" i="10"/>
  <c r="Q59" i="10"/>
  <c r="Q63" i="10"/>
  <c r="R88" i="9"/>
  <c r="R91" i="9"/>
  <c r="R90" i="9"/>
  <c r="R79" i="9"/>
  <c r="R96" i="9"/>
  <c r="S120" i="9"/>
  <c r="S100" i="9"/>
  <c r="T120" i="9"/>
  <c r="M60" i="10"/>
  <c r="L79" i="9"/>
  <c r="L85" i="9"/>
  <c r="L97" i="9"/>
  <c r="L100" i="9"/>
  <c r="L101" i="9"/>
  <c r="L84" i="9"/>
  <c r="M82" i="9"/>
  <c r="M100" i="9"/>
  <c r="M98" i="9"/>
  <c r="M85" i="9"/>
  <c r="M81" i="9"/>
  <c r="V56" i="10"/>
  <c r="N79" i="9"/>
  <c r="N88" i="9"/>
  <c r="N84" i="9"/>
  <c r="W56" i="10"/>
  <c r="O94" i="9"/>
  <c r="O100" i="9"/>
  <c r="O81" i="9"/>
  <c r="X64" i="10"/>
  <c r="P92" i="9"/>
  <c r="I56" i="10"/>
  <c r="Y62" i="10"/>
  <c r="Q101" i="9"/>
  <c r="Q90" i="9"/>
  <c r="Q120" i="9"/>
  <c r="V88" i="9"/>
  <c r="V80" i="9"/>
  <c r="O58" i="10"/>
  <c r="K120" i="9"/>
  <c r="K90" i="9"/>
  <c r="K84" i="9"/>
  <c r="S65" i="10"/>
  <c r="S56" i="10"/>
  <c r="S59" i="10"/>
  <c r="S63" i="10"/>
  <c r="S60" i="10"/>
  <c r="S64" i="10"/>
  <c r="S58" i="10"/>
  <c r="S57" i="10"/>
  <c r="S62" i="10"/>
  <c r="R86" i="9"/>
  <c r="T92" i="9"/>
  <c r="L62" i="10"/>
  <c r="N95" i="9"/>
  <c r="N85" i="9"/>
  <c r="L96" i="9"/>
  <c r="L92" i="9"/>
  <c r="U63" i="10"/>
  <c r="M83" i="9"/>
  <c r="M90" i="9"/>
  <c r="V59" i="10"/>
  <c r="N97" i="9"/>
  <c r="N86" i="9"/>
  <c r="N101" i="9"/>
  <c r="N93" i="9"/>
  <c r="W60" i="10"/>
  <c r="O89" i="9"/>
  <c r="O85" i="9"/>
  <c r="O97" i="9"/>
  <c r="O90" i="9"/>
  <c r="X61" i="10"/>
  <c r="X57" i="10"/>
  <c r="P101" i="9"/>
  <c r="P83" i="9"/>
  <c r="P120" i="9"/>
  <c r="Y58" i="10"/>
  <c r="V87" i="9"/>
  <c r="V100" i="9"/>
  <c r="V81" i="9"/>
  <c r="O59" i="10"/>
  <c r="K83" i="9"/>
  <c r="K92" i="9"/>
  <c r="R58" i="10"/>
  <c r="R60" i="10"/>
  <c r="R57" i="10"/>
  <c r="K61" i="10"/>
  <c r="K57" i="10"/>
  <c r="K58" i="10"/>
  <c r="K62" i="10"/>
  <c r="K56" i="10"/>
  <c r="K63" i="10"/>
  <c r="K60" i="10"/>
  <c r="K65" i="10"/>
  <c r="K59" i="10"/>
  <c r="O83" i="9"/>
  <c r="L98" i="9"/>
  <c r="L95" i="9"/>
  <c r="M97" i="9"/>
  <c r="M79" i="9"/>
  <c r="N91" i="9"/>
  <c r="W61" i="10"/>
  <c r="O92" i="9"/>
  <c r="O98" i="9"/>
  <c r="O95" i="9"/>
  <c r="O86" i="9"/>
  <c r="P121" i="9"/>
  <c r="P85" i="9"/>
  <c r="P91" i="9"/>
  <c r="P80" i="9"/>
  <c r="I59" i="10"/>
  <c r="Y61" i="10"/>
  <c r="Q94" i="9"/>
  <c r="Q86" i="9"/>
  <c r="V90" i="9"/>
  <c r="V89" i="9"/>
  <c r="V79" i="9"/>
  <c r="V85" i="9"/>
  <c r="V96" i="9"/>
  <c r="V98" i="9"/>
  <c r="O61" i="10"/>
  <c r="K101" i="9"/>
  <c r="K82" i="9"/>
  <c r="K100" i="9"/>
  <c r="K87" i="9"/>
  <c r="P59" i="10"/>
  <c r="Q65" i="10"/>
  <c r="R81" i="9"/>
  <c r="R98" i="9"/>
  <c r="S85" i="9"/>
  <c r="S82" i="9"/>
  <c r="S95" i="9"/>
  <c r="T88" i="9"/>
  <c r="T97" i="9"/>
  <c r="T95" i="9"/>
  <c r="L59" i="10"/>
  <c r="L61" i="10"/>
  <c r="M62" i="10"/>
  <c r="N62" i="10"/>
  <c r="T58" i="10"/>
  <c r="U121" i="9"/>
  <c r="U94" i="9"/>
  <c r="U85" i="9"/>
  <c r="J57" i="10"/>
  <c r="J58" i="10"/>
  <c r="W89" i="9"/>
  <c r="W120" i="9"/>
  <c r="W82" i="9"/>
  <c r="Z98" i="9"/>
  <c r="Z93" i="9"/>
  <c r="Z97" i="9"/>
  <c r="X100" i="9"/>
  <c r="I84" i="9"/>
  <c r="Y93" i="9"/>
  <c r="J98" i="9"/>
  <c r="J90" i="9"/>
  <c r="J82" i="28"/>
  <c r="I82" i="28" s="1"/>
  <c r="J97" i="28"/>
  <c r="I97" i="28" s="1"/>
  <c r="J3" i="28"/>
  <c r="J77" i="28"/>
  <c r="I77" i="28" s="1"/>
  <c r="R93" i="9"/>
  <c r="R82" i="9"/>
  <c r="R80" i="9"/>
  <c r="S81" i="9"/>
  <c r="S121" i="9"/>
  <c r="T84" i="9"/>
  <c r="T82" i="9"/>
  <c r="T79" i="9"/>
  <c r="T98" i="9"/>
  <c r="L65" i="10"/>
  <c r="L64" i="10"/>
  <c r="M57" i="10"/>
  <c r="N63" i="10"/>
  <c r="T64" i="10"/>
  <c r="U93" i="9"/>
  <c r="U96" i="9"/>
  <c r="U79" i="9"/>
  <c r="J61" i="10"/>
  <c r="Z59" i="10"/>
  <c r="W121" i="9"/>
  <c r="W94" i="9"/>
  <c r="W90" i="9"/>
  <c r="W91" i="9"/>
  <c r="Z89" i="9"/>
  <c r="Z120" i="9"/>
  <c r="X101" i="9"/>
  <c r="X89" i="9"/>
  <c r="X120" i="9"/>
  <c r="X79" i="9"/>
  <c r="I80" i="9"/>
  <c r="I121" i="9"/>
  <c r="I94" i="9"/>
  <c r="Y87" i="9"/>
  <c r="Y97" i="9"/>
  <c r="J92" i="9"/>
  <c r="J94" i="9"/>
  <c r="Q95" i="9"/>
  <c r="Q81" i="9"/>
  <c r="Q82" i="9"/>
  <c r="Q85" i="9"/>
  <c r="K81" i="9"/>
  <c r="Q56" i="10"/>
  <c r="R61" i="10"/>
  <c r="R89" i="9"/>
  <c r="S97" i="9"/>
  <c r="T101" i="9"/>
  <c r="M63" i="10"/>
  <c r="M56" i="10"/>
  <c r="N58" i="10"/>
  <c r="N59" i="10"/>
  <c r="T65" i="10"/>
  <c r="T61" i="10"/>
  <c r="U91" i="9"/>
  <c r="U81" i="9"/>
  <c r="J64" i="10"/>
  <c r="Z63" i="10"/>
  <c r="W84" i="9"/>
  <c r="W81" i="9"/>
  <c r="W85" i="9"/>
  <c r="Z92" i="9"/>
  <c r="Z80" i="9"/>
  <c r="X98" i="9"/>
  <c r="X93" i="9"/>
  <c r="X82" i="9"/>
  <c r="I86" i="9"/>
  <c r="I81" i="9"/>
  <c r="I88" i="9"/>
  <c r="J101" i="9"/>
  <c r="J120" i="9"/>
  <c r="J89" i="9"/>
  <c r="J96" i="9"/>
  <c r="J92" i="28"/>
  <c r="I92" i="28" s="1"/>
  <c r="J67" i="28"/>
  <c r="I67" i="28" s="1"/>
  <c r="J22" i="28"/>
  <c r="I22" i="28" s="1"/>
  <c r="Q64" i="10"/>
  <c r="Q62" i="10"/>
  <c r="R59" i="10"/>
  <c r="R56" i="10"/>
  <c r="R87" i="9"/>
  <c r="R83" i="9"/>
  <c r="S93" i="9"/>
  <c r="S80" i="9"/>
  <c r="T100" i="9"/>
  <c r="T121" i="9"/>
  <c r="T93" i="9"/>
  <c r="T85" i="9"/>
  <c r="T80" i="9"/>
  <c r="M58" i="10"/>
  <c r="N61" i="10"/>
  <c r="T63" i="10"/>
  <c r="U97" i="9"/>
  <c r="U89" i="9"/>
  <c r="J59" i="10"/>
  <c r="Z65" i="10"/>
  <c r="W83" i="9"/>
  <c r="W96" i="9"/>
  <c r="W93" i="9"/>
  <c r="Z86" i="9"/>
  <c r="Z87" i="9"/>
  <c r="Z82" i="9"/>
  <c r="X95" i="9"/>
  <c r="I98" i="9"/>
  <c r="I95" i="9"/>
  <c r="Y95" i="9"/>
  <c r="Y92" i="9"/>
  <c r="Y79" i="9"/>
  <c r="J100" i="9"/>
  <c r="J93" i="9"/>
  <c r="J81" i="9"/>
  <c r="J97" i="9"/>
  <c r="J62" i="28"/>
  <c r="I62" i="28" s="1"/>
  <c r="J37" i="28"/>
  <c r="I37" i="28" s="1"/>
  <c r="J87" i="28"/>
  <c r="I87" i="28" s="1"/>
  <c r="Q79" i="9"/>
  <c r="Q84" i="9"/>
  <c r="R65" i="10"/>
  <c r="R95" i="9"/>
  <c r="R92" i="9"/>
  <c r="S94" i="9"/>
  <c r="S96" i="9"/>
  <c r="S89" i="9"/>
  <c r="T81" i="9"/>
  <c r="L56" i="10"/>
  <c r="M59" i="10"/>
  <c r="M61" i="10"/>
  <c r="N64" i="10"/>
  <c r="T60" i="10"/>
  <c r="U88" i="9"/>
  <c r="J60" i="10"/>
  <c r="Z56" i="10"/>
  <c r="Z58" i="10"/>
  <c r="W97" i="9"/>
  <c r="W92" i="9"/>
  <c r="W87" i="9"/>
  <c r="Z83" i="9"/>
  <c r="Z91" i="9"/>
  <c r="X90" i="9"/>
  <c r="I92" i="9"/>
  <c r="I90" i="9"/>
  <c r="I120" i="9"/>
  <c r="Y100" i="9"/>
  <c r="Y90" i="9"/>
  <c r="Y86" i="9"/>
  <c r="Y82" i="9"/>
  <c r="J87" i="9"/>
  <c r="J42" i="28"/>
  <c r="I42" i="28" s="1"/>
  <c r="J12" i="28"/>
  <c r="I12" i="28" s="1"/>
  <c r="J8" i="28"/>
  <c r="J17" i="28"/>
  <c r="I17" i="28" s="1"/>
  <c r="R84" i="9"/>
  <c r="R97" i="9"/>
  <c r="R94" i="9"/>
  <c r="S88" i="9"/>
  <c r="S91" i="9"/>
  <c r="T94" i="9"/>
  <c r="T96" i="9"/>
  <c r="T83" i="9"/>
  <c r="M65" i="10"/>
  <c r="M64" i="10"/>
  <c r="N65" i="10"/>
  <c r="N57" i="10"/>
  <c r="T62" i="10"/>
  <c r="T59" i="10"/>
  <c r="U84" i="9"/>
  <c r="U92" i="9"/>
  <c r="J56" i="10"/>
  <c r="BA8" i="20"/>
  <c r="Z62" i="10"/>
  <c r="Z61" i="10"/>
  <c r="W86" i="9"/>
  <c r="W95" i="9"/>
  <c r="Z100" i="9"/>
  <c r="Z79" i="9"/>
  <c r="Z85" i="9"/>
  <c r="X81" i="9"/>
  <c r="X87" i="9"/>
  <c r="X94" i="9"/>
  <c r="I93" i="9"/>
  <c r="I79" i="9"/>
  <c r="Y101" i="9"/>
  <c r="Y81" i="9"/>
  <c r="Y91" i="9"/>
  <c r="J86" i="9"/>
  <c r="J83" i="9"/>
  <c r="J80" i="9"/>
  <c r="J72" i="28"/>
  <c r="I72" i="28" s="1"/>
  <c r="J7" i="28"/>
  <c r="I7" i="28" s="1"/>
  <c r="S84" i="9"/>
  <c r="S79" i="9"/>
  <c r="T87" i="9"/>
  <c r="T91" i="9"/>
  <c r="L63" i="10"/>
  <c r="N60" i="10"/>
  <c r="U80" i="9"/>
  <c r="U82" i="9"/>
  <c r="J63" i="10"/>
  <c r="W100" i="9"/>
  <c r="W98" i="9"/>
  <c r="F95" i="9"/>
  <c r="Z95" i="9"/>
  <c r="Z94" i="9"/>
  <c r="X121" i="9"/>
  <c r="X80" i="9"/>
  <c r="X97" i="9"/>
  <c r="X83" i="9"/>
  <c r="I100" i="9"/>
  <c r="I87" i="9"/>
  <c r="I82" i="9"/>
  <c r="Y80" i="9"/>
  <c r="Y84" i="9"/>
  <c r="Y96" i="9"/>
  <c r="Y85" i="9"/>
  <c r="J79" i="9"/>
  <c r="J47" i="28"/>
  <c r="I47" i="28" s="1"/>
  <c r="J27" i="28"/>
  <c r="I27" i="28" s="1"/>
  <c r="U87" i="9"/>
  <c r="U101" i="9"/>
  <c r="U90" i="9"/>
  <c r="J62" i="10"/>
  <c r="W80" i="9"/>
  <c r="W88" i="9"/>
  <c r="Z101" i="9"/>
  <c r="Z90" i="9"/>
  <c r="Z84" i="9"/>
  <c r="Z96" i="9"/>
  <c r="I96" i="9"/>
  <c r="I83" i="9"/>
  <c r="Y89" i="9"/>
  <c r="Y98" i="9"/>
  <c r="J84" i="9"/>
  <c r="J95" i="9"/>
  <c r="J52" i="28"/>
  <c r="I52" i="28" s="1"/>
  <c r="J53" i="28"/>
  <c r="I14" i="4"/>
  <c r="AV8" i="20"/>
  <c r="F116" i="3"/>
  <c r="E4" i="20"/>
  <c r="O5" i="9"/>
  <c r="U8" i="6"/>
  <c r="B8" i="2" s="1"/>
  <c r="X8" i="20"/>
  <c r="S5" i="9"/>
  <c r="F91" i="3"/>
  <c r="E11" i="4"/>
  <c r="F98" i="9"/>
  <c r="G18" i="39"/>
  <c r="D40" i="11"/>
  <c r="C40" i="11" s="1"/>
  <c r="M4" i="6"/>
  <c r="T11" i="37"/>
  <c r="G16" i="39"/>
  <c r="F58" i="10"/>
  <c r="F92" i="3"/>
  <c r="Q5" i="9"/>
  <c r="T17" i="20"/>
  <c r="T16" i="20" s="1"/>
  <c r="H8" i="20"/>
  <c r="D76" i="3"/>
  <c r="S4" i="4" s="1"/>
  <c r="Y4" i="4" s="1"/>
  <c r="E4" i="2" s="1"/>
  <c r="T4" i="20"/>
  <c r="H81" i="9"/>
  <c r="X4" i="10"/>
  <c r="Z4" i="10"/>
  <c r="H61" i="10"/>
  <c r="E14" i="10"/>
  <c r="H57" i="10"/>
  <c r="F80" i="9"/>
  <c r="H62" i="10"/>
  <c r="F85" i="9"/>
  <c r="G5" i="9"/>
  <c r="Y8" i="20"/>
  <c r="H65" i="10"/>
  <c r="H60" i="10"/>
  <c r="V8" i="20"/>
  <c r="AS17" i="20"/>
  <c r="AS16" i="20" s="1"/>
  <c r="X5" i="9"/>
  <c r="E53" i="29"/>
  <c r="G17" i="39"/>
  <c r="G15" i="39"/>
  <c r="D28" i="37"/>
  <c r="D40" i="37"/>
  <c r="V4" i="37"/>
  <c r="V18" i="37"/>
  <c r="V25" i="37"/>
  <c r="V7" i="37"/>
  <c r="V21" i="37"/>
  <c r="V17" i="37"/>
  <c r="V27" i="37"/>
  <c r="V23" i="37"/>
  <c r="V26" i="37"/>
  <c r="V8" i="37"/>
  <c r="V13" i="37"/>
  <c r="V16" i="37"/>
  <c r="L10" i="30"/>
  <c r="L11" i="30"/>
  <c r="L9" i="30"/>
  <c r="L4" i="30"/>
  <c r="L3" i="30"/>
  <c r="L5" i="30"/>
  <c r="AJ8" i="20"/>
  <c r="E8" i="10"/>
  <c r="Q11" i="39"/>
  <c r="V11" i="39" s="1"/>
  <c r="T11" i="39"/>
  <c r="S11" i="39"/>
  <c r="O11" i="39"/>
  <c r="U11" i="39" s="1"/>
  <c r="E13" i="10"/>
  <c r="N5" i="30"/>
  <c r="N3" i="30"/>
  <c r="N4" i="30"/>
  <c r="D83" i="3"/>
  <c r="S11" i="4" s="1"/>
  <c r="Y11" i="4" s="1"/>
  <c r="Q21" i="39"/>
  <c r="V21" i="39" s="1"/>
  <c r="O21" i="39"/>
  <c r="U21" i="39" s="1"/>
  <c r="T21" i="39"/>
  <c r="S21" i="39"/>
  <c r="H9" i="4"/>
  <c r="R9" i="6"/>
  <c r="U9" i="6" s="1"/>
  <c r="H59" i="10"/>
  <c r="G94" i="9"/>
  <c r="P5" i="9"/>
  <c r="E23" i="10"/>
  <c r="Q20" i="39"/>
  <c r="V20" i="39" s="1"/>
  <c r="T20" i="39"/>
  <c r="O20" i="39"/>
  <c r="U20" i="39" s="1"/>
  <c r="S20" i="39"/>
  <c r="U5" i="9"/>
  <c r="F108" i="3"/>
  <c r="S6" i="6"/>
  <c r="T6" i="6" s="1"/>
  <c r="F93" i="9"/>
  <c r="G97" i="9"/>
  <c r="G82" i="9"/>
  <c r="I4" i="10"/>
  <c r="L5" i="9"/>
  <c r="E9" i="10"/>
  <c r="F57" i="10"/>
  <c r="T5" i="9"/>
  <c r="Y4" i="10"/>
  <c r="M8" i="20"/>
  <c r="AO8" i="20"/>
  <c r="N4" i="10"/>
  <c r="E15" i="9"/>
  <c r="M7" i="11" s="1"/>
  <c r="M36" i="11" s="1"/>
  <c r="F87" i="9"/>
  <c r="F8" i="20"/>
  <c r="G4" i="10"/>
  <c r="G64" i="10"/>
  <c r="D16" i="37"/>
  <c r="G10" i="26" s="1"/>
  <c r="G96" i="9"/>
  <c r="G91" i="9"/>
  <c r="AH8" i="20"/>
  <c r="E7" i="10"/>
  <c r="F63" i="10"/>
  <c r="AZ8" i="20"/>
  <c r="F107" i="3"/>
  <c r="S5" i="6"/>
  <c r="T5" i="6" s="1"/>
  <c r="AP17" i="20"/>
  <c r="AP16" i="20" s="1"/>
  <c r="N17" i="20"/>
  <c r="N16" i="20" s="1"/>
  <c r="F87" i="3"/>
  <c r="H13" i="4"/>
  <c r="R13" i="6"/>
  <c r="U13" i="6" s="1"/>
  <c r="B13" i="2" s="1"/>
  <c r="E14" i="9"/>
  <c r="L7" i="11" s="1"/>
  <c r="L36" i="11" s="1"/>
  <c r="F83" i="9"/>
  <c r="F82" i="9"/>
  <c r="H12" i="4"/>
  <c r="R12" i="6"/>
  <c r="U12" i="6" s="1"/>
  <c r="B12" i="2" s="1"/>
  <c r="G58" i="10"/>
  <c r="O14" i="39"/>
  <c r="U14" i="39" s="1"/>
  <c r="S14" i="39"/>
  <c r="T14" i="39"/>
  <c r="Q14" i="39"/>
  <c r="V14" i="39" s="1"/>
  <c r="G84" i="9"/>
  <c r="G85" i="9"/>
  <c r="AR8" i="20"/>
  <c r="P8" i="20"/>
  <c r="Q4" i="10"/>
  <c r="W8" i="20"/>
  <c r="U4" i="10"/>
  <c r="E6" i="10"/>
  <c r="N4" i="20"/>
  <c r="AP4" i="20"/>
  <c r="E12" i="9"/>
  <c r="J7" i="11" s="1"/>
  <c r="J36" i="11" s="1"/>
  <c r="V15" i="37"/>
  <c r="F89" i="3"/>
  <c r="G80" i="9"/>
  <c r="AY8" i="20"/>
  <c r="AG8" i="20"/>
  <c r="E8" i="20"/>
  <c r="F4" i="10"/>
  <c r="E5" i="10"/>
  <c r="F64" i="10"/>
  <c r="D79" i="3"/>
  <c r="S7" i="4" s="1"/>
  <c r="Y7" i="4" s="1"/>
  <c r="D77" i="3"/>
  <c r="S5" i="4" s="1"/>
  <c r="Y5" i="4" s="1"/>
  <c r="E5" i="2" s="1"/>
  <c r="H11" i="4"/>
  <c r="R11" i="6"/>
  <c r="U11" i="6" s="1"/>
  <c r="J4" i="10"/>
  <c r="AK8" i="20"/>
  <c r="I8" i="20"/>
  <c r="E11" i="9"/>
  <c r="I7" i="11" s="1"/>
  <c r="I36" i="11" s="1"/>
  <c r="F94" i="9"/>
  <c r="V5" i="9"/>
  <c r="L6" i="30"/>
  <c r="L7" i="30"/>
  <c r="L8" i="30"/>
  <c r="E24" i="10"/>
  <c r="F60" i="10"/>
  <c r="F90" i="3"/>
  <c r="AU8" i="20"/>
  <c r="T4" i="10"/>
  <c r="S8" i="20"/>
  <c r="D84" i="3"/>
  <c r="S12" i="4" s="1"/>
  <c r="Y12" i="4" s="1"/>
  <c r="T4" i="6"/>
  <c r="E10" i="9"/>
  <c r="H7" i="11" s="1"/>
  <c r="H36" i="11" s="1"/>
  <c r="E13" i="9"/>
  <c r="K7" i="11" s="1"/>
  <c r="K36" i="11" s="1"/>
  <c r="F88" i="9"/>
  <c r="Y5" i="9"/>
  <c r="W17" i="20"/>
  <c r="W16" i="20" s="1"/>
  <c r="E22" i="10"/>
  <c r="F61" i="10"/>
  <c r="D85" i="3"/>
  <c r="S13" i="4" s="1"/>
  <c r="Y13" i="4" s="1"/>
  <c r="E9" i="9"/>
  <c r="G7" i="11" s="1"/>
  <c r="G36" i="11" s="1"/>
  <c r="F81" i="9"/>
  <c r="G61" i="10"/>
  <c r="W4" i="10"/>
  <c r="E21" i="10"/>
  <c r="L4" i="10"/>
  <c r="AM8" i="20"/>
  <c r="K8" i="20"/>
  <c r="E16" i="20"/>
  <c r="E8" i="4"/>
  <c r="W8" i="4"/>
  <c r="X8" i="4" s="1"/>
  <c r="M2" i="29"/>
  <c r="E41" i="29"/>
  <c r="E8" i="9"/>
  <c r="F7" i="11" s="1"/>
  <c r="F36" i="11" s="1"/>
  <c r="F96" i="9"/>
  <c r="V9" i="37"/>
  <c r="I5" i="9"/>
  <c r="F113" i="3"/>
  <c r="G60" i="10"/>
  <c r="AI8" i="20"/>
  <c r="K5" i="9"/>
  <c r="AX8" i="20"/>
  <c r="E20" i="10"/>
  <c r="I12" i="11" s="1"/>
  <c r="F59" i="10"/>
  <c r="S8" i="6"/>
  <c r="T8" i="6" s="1"/>
  <c r="F110" i="3"/>
  <c r="AG17" i="20"/>
  <c r="W5" i="9"/>
  <c r="E7" i="9"/>
  <c r="E7" i="11" s="1"/>
  <c r="E36" i="11" s="1"/>
  <c r="F91" i="9"/>
  <c r="V14" i="37"/>
  <c r="AW8" i="20"/>
  <c r="V4" i="10"/>
  <c r="U8" i="20"/>
  <c r="H85" i="9"/>
  <c r="G8" i="20"/>
  <c r="S8" i="39"/>
  <c r="Q8" i="39"/>
  <c r="V8" i="39" s="1"/>
  <c r="O8" i="39"/>
  <c r="U8" i="39" s="1"/>
  <c r="T8" i="39"/>
  <c r="G90" i="9"/>
  <c r="R5" i="9"/>
  <c r="E18" i="10"/>
  <c r="F62" i="10"/>
  <c r="K17" i="20"/>
  <c r="K16" i="20" s="1"/>
  <c r="AM17" i="20"/>
  <c r="AM16" i="20" s="1"/>
  <c r="E6" i="9"/>
  <c r="F5" i="9"/>
  <c r="V19" i="37"/>
  <c r="M5" i="30"/>
  <c r="M3" i="30"/>
  <c r="M4" i="30"/>
  <c r="G14" i="4"/>
  <c r="G65" i="10"/>
  <c r="G81" i="9"/>
  <c r="AP8" i="20"/>
  <c r="N8" i="20"/>
  <c r="O4" i="10"/>
  <c r="R4" i="10"/>
  <c r="AS8" i="20"/>
  <c r="Q8" i="20"/>
  <c r="E17" i="10"/>
  <c r="F65" i="10"/>
  <c r="AL8" i="20"/>
  <c r="K4" i="10"/>
  <c r="J8" i="20"/>
  <c r="K4" i="20"/>
  <c r="AM4" i="20"/>
  <c r="H17" i="20"/>
  <c r="H16" i="20" s="1"/>
  <c r="AJ17" i="20"/>
  <c r="AJ16" i="20" s="1"/>
  <c r="S12" i="6"/>
  <c r="F114" i="3"/>
  <c r="V24" i="37"/>
  <c r="V6" i="37"/>
  <c r="M6" i="30"/>
  <c r="M7" i="30"/>
  <c r="M8" i="30"/>
  <c r="G62" i="10"/>
  <c r="H82" i="9"/>
  <c r="T20" i="37"/>
  <c r="H83" i="9"/>
  <c r="H88" i="9"/>
  <c r="H58" i="10"/>
  <c r="G88" i="9"/>
  <c r="F86" i="3"/>
  <c r="F117" i="3"/>
  <c r="AV17" i="20"/>
  <c r="AV16" i="20" s="1"/>
  <c r="V11" i="37"/>
  <c r="F90" i="9"/>
  <c r="Z5" i="9"/>
  <c r="M11" i="30"/>
  <c r="M9" i="30"/>
  <c r="M10" i="30"/>
  <c r="G98" i="9"/>
  <c r="G59" i="10"/>
  <c r="H87" i="9"/>
  <c r="H63" i="10"/>
  <c r="M5" i="9"/>
  <c r="H4" i="10"/>
  <c r="E16" i="10"/>
  <c r="E13" i="4"/>
  <c r="H84" i="9"/>
  <c r="H64" i="10"/>
  <c r="G86" i="9"/>
  <c r="G93" i="9"/>
  <c r="AT8" i="20"/>
  <c r="R8" i="20"/>
  <c r="S4" i="10"/>
  <c r="E19" i="10"/>
  <c r="AN8" i="20"/>
  <c r="L8" i="20"/>
  <c r="M4" i="10"/>
  <c r="F111" i="3"/>
  <c r="S9" i="6"/>
  <c r="Q4" i="20"/>
  <c r="AS4" i="20"/>
  <c r="D80" i="3"/>
  <c r="S8" i="4" s="1"/>
  <c r="Y8" i="4" s="1"/>
  <c r="D78" i="3"/>
  <c r="S6" i="4" s="1"/>
  <c r="Y6" i="4" s="1"/>
  <c r="E6" i="2" s="1"/>
  <c r="F95" i="3"/>
  <c r="V10" i="37"/>
  <c r="F84" i="9"/>
  <c r="H5" i="9"/>
  <c r="J5" i="9"/>
  <c r="H80" i="9"/>
  <c r="G87" i="9"/>
  <c r="E12" i="10"/>
  <c r="N10" i="30"/>
  <c r="N11" i="30"/>
  <c r="N9" i="30"/>
  <c r="D81" i="3"/>
  <c r="S9" i="4" s="1"/>
  <c r="Y9" i="4" s="1"/>
  <c r="V12" i="37"/>
  <c r="T10" i="6"/>
  <c r="F92" i="9"/>
  <c r="V5" i="37"/>
  <c r="G83" i="9"/>
  <c r="G57" i="10"/>
  <c r="N5" i="9"/>
  <c r="G92" i="9"/>
  <c r="G95" i="9"/>
  <c r="T8" i="20"/>
  <c r="AQ8" i="20"/>
  <c r="P4" i="10"/>
  <c r="O8" i="20"/>
  <c r="E15" i="10"/>
  <c r="N8" i="30"/>
  <c r="N6" i="30"/>
  <c r="N7" i="30"/>
  <c r="D82" i="3"/>
  <c r="S10" i="4" s="1"/>
  <c r="F97" i="9"/>
  <c r="F86" i="9"/>
  <c r="F121" i="3"/>
  <c r="F115" i="3"/>
  <c r="I15" i="4"/>
  <c r="G15" i="4"/>
  <c r="I14" i="6"/>
  <c r="B6" i="2"/>
  <c r="B5" i="2"/>
  <c r="C28" i="11"/>
  <c r="D25" i="14"/>
  <c r="J14" i="11"/>
  <c r="P10" i="6" s="1"/>
  <c r="Q10" i="6" s="1"/>
  <c r="K14" i="11"/>
  <c r="P11" i="6" s="1"/>
  <c r="Q11" i="6" s="1"/>
  <c r="L14" i="11"/>
  <c r="L43" i="11" s="1"/>
  <c r="D32" i="14"/>
  <c r="D102" i="14"/>
  <c r="BK129" i="3"/>
  <c r="D67" i="14"/>
  <c r="BN126" i="3"/>
  <c r="D28" i="14"/>
  <c r="F14" i="6"/>
  <c r="D26" i="14"/>
  <c r="D135" i="14"/>
  <c r="D59" i="14"/>
  <c r="D61" i="14"/>
  <c r="D64" i="14"/>
  <c r="BQ127" i="3"/>
  <c r="BQ126" i="3"/>
  <c r="BK130" i="3"/>
  <c r="D30" i="14"/>
  <c r="BQ128" i="3"/>
  <c r="D101" i="14"/>
  <c r="BN130" i="3"/>
  <c r="AW23" i="20"/>
  <c r="M23" i="20"/>
  <c r="BN127" i="3"/>
  <c r="D33" i="14"/>
  <c r="BQ135" i="3"/>
  <c r="Q23" i="20"/>
  <c r="AK23" i="20"/>
  <c r="T23" i="20"/>
  <c r="I23" i="20"/>
  <c r="BN132" i="3"/>
  <c r="L23" i="20"/>
  <c r="BQ133" i="3"/>
  <c r="D137" i="14"/>
  <c r="D60" i="14"/>
  <c r="AS23" i="20"/>
  <c r="P23" i="20"/>
  <c r="O23" i="20"/>
  <c r="AT23" i="20"/>
  <c r="AO23" i="20"/>
  <c r="AQ23" i="20"/>
  <c r="BN135" i="3"/>
  <c r="D31" i="14"/>
  <c r="V23" i="20"/>
  <c r="N23" i="20"/>
  <c r="AI23" i="20"/>
  <c r="H23" i="20"/>
  <c r="J23" i="20"/>
  <c r="AV23" i="20"/>
  <c r="AU23" i="20"/>
  <c r="U23" i="20"/>
  <c r="AR23" i="20"/>
  <c r="G23" i="20"/>
  <c r="K23" i="20"/>
  <c r="AJ23" i="20"/>
  <c r="S23" i="20"/>
  <c r="AL23" i="20"/>
  <c r="AN23" i="20"/>
  <c r="AM23" i="20"/>
  <c r="I131" i="3"/>
  <c r="E23" i="20" s="1"/>
  <c r="BK135" i="3"/>
  <c r="D66" i="14"/>
  <c r="R23" i="20"/>
  <c r="AX23" i="20"/>
  <c r="D24" i="14"/>
  <c r="AP23" i="20"/>
  <c r="BQ129" i="3"/>
  <c r="BK132" i="3"/>
  <c r="BN131" i="3"/>
  <c r="D99" i="14"/>
  <c r="BQ130" i="3"/>
  <c r="BN129" i="3"/>
  <c r="E127" i="3"/>
  <c r="Q5" i="4" s="1"/>
  <c r="R5" i="4" s="1"/>
  <c r="BN128" i="3"/>
  <c r="D27" i="14"/>
  <c r="D134" i="14"/>
  <c r="BJ79" i="3"/>
  <c r="BK79" i="3" s="1"/>
  <c r="AJ66" i="3"/>
  <c r="AI96" i="3" s="1"/>
  <c r="AJ96" i="3" s="1"/>
  <c r="BM80" i="3"/>
  <c r="BN80" i="3" s="1"/>
  <c r="BB69" i="3"/>
  <c r="BA99" i="3" s="1"/>
  <c r="AR80" i="3"/>
  <c r="AS80" i="3" s="1"/>
  <c r="AA72" i="3"/>
  <c r="Z102" i="3" s="1"/>
  <c r="AA102" i="3" s="1"/>
  <c r="T84" i="3"/>
  <c r="U84" i="3" s="1"/>
  <c r="N81" i="3"/>
  <c r="O81" i="3" s="1"/>
  <c r="BG83" i="3"/>
  <c r="BH83" i="3" s="1"/>
  <c r="O70" i="3"/>
  <c r="N100" i="3" s="1"/>
  <c r="O100" i="3" s="1"/>
  <c r="BG85" i="3"/>
  <c r="BH85" i="3" s="1"/>
  <c r="BP84" i="3"/>
  <c r="BQ84" i="3" s="1"/>
  <c r="Q76" i="3"/>
  <c r="R76" i="3" s="1"/>
  <c r="BP83" i="3"/>
  <c r="BQ83" i="3" s="1"/>
  <c r="BE69" i="3"/>
  <c r="BD99" i="3" s="1"/>
  <c r="BE99" i="3" s="1"/>
  <c r="BM82" i="3"/>
  <c r="BN82" i="3" s="1"/>
  <c r="BG84" i="3"/>
  <c r="BH84" i="3" s="1"/>
  <c r="AC80" i="3"/>
  <c r="AD80" i="3" s="1"/>
  <c r="AA71" i="3"/>
  <c r="Z101" i="3" s="1"/>
  <c r="AA101" i="3" s="1"/>
  <c r="AL81" i="3"/>
  <c r="AM81" i="3" s="1"/>
  <c r="AU81" i="3"/>
  <c r="AV81" i="3" s="1"/>
  <c r="AO79" i="3"/>
  <c r="AP79" i="3" s="1"/>
  <c r="AV67" i="3"/>
  <c r="AU97" i="3" s="1"/>
  <c r="AV97" i="3" s="1"/>
  <c r="W85" i="3"/>
  <c r="X85" i="3" s="1"/>
  <c r="AV73" i="3"/>
  <c r="AU103" i="3" s="1"/>
  <c r="AV103" i="3" s="1"/>
  <c r="U68" i="3"/>
  <c r="T98" i="3" s="1"/>
  <c r="U98" i="3" s="1"/>
  <c r="AY69" i="3"/>
  <c r="AX99" i="3" s="1"/>
  <c r="AY99" i="3" s="1"/>
  <c r="Q77" i="3"/>
  <c r="R77" i="3" s="1"/>
  <c r="T77" i="3"/>
  <c r="U77" i="3" s="1"/>
  <c r="H78" i="3"/>
  <c r="I78" i="3" s="1"/>
  <c r="AX81" i="3"/>
  <c r="AY81" i="3" s="1"/>
  <c r="AL78" i="3"/>
  <c r="AM78" i="3" s="1"/>
  <c r="AG66" i="3"/>
  <c r="AF96" i="3" s="1"/>
  <c r="AG96" i="3" s="1"/>
  <c r="BP85" i="3"/>
  <c r="BQ85" i="3" s="1"/>
  <c r="BA82" i="3"/>
  <c r="BB82" i="3" s="1"/>
  <c r="Q80" i="3"/>
  <c r="R80" i="3" s="1"/>
  <c r="BK72" i="3"/>
  <c r="BJ102" i="3" s="1"/>
  <c r="BK102" i="3" s="1"/>
  <c r="AM67" i="3"/>
  <c r="AL97" i="3" s="1"/>
  <c r="AM97" i="3" s="1"/>
  <c r="AD67" i="3"/>
  <c r="AC97" i="3" s="1"/>
  <c r="AD97" i="3" s="1"/>
  <c r="U66" i="3"/>
  <c r="T96" i="3" s="1"/>
  <c r="U96" i="3" s="1"/>
  <c r="BJ80" i="3"/>
  <c r="BK80" i="3" s="1"/>
  <c r="AL82" i="3"/>
  <c r="AM82" i="3" s="1"/>
  <c r="BM79" i="3"/>
  <c r="BN79" i="3" s="1"/>
  <c r="H82" i="3"/>
  <c r="I82" i="3" s="1"/>
  <c r="AU84" i="3"/>
  <c r="AV84" i="3" s="1"/>
  <c r="BE72" i="3"/>
  <c r="BD102" i="3" s="1"/>
  <c r="BE102" i="3" s="1"/>
  <c r="AI77" i="3"/>
  <c r="AJ77" i="3" s="1"/>
  <c r="N77" i="3"/>
  <c r="O77" i="3" s="1"/>
  <c r="AI81" i="3"/>
  <c r="AJ81" i="3" s="1"/>
  <c r="BK66" i="3"/>
  <c r="BJ96" i="3" s="1"/>
  <c r="BK96" i="3" s="1"/>
  <c r="BD80" i="3"/>
  <c r="BE80" i="3" s="1"/>
  <c r="AS68" i="3"/>
  <c r="AR98" i="3" s="1"/>
  <c r="AS98" i="3" s="1"/>
  <c r="AX85" i="3"/>
  <c r="AY85" i="3" s="1"/>
  <c r="Q81" i="3"/>
  <c r="R81" i="3" s="1"/>
  <c r="AC82" i="3"/>
  <c r="AD82" i="3" s="1"/>
  <c r="AX83" i="3"/>
  <c r="AY83" i="3" s="1"/>
  <c r="AV72" i="3"/>
  <c r="AU102" i="3" s="1"/>
  <c r="AV102" i="3" s="1"/>
  <c r="Z79" i="3"/>
  <c r="AA79" i="3" s="1"/>
  <c r="AI78" i="3"/>
  <c r="AJ78" i="3" s="1"/>
  <c r="BD84" i="3"/>
  <c r="BE84" i="3" s="1"/>
  <c r="H80" i="3"/>
  <c r="I80" i="3" s="1"/>
  <c r="BH70" i="3"/>
  <c r="BG100" i="3" s="1"/>
  <c r="BH100" i="3" s="1"/>
  <c r="AO78" i="3"/>
  <c r="AP78" i="3" s="1"/>
  <c r="Z77" i="3"/>
  <c r="AA77" i="3" s="1"/>
  <c r="AI82" i="3"/>
  <c r="AJ82" i="3" s="1"/>
  <c r="AI83" i="3"/>
  <c r="AJ83" i="3" s="1"/>
  <c r="BM84" i="3"/>
  <c r="BN84" i="3" s="1"/>
  <c r="AX76" i="3"/>
  <c r="AY76" i="3" s="1"/>
  <c r="AR82" i="3"/>
  <c r="AS82" i="3" s="1"/>
  <c r="U72" i="3"/>
  <c r="T102" i="3" s="1"/>
  <c r="U102" i="3" s="1"/>
  <c r="AU78" i="3"/>
  <c r="AV78" i="3" s="1"/>
  <c r="N76" i="3"/>
  <c r="O76" i="3" s="1"/>
  <c r="AC78" i="3"/>
  <c r="AD78" i="3" s="1"/>
  <c r="H83" i="3"/>
  <c r="I83" i="3" s="1"/>
  <c r="BJ81" i="3"/>
  <c r="BK81" i="3" s="1"/>
  <c r="AF84" i="3"/>
  <c r="AG84" i="3" s="1"/>
  <c r="AI80" i="3"/>
  <c r="AJ80" i="3" s="1"/>
  <c r="BP80" i="3"/>
  <c r="BQ80" i="3" s="1"/>
  <c r="BM81" i="3"/>
  <c r="BN81" i="3" s="1"/>
  <c r="E67" i="3"/>
  <c r="X74" i="3"/>
  <c r="W104" i="3" s="1"/>
  <c r="X104" i="3" s="1"/>
  <c r="Z85" i="3"/>
  <c r="AA85" i="3" s="1"/>
  <c r="AL85" i="3"/>
  <c r="AM85" i="3" s="1"/>
  <c r="BJ78" i="3"/>
  <c r="BK78" i="3" s="1"/>
  <c r="AU85" i="3"/>
  <c r="AV85" i="3" s="1"/>
  <c r="AF83" i="3"/>
  <c r="AG83" i="3" s="1"/>
  <c r="BH72" i="3"/>
  <c r="BG102" i="3" s="1"/>
  <c r="BH102" i="3" s="1"/>
  <c r="X70" i="3"/>
  <c r="W100" i="3" s="1"/>
  <c r="X100" i="3" s="1"/>
  <c r="Z76" i="3"/>
  <c r="AA76" i="3" s="1"/>
  <c r="W82" i="3"/>
  <c r="X82" i="3" s="1"/>
  <c r="AF81" i="3"/>
  <c r="AG81" i="3" s="1"/>
  <c r="AX80" i="3"/>
  <c r="AY80" i="3" s="1"/>
  <c r="D4" i="37"/>
  <c r="M14" i="11"/>
  <c r="M43" i="11" s="1"/>
  <c r="W79" i="3"/>
  <c r="X79" i="3" s="1"/>
  <c r="AF82" i="3"/>
  <c r="AG82" i="3" s="1"/>
  <c r="AR85" i="3"/>
  <c r="AS85" i="3" s="1"/>
  <c r="BK74" i="3"/>
  <c r="BJ104" i="3" s="1"/>
  <c r="BK104" i="3" s="1"/>
  <c r="T79" i="3"/>
  <c r="U79" i="3" s="1"/>
  <c r="W78" i="3"/>
  <c r="X78" i="3" s="1"/>
  <c r="AJ75" i="3"/>
  <c r="AI105" i="3" s="1"/>
  <c r="AJ105" i="3" s="1"/>
  <c r="BP76" i="3"/>
  <c r="BQ76" i="3" s="1"/>
  <c r="AI79" i="3"/>
  <c r="AJ79" i="3" s="1"/>
  <c r="AP75" i="3"/>
  <c r="AO105" i="3" s="1"/>
  <c r="AP105" i="3" s="1"/>
  <c r="BE75" i="3"/>
  <c r="BD105" i="3" s="1"/>
  <c r="BE105" i="3" s="1"/>
  <c r="AO84" i="3"/>
  <c r="AP84" i="3" s="1"/>
  <c r="Z83" i="3"/>
  <c r="AA83" i="3" s="1"/>
  <c r="N79" i="3"/>
  <c r="O79" i="3" s="1"/>
  <c r="AY72" i="3"/>
  <c r="AX102" i="3" s="1"/>
  <c r="AY102" i="3" s="1"/>
  <c r="AO82" i="3"/>
  <c r="AP82" i="3" s="1"/>
  <c r="BG79" i="3"/>
  <c r="BH79" i="3" s="1"/>
  <c r="AU80" i="3"/>
  <c r="AV80" i="3" s="1"/>
  <c r="Q82" i="3"/>
  <c r="R82" i="3" s="1"/>
  <c r="BK67" i="3"/>
  <c r="BJ97" i="3" s="1"/>
  <c r="BK97" i="3" s="1"/>
  <c r="Q85" i="3"/>
  <c r="R85" i="3" s="1"/>
  <c r="O73" i="3"/>
  <c r="N103" i="3" s="1"/>
  <c r="O103" i="3" s="1"/>
  <c r="Z84" i="3"/>
  <c r="AA84" i="3" s="1"/>
  <c r="T81" i="3"/>
  <c r="U81" i="3" s="1"/>
  <c r="BH67" i="3"/>
  <c r="BG97" i="3" s="1"/>
  <c r="BH97" i="3" s="1"/>
  <c r="BM77" i="3"/>
  <c r="BN77" i="3" s="1"/>
  <c r="E72" i="3"/>
  <c r="BG76" i="3"/>
  <c r="BH76" i="3" s="1"/>
  <c r="E69" i="3"/>
  <c r="Z80" i="3"/>
  <c r="AA80" i="3" s="1"/>
  <c r="AF85" i="3"/>
  <c r="AG85" i="3" s="1"/>
  <c r="BD83" i="3"/>
  <c r="BE83" i="3" s="1"/>
  <c r="AO77" i="3"/>
  <c r="AP77" i="3" s="1"/>
  <c r="W83" i="3"/>
  <c r="X83" i="3" s="1"/>
  <c r="AR76" i="3"/>
  <c r="AS76" i="3" s="1"/>
  <c r="I1" i="37"/>
  <c r="BB70" i="3"/>
  <c r="BA100" i="3" s="1"/>
  <c r="BB100" i="3" s="1"/>
  <c r="BD76" i="3"/>
  <c r="BE76" i="3" s="1"/>
  <c r="W81" i="3"/>
  <c r="X81" i="3" s="1"/>
  <c r="BN68" i="3"/>
  <c r="BM98" i="3" s="1"/>
  <c r="BN98" i="3" s="1"/>
  <c r="BP81" i="3"/>
  <c r="BQ81" i="3" s="1"/>
  <c r="AS71" i="3"/>
  <c r="AR101" i="3" s="1"/>
  <c r="AS101" i="3" s="1"/>
  <c r="AY74" i="3"/>
  <c r="AX104" i="3" s="1"/>
  <c r="AY104" i="3" s="1"/>
  <c r="BA78" i="3"/>
  <c r="BB78" i="3" s="1"/>
  <c r="BM85" i="3"/>
  <c r="BN85" i="3" s="1"/>
  <c r="AD66" i="3"/>
  <c r="AC96" i="3" s="1"/>
  <c r="AD96" i="3" s="1"/>
  <c r="BJ85" i="3"/>
  <c r="BK85" i="3" s="1"/>
  <c r="N85" i="3"/>
  <c r="O85" i="3" s="1"/>
  <c r="BM83" i="3"/>
  <c r="BN83" i="3" s="1"/>
  <c r="BA77" i="3"/>
  <c r="BB77" i="3" s="1"/>
  <c r="AD71" i="3"/>
  <c r="AC101" i="3" s="1"/>
  <c r="AD101" i="3" s="1"/>
  <c r="AC81" i="3"/>
  <c r="AD81" i="3" s="1"/>
  <c r="I71" i="3"/>
  <c r="H101" i="3" s="1"/>
  <c r="I101" i="3" s="1"/>
  <c r="H81" i="3"/>
  <c r="I81" i="3" s="1"/>
  <c r="AM69" i="3"/>
  <c r="AL99" i="3" s="1"/>
  <c r="AM99" i="3" s="1"/>
  <c r="AL79" i="3"/>
  <c r="AM79" i="3" s="1"/>
  <c r="BE68" i="3"/>
  <c r="BD98" i="3" s="1"/>
  <c r="BE98" i="3" s="1"/>
  <c r="BD78" i="3"/>
  <c r="BE78" i="3" s="1"/>
  <c r="BB75" i="3"/>
  <c r="BA105" i="3" s="1"/>
  <c r="BB105" i="3" s="1"/>
  <c r="T85" i="3"/>
  <c r="U85" i="3" s="1"/>
  <c r="BJ83" i="3"/>
  <c r="BK83" i="3" s="1"/>
  <c r="BP79" i="3"/>
  <c r="BQ79" i="3" s="1"/>
  <c r="BG78" i="3"/>
  <c r="BH78" i="3" s="1"/>
  <c r="AO83" i="3"/>
  <c r="AP83" i="3" s="1"/>
  <c r="BB73" i="3"/>
  <c r="BA103" i="3" s="1"/>
  <c r="BB103" i="3" s="1"/>
  <c r="AL80" i="3"/>
  <c r="AM80" i="3" s="1"/>
  <c r="AX78" i="3"/>
  <c r="AY78" i="3" s="1"/>
  <c r="BP78" i="3"/>
  <c r="BQ78" i="3" s="1"/>
  <c r="BE71" i="3"/>
  <c r="BD101" i="3" s="1"/>
  <c r="BE101" i="3" s="1"/>
  <c r="BD81" i="3"/>
  <c r="BE81" i="3" s="1"/>
  <c r="BQ72" i="3"/>
  <c r="BP102" i="3" s="1"/>
  <c r="BQ102" i="3" s="1"/>
  <c r="BA20" i="20" s="1"/>
  <c r="BP82" i="3"/>
  <c r="BQ82" i="3" s="1"/>
  <c r="O74" i="3"/>
  <c r="N104" i="3" s="1"/>
  <c r="O104" i="3" s="1"/>
  <c r="N84" i="3"/>
  <c r="O84" i="3" s="1"/>
  <c r="R68" i="3"/>
  <c r="Q98" i="3" s="1"/>
  <c r="R98" i="3" s="1"/>
  <c r="Q78" i="3"/>
  <c r="R78" i="3" s="1"/>
  <c r="O72" i="3"/>
  <c r="N102" i="3" s="1"/>
  <c r="O102" i="3" s="1"/>
  <c r="AO80" i="3"/>
  <c r="AP80" i="3" s="1"/>
  <c r="I67" i="3"/>
  <c r="H97" i="3" s="1"/>
  <c r="I97" i="3" s="1"/>
  <c r="H77" i="3"/>
  <c r="I77" i="3" s="1"/>
  <c r="AL76" i="3"/>
  <c r="AM76" i="3" s="1"/>
  <c r="AM66" i="3"/>
  <c r="AL96" i="3" s="1"/>
  <c r="AM96" i="3" s="1"/>
  <c r="U70" i="3"/>
  <c r="T100" i="3" s="1"/>
  <c r="U100" i="3" s="1"/>
  <c r="T80" i="3"/>
  <c r="U80" i="3" s="1"/>
  <c r="BE67" i="3"/>
  <c r="BD97" i="3" s="1"/>
  <c r="BE97" i="3" s="1"/>
  <c r="BD77" i="3"/>
  <c r="BE77" i="3" s="1"/>
  <c r="R74" i="3"/>
  <c r="Q104" i="3" s="1"/>
  <c r="R104" i="3" s="1"/>
  <c r="AS69" i="3"/>
  <c r="AR99" i="3" s="1"/>
  <c r="AS99" i="3" s="1"/>
  <c r="Q79" i="3"/>
  <c r="R79" i="3" s="1"/>
  <c r="AI84" i="3"/>
  <c r="AJ84" i="3" s="1"/>
  <c r="BP77" i="3"/>
  <c r="BQ77" i="3" s="1"/>
  <c r="H79" i="3"/>
  <c r="I79" i="3" s="1"/>
  <c r="AF79" i="3"/>
  <c r="AG79" i="3" s="1"/>
  <c r="BB71" i="3"/>
  <c r="BA101" i="3" s="1"/>
  <c r="BB101" i="3" s="1"/>
  <c r="AR77" i="3"/>
  <c r="AS77" i="3" s="1"/>
  <c r="W76" i="3"/>
  <c r="X76" i="3" s="1"/>
  <c r="AU76" i="3"/>
  <c r="AV76" i="3" s="1"/>
  <c r="AV69" i="3"/>
  <c r="AU99" i="3" s="1"/>
  <c r="AV99" i="3" s="1"/>
  <c r="O68" i="3"/>
  <c r="N98" i="3" s="1"/>
  <c r="O98" i="3" s="1"/>
  <c r="N78" i="3"/>
  <c r="O78" i="3" s="1"/>
  <c r="AO81" i="3"/>
  <c r="AP81" i="3" s="1"/>
  <c r="AP71" i="3"/>
  <c r="AO101" i="3" s="1"/>
  <c r="AP101" i="3" s="1"/>
  <c r="Z78" i="3"/>
  <c r="AA78" i="3" s="1"/>
  <c r="AA68" i="3"/>
  <c r="Z98" i="3" s="1"/>
  <c r="AA98" i="3" s="1"/>
  <c r="U73" i="3"/>
  <c r="T103" i="3" s="1"/>
  <c r="U103" i="3" s="1"/>
  <c r="T83" i="3"/>
  <c r="U83" i="3" s="1"/>
  <c r="AY67" i="3"/>
  <c r="AX97" i="3" s="1"/>
  <c r="AY97" i="3" s="1"/>
  <c r="AX77" i="3"/>
  <c r="AY77" i="3" s="1"/>
  <c r="I75" i="3"/>
  <c r="H105" i="3" s="1"/>
  <c r="I105" i="3" s="1"/>
  <c r="H85" i="3"/>
  <c r="I85" i="3" s="1"/>
  <c r="X67" i="3"/>
  <c r="W97" i="3" s="1"/>
  <c r="X97" i="3" s="1"/>
  <c r="BA84" i="3"/>
  <c r="BB84" i="3" s="1"/>
  <c r="H76" i="3"/>
  <c r="I76" i="3" s="1"/>
  <c r="AG68" i="3"/>
  <c r="AF98" i="3" s="1"/>
  <c r="AG98" i="3" s="1"/>
  <c r="AR84" i="3"/>
  <c r="AS84" i="3" s="1"/>
  <c r="Q83" i="3"/>
  <c r="R83" i="3" s="1"/>
  <c r="AG70" i="3"/>
  <c r="AF100" i="3" s="1"/>
  <c r="AG100" i="3" s="1"/>
  <c r="AF80" i="3"/>
  <c r="AG80" i="3" s="1"/>
  <c r="AD75" i="3"/>
  <c r="AC105" i="3" s="1"/>
  <c r="AD105" i="3" s="1"/>
  <c r="AC85" i="3"/>
  <c r="AD85" i="3" s="1"/>
  <c r="AO76" i="3"/>
  <c r="AP76" i="3" s="1"/>
  <c r="H84" i="3"/>
  <c r="I84" i="3" s="1"/>
  <c r="I74" i="3"/>
  <c r="H104" i="3" s="1"/>
  <c r="I104" i="3" s="1"/>
  <c r="BH71" i="3"/>
  <c r="BG101" i="3" s="1"/>
  <c r="BH101" i="3" s="1"/>
  <c r="BG81" i="3"/>
  <c r="BH81" i="3" s="1"/>
  <c r="AL83" i="3"/>
  <c r="AM83" i="3" s="1"/>
  <c r="AM73" i="3"/>
  <c r="AL103" i="3" s="1"/>
  <c r="AM103" i="3" s="1"/>
  <c r="BB66" i="3"/>
  <c r="BA96" i="3" s="1"/>
  <c r="BB96" i="3" s="1"/>
  <c r="BA76" i="3"/>
  <c r="BB76" i="3" s="1"/>
  <c r="AG67" i="3"/>
  <c r="AF97" i="3" s="1"/>
  <c r="AG97" i="3" s="1"/>
  <c r="AF77" i="3"/>
  <c r="AG77" i="3" s="1"/>
  <c r="AS73" i="3"/>
  <c r="AR103" i="3" s="1"/>
  <c r="AS103" i="3" s="1"/>
  <c r="AR83" i="3"/>
  <c r="AS83" i="3" s="1"/>
  <c r="AD69" i="3"/>
  <c r="AC99" i="3" s="1"/>
  <c r="AD99" i="3" s="1"/>
  <c r="AC79" i="3"/>
  <c r="AD79" i="3" s="1"/>
  <c r="AC83" i="3"/>
  <c r="AD83" i="3" s="1"/>
  <c r="AD74" i="3"/>
  <c r="AC104" i="3" s="1"/>
  <c r="AD104" i="3" s="1"/>
  <c r="AC84" i="3"/>
  <c r="AD84" i="3" s="1"/>
  <c r="BN66" i="3"/>
  <c r="BM96" i="3" s="1"/>
  <c r="BN96" i="3" s="1"/>
  <c r="BM76" i="3"/>
  <c r="BN76" i="3" s="1"/>
  <c r="AL84" i="3"/>
  <c r="AM84" i="3" s="1"/>
  <c r="AM74" i="3"/>
  <c r="AL104" i="3" s="1"/>
  <c r="AM104" i="3" s="1"/>
  <c r="K84" i="3"/>
  <c r="E74" i="3"/>
  <c r="K78" i="3"/>
  <c r="L78" i="3" s="1"/>
  <c r="E68" i="3"/>
  <c r="L85" i="3"/>
  <c r="L131" i="3"/>
  <c r="E131" i="3"/>
  <c r="Q9" i="4" s="1"/>
  <c r="R9" i="4" s="1"/>
  <c r="L133" i="3"/>
  <c r="E133" i="3"/>
  <c r="Q11" i="4" s="1"/>
  <c r="R11" i="4" s="1"/>
  <c r="L135" i="3"/>
  <c r="E135" i="3"/>
  <c r="Q13" i="4" s="1"/>
  <c r="R13" i="4" s="1"/>
  <c r="L130" i="3"/>
  <c r="E130" i="3"/>
  <c r="Q8" i="4" s="1"/>
  <c r="L134" i="3"/>
  <c r="F134" i="3" s="1"/>
  <c r="E134" i="3"/>
  <c r="Q12" i="4" s="1"/>
  <c r="R12" i="4" s="1"/>
  <c r="E128" i="3"/>
  <c r="Q6" i="4" s="1"/>
  <c r="R6" i="4" s="1"/>
  <c r="L128" i="3"/>
  <c r="L132" i="3"/>
  <c r="E132" i="3"/>
  <c r="Q10" i="4" s="1"/>
  <c r="R10" i="4" s="1"/>
  <c r="E129" i="3"/>
  <c r="Q7" i="4" s="1"/>
  <c r="R7" i="4" s="1"/>
  <c r="L129" i="3"/>
  <c r="L126" i="3"/>
  <c r="E126" i="3"/>
  <c r="Q4" i="4" s="1"/>
  <c r="L98" i="3"/>
  <c r="L73" i="3"/>
  <c r="E73" i="3"/>
  <c r="L75" i="3"/>
  <c r="E75" i="3"/>
  <c r="L69" i="3"/>
  <c r="K99" i="3" s="1"/>
  <c r="L99" i="3" s="1"/>
  <c r="K79" i="3"/>
  <c r="L79" i="3" s="1"/>
  <c r="L70" i="3"/>
  <c r="E70" i="3"/>
  <c r="K83" i="3"/>
  <c r="L71" i="3"/>
  <c r="E71" i="3"/>
  <c r="L72" i="3"/>
  <c r="K82" i="3"/>
  <c r="L82" i="3" s="1"/>
  <c r="L66" i="3"/>
  <c r="K76" i="3"/>
  <c r="E66" i="3"/>
  <c r="K97" i="3"/>
  <c r="L77" i="3"/>
  <c r="O388" i="30" l="1"/>
  <c r="P388" i="30" s="1"/>
  <c r="O213" i="30"/>
  <c r="P213" i="30" s="1"/>
  <c r="O227" i="30"/>
  <c r="P227" i="30" s="1"/>
  <c r="O373" i="30"/>
  <c r="P373" i="30" s="1"/>
  <c r="O127" i="30"/>
  <c r="P127" i="30" s="1"/>
  <c r="O423" i="30"/>
  <c r="P423" i="30" s="1"/>
  <c r="O399" i="30"/>
  <c r="P399" i="30" s="1"/>
  <c r="O600" i="30"/>
  <c r="P600" i="30" s="1"/>
  <c r="O372" i="30"/>
  <c r="P372" i="30" s="1"/>
  <c r="O93" i="30"/>
  <c r="P93" i="30" s="1"/>
  <c r="O237" i="30"/>
  <c r="P237" i="30" s="1"/>
  <c r="O216" i="30"/>
  <c r="P216" i="30" s="1"/>
  <c r="O402" i="30"/>
  <c r="P402" i="30" s="1"/>
  <c r="O260" i="30"/>
  <c r="P260" i="30" s="1"/>
  <c r="O596" i="30"/>
  <c r="P596" i="30" s="1"/>
  <c r="O236" i="30"/>
  <c r="P236" i="30" s="1"/>
  <c r="O20" i="30"/>
  <c r="P20" i="30" s="1"/>
  <c r="O259" i="30"/>
  <c r="P259" i="30" s="1"/>
  <c r="O595" i="30"/>
  <c r="P595" i="30" s="1"/>
  <c r="O591" i="30"/>
  <c r="P591" i="30" s="1"/>
  <c r="O400" i="30"/>
  <c r="P400" i="30" s="1"/>
  <c r="O223" i="30"/>
  <c r="P223" i="30" s="1"/>
  <c r="O229" i="30"/>
  <c r="P229" i="30" s="1"/>
  <c r="O258" i="30"/>
  <c r="P258" i="30" s="1"/>
  <c r="O79" i="30"/>
  <c r="P79" i="30" s="1"/>
  <c r="O421" i="30"/>
  <c r="P421" i="30" s="1"/>
  <c r="O397" i="30"/>
  <c r="P397" i="30" s="1"/>
  <c r="O228" i="30"/>
  <c r="P228" i="30" s="1"/>
  <c r="O413" i="30"/>
  <c r="P413" i="30" s="1"/>
  <c r="O408" i="30"/>
  <c r="P408" i="30" s="1"/>
  <c r="O28" i="30"/>
  <c r="P28" i="30" s="1"/>
  <c r="O215" i="30"/>
  <c r="P215" i="30" s="1"/>
  <c r="O128" i="30"/>
  <c r="P128" i="30" s="1"/>
  <c r="O24" i="30"/>
  <c r="P24" i="30" s="1"/>
  <c r="O221" i="30"/>
  <c r="P221" i="30" s="1"/>
  <c r="O265" i="30"/>
  <c r="P265" i="30" s="1"/>
  <c r="O97" i="30"/>
  <c r="P97" i="30" s="1"/>
  <c r="O208" i="30"/>
  <c r="P208" i="30" s="1"/>
  <c r="O21" i="30"/>
  <c r="P21" i="30" s="1"/>
  <c r="O212" i="30"/>
  <c r="P212" i="30" s="1"/>
  <c r="O430" i="30"/>
  <c r="P430" i="30" s="1"/>
  <c r="O396" i="30"/>
  <c r="P396" i="30" s="1"/>
  <c r="O599" i="30"/>
  <c r="P599" i="30" s="1"/>
  <c r="O111" i="30"/>
  <c r="P111" i="30" s="1"/>
  <c r="O130" i="30"/>
  <c r="P130" i="30" s="1"/>
  <c r="O419" i="30"/>
  <c r="P419" i="30" s="1"/>
  <c r="O92" i="30"/>
  <c r="P92" i="30" s="1"/>
  <c r="O22" i="30"/>
  <c r="P22" i="30" s="1"/>
  <c r="O272" i="30"/>
  <c r="P272" i="30" s="1"/>
  <c r="O226" i="30"/>
  <c r="P226" i="30" s="1"/>
  <c r="O18" i="30"/>
  <c r="P18" i="30" s="1"/>
  <c r="O218" i="30"/>
  <c r="P218" i="30" s="1"/>
  <c r="O209" i="30"/>
  <c r="P209" i="30" s="1"/>
  <c r="O96" i="30"/>
  <c r="P96" i="30" s="1"/>
  <c r="O390" i="30"/>
  <c r="P390" i="30" s="1"/>
  <c r="O387" i="30"/>
  <c r="P387" i="30" s="1"/>
  <c r="O230" i="30"/>
  <c r="P230" i="30" s="1"/>
  <c r="O279" i="30"/>
  <c r="P279" i="30" s="1"/>
  <c r="O610" i="30"/>
  <c r="P610" i="30" s="1"/>
  <c r="O598" i="30"/>
  <c r="P598" i="30" s="1"/>
  <c r="O428" i="30"/>
  <c r="P428" i="30" s="1"/>
  <c r="O403" i="30"/>
  <c r="P403" i="30" s="1"/>
  <c r="O607" i="30"/>
  <c r="P607" i="30" s="1"/>
  <c r="O411" i="30"/>
  <c r="P411" i="30" s="1"/>
  <c r="O276" i="30"/>
  <c r="P276" i="30" s="1"/>
  <c r="O25" i="30"/>
  <c r="P25" i="30" s="1"/>
  <c r="O404" i="30"/>
  <c r="P404" i="30" s="1"/>
  <c r="O88" i="30"/>
  <c r="P88" i="30" s="1"/>
  <c r="O30" i="30"/>
  <c r="P30" i="30" s="1"/>
  <c r="O103" i="30"/>
  <c r="P103" i="30" s="1"/>
  <c r="O109" i="30"/>
  <c r="P109" i="30" s="1"/>
  <c r="O255" i="30"/>
  <c r="P255" i="30" s="1"/>
  <c r="O379" i="30"/>
  <c r="P379" i="30" s="1"/>
  <c r="O222" i="30"/>
  <c r="P222" i="30" s="1"/>
  <c r="O261" i="30"/>
  <c r="P261" i="30" s="1"/>
  <c r="O104" i="30"/>
  <c r="P104" i="30" s="1"/>
  <c r="O389" i="30"/>
  <c r="P389" i="30" s="1"/>
  <c r="O240" i="30"/>
  <c r="P240" i="30" s="1"/>
  <c r="O377" i="30"/>
  <c r="P377" i="30" s="1"/>
  <c r="O244" i="30"/>
  <c r="P244" i="30" s="1"/>
  <c r="O126" i="30"/>
  <c r="P126" i="30" s="1"/>
  <c r="O60" i="30"/>
  <c r="P60" i="30" s="1"/>
  <c r="O29" i="30"/>
  <c r="P29" i="30" s="1"/>
  <c r="O231" i="30"/>
  <c r="P231" i="30" s="1"/>
  <c r="O594" i="30"/>
  <c r="P594" i="30" s="1"/>
  <c r="O281" i="30"/>
  <c r="P281" i="30" s="1"/>
  <c r="O27" i="30"/>
  <c r="P27" i="30" s="1"/>
  <c r="O429" i="30"/>
  <c r="P429" i="30" s="1"/>
  <c r="O398" i="30"/>
  <c r="P398" i="30" s="1"/>
  <c r="O38" i="30"/>
  <c r="P38" i="30" s="1"/>
  <c r="O210" i="30"/>
  <c r="P210" i="30" s="1"/>
  <c r="O224" i="30"/>
  <c r="P224" i="30" s="1"/>
  <c r="O277" i="30"/>
  <c r="P277" i="30" s="1"/>
  <c r="E64" i="9"/>
  <c r="E61" i="9"/>
  <c r="O242" i="30"/>
  <c r="P242" i="30" s="1"/>
  <c r="O241" i="30"/>
  <c r="P241" i="30" s="1"/>
  <c r="O593" i="30"/>
  <c r="P593" i="30" s="1"/>
  <c r="O87" i="30"/>
  <c r="P87" i="30" s="1"/>
  <c r="O26" i="30"/>
  <c r="P26" i="30" s="1"/>
  <c r="O107" i="30"/>
  <c r="P107" i="30" s="1"/>
  <c r="O246" i="30"/>
  <c r="P246" i="30" s="1"/>
  <c r="O245" i="30"/>
  <c r="P245" i="30" s="1"/>
  <c r="O588" i="30"/>
  <c r="P588" i="30" s="1"/>
  <c r="O99" i="30"/>
  <c r="P99" i="30" s="1"/>
  <c r="O378" i="30"/>
  <c r="P378" i="30" s="1"/>
  <c r="O416" i="30"/>
  <c r="P416" i="30" s="1"/>
  <c r="O420" i="30"/>
  <c r="P420" i="30" s="1"/>
  <c r="O376" i="30"/>
  <c r="P376" i="30" s="1"/>
  <c r="O250" i="30"/>
  <c r="P250" i="30" s="1"/>
  <c r="O249" i="30"/>
  <c r="P249" i="30" s="1"/>
  <c r="O248" i="30"/>
  <c r="P248" i="30" s="1"/>
  <c r="O239" i="30"/>
  <c r="P239" i="30" s="1"/>
  <c r="O586" i="30"/>
  <c r="P586" i="30" s="1"/>
  <c r="O601" i="30"/>
  <c r="P601" i="30" s="1"/>
  <c r="O271" i="30"/>
  <c r="P271" i="30" s="1"/>
  <c r="O269" i="30"/>
  <c r="P269" i="30" s="1"/>
  <c r="O39" i="30"/>
  <c r="P39" i="30" s="1"/>
  <c r="O77" i="30"/>
  <c r="P77" i="30" s="1"/>
  <c r="O19" i="30"/>
  <c r="P19" i="30" s="1"/>
  <c r="O108" i="30"/>
  <c r="P108" i="30" s="1"/>
  <c r="O89" i="30"/>
  <c r="P89" i="30" s="1"/>
  <c r="O395" i="30"/>
  <c r="P395" i="30" s="1"/>
  <c r="O422" i="30"/>
  <c r="P422" i="30" s="1"/>
  <c r="O410" i="30"/>
  <c r="P410" i="30" s="1"/>
  <c r="O254" i="30"/>
  <c r="P254" i="30" s="1"/>
  <c r="O253" i="30"/>
  <c r="P253" i="30" s="1"/>
  <c r="O220" i="30"/>
  <c r="P220" i="30" s="1"/>
  <c r="O252" i="30"/>
  <c r="P252" i="30" s="1"/>
  <c r="O243" i="30"/>
  <c r="P243" i="30" s="1"/>
  <c r="O605" i="30"/>
  <c r="P605" i="30" s="1"/>
  <c r="O603" i="30"/>
  <c r="P603" i="30" s="1"/>
  <c r="O592" i="30"/>
  <c r="P592" i="30" s="1"/>
  <c r="O278" i="30"/>
  <c r="P278" i="30" s="1"/>
  <c r="O267" i="30"/>
  <c r="P267" i="30" s="1"/>
  <c r="O264" i="30"/>
  <c r="P264" i="30" s="1"/>
  <c r="O129" i="30"/>
  <c r="P129" i="30" s="1"/>
  <c r="O100" i="30"/>
  <c r="P100" i="30" s="1"/>
  <c r="O81" i="30"/>
  <c r="P81" i="30" s="1"/>
  <c r="O412" i="30"/>
  <c r="P412" i="30" s="1"/>
  <c r="O424" i="30"/>
  <c r="P424" i="30" s="1"/>
  <c r="O407" i="30"/>
  <c r="P407" i="30" s="1"/>
  <c r="O225" i="30"/>
  <c r="P225" i="30" s="1"/>
  <c r="O257" i="30"/>
  <c r="P257" i="30" s="1"/>
  <c r="O256" i="30"/>
  <c r="P256" i="30" s="1"/>
  <c r="O251" i="30"/>
  <c r="P251" i="30" s="1"/>
  <c r="O602" i="30"/>
  <c r="P602" i="30" s="1"/>
  <c r="O273" i="30"/>
  <c r="P273" i="30" s="1"/>
  <c r="O282" i="30"/>
  <c r="P282" i="30" s="1"/>
  <c r="O114" i="30"/>
  <c r="P114" i="30" s="1"/>
  <c r="O82" i="30"/>
  <c r="P82" i="30" s="1"/>
  <c r="O40" i="30"/>
  <c r="P40" i="30" s="1"/>
  <c r="O427" i="30"/>
  <c r="P427" i="30" s="1"/>
  <c r="O606" i="30"/>
  <c r="P606" i="30" s="1"/>
  <c r="O106" i="30"/>
  <c r="P106" i="30" s="1"/>
  <c r="O113" i="30"/>
  <c r="P113" i="30" s="1"/>
  <c r="O101" i="30"/>
  <c r="P101" i="30" s="1"/>
  <c r="O418" i="30"/>
  <c r="P418" i="30" s="1"/>
  <c r="O406" i="30"/>
  <c r="P406" i="30" s="1"/>
  <c r="O394" i="30"/>
  <c r="P394" i="30" s="1"/>
  <c r="O414" i="30"/>
  <c r="P414" i="30" s="1"/>
  <c r="O234" i="30"/>
  <c r="P234" i="30" s="1"/>
  <c r="O233" i="30"/>
  <c r="P233" i="30" s="1"/>
  <c r="O232" i="30"/>
  <c r="P232" i="30" s="1"/>
  <c r="O590" i="30"/>
  <c r="P590" i="30" s="1"/>
  <c r="O608" i="30"/>
  <c r="P608" i="30" s="1"/>
  <c r="O587" i="30"/>
  <c r="P587" i="30" s="1"/>
  <c r="O266" i="30"/>
  <c r="P266" i="30" s="1"/>
  <c r="O275" i="30"/>
  <c r="P275" i="30" s="1"/>
  <c r="O280" i="30"/>
  <c r="P280" i="30" s="1"/>
  <c r="O98" i="30"/>
  <c r="P98" i="30" s="1"/>
  <c r="O105" i="30"/>
  <c r="P105" i="30" s="1"/>
  <c r="O112" i="30"/>
  <c r="P112" i="30" s="1"/>
  <c r="O110" i="30"/>
  <c r="P110" i="30" s="1"/>
  <c r="J21" i="32"/>
  <c r="J14" i="32"/>
  <c r="G5" i="26"/>
  <c r="G29" i="26"/>
  <c r="G53" i="26"/>
  <c r="G14" i="26"/>
  <c r="G38" i="26"/>
  <c r="G23" i="26"/>
  <c r="G47" i="26"/>
  <c r="G32" i="26"/>
  <c r="G56" i="26"/>
  <c r="G17" i="26"/>
  <c r="G41" i="26"/>
  <c r="G26" i="26"/>
  <c r="G50" i="26"/>
  <c r="G35" i="26"/>
  <c r="G59" i="26"/>
  <c r="G20" i="26"/>
  <c r="G44" i="26"/>
  <c r="G6" i="26"/>
  <c r="G21" i="26"/>
  <c r="G45" i="26"/>
  <c r="G30" i="26"/>
  <c r="G54" i="26"/>
  <c r="G15" i="26"/>
  <c r="G39" i="26"/>
  <c r="G24" i="26"/>
  <c r="G48" i="26"/>
  <c r="G33" i="26"/>
  <c r="G57" i="26"/>
  <c r="G18" i="26"/>
  <c r="G42" i="26"/>
  <c r="G27" i="26"/>
  <c r="G51" i="26"/>
  <c r="G12" i="26"/>
  <c r="G36" i="26"/>
  <c r="G7" i="26"/>
  <c r="G13" i="26"/>
  <c r="G37" i="26"/>
  <c r="G22" i="26"/>
  <c r="G46" i="26"/>
  <c r="G31" i="26"/>
  <c r="G55" i="26"/>
  <c r="G16" i="26"/>
  <c r="G40" i="26"/>
  <c r="G25" i="26"/>
  <c r="G49" i="26"/>
  <c r="G34" i="26"/>
  <c r="G58" i="26"/>
  <c r="G19" i="26"/>
  <c r="G43" i="26"/>
  <c r="G28" i="26"/>
  <c r="G52" i="26"/>
  <c r="T11" i="6"/>
  <c r="E12" i="2"/>
  <c r="S14" i="6"/>
  <c r="E14" i="4"/>
  <c r="E13" i="2"/>
  <c r="E7" i="2"/>
  <c r="K12" i="11"/>
  <c r="K41" i="11" s="1"/>
  <c r="J12" i="32"/>
  <c r="J9" i="32"/>
  <c r="J15" i="32"/>
  <c r="J19" i="32"/>
  <c r="J17" i="32"/>
  <c r="J11" i="32"/>
  <c r="J10" i="32"/>
  <c r="J13" i="32"/>
  <c r="J6" i="32"/>
  <c r="J8" i="32"/>
  <c r="E42" i="9"/>
  <c r="E46" i="9"/>
  <c r="W14" i="4"/>
  <c r="X15" i="4"/>
  <c r="S14" i="4"/>
  <c r="E8" i="2"/>
  <c r="D4" i="20"/>
  <c r="E66" i="9"/>
  <c r="E62" i="9"/>
  <c r="G3" i="26"/>
  <c r="G9" i="26"/>
  <c r="G11" i="26"/>
  <c r="G8" i="26"/>
  <c r="E45" i="9"/>
  <c r="E41" i="9"/>
  <c r="E63" i="9"/>
  <c r="E43" i="9"/>
  <c r="E65" i="9"/>
  <c r="E44" i="9"/>
  <c r="AL7" i="20"/>
  <c r="U55" i="10"/>
  <c r="AN11" i="20"/>
  <c r="J11" i="20"/>
  <c r="K7" i="20"/>
  <c r="M11" i="20"/>
  <c r="S7" i="20"/>
  <c r="O12" i="20"/>
  <c r="J7" i="20"/>
  <c r="AR7" i="20"/>
  <c r="AY12" i="20"/>
  <c r="AO7" i="20"/>
  <c r="AW11" i="20"/>
  <c r="AM11" i="20"/>
  <c r="O55" i="10"/>
  <c r="P7" i="20"/>
  <c r="E98" i="9"/>
  <c r="AL12" i="20"/>
  <c r="AW12" i="20"/>
  <c r="L78" i="9"/>
  <c r="E79" i="9"/>
  <c r="AL11" i="20"/>
  <c r="P11" i="20"/>
  <c r="V12" i="20"/>
  <c r="AN7" i="20"/>
  <c r="AP11" i="20"/>
  <c r="AM7" i="20"/>
  <c r="X55" i="10"/>
  <c r="N78" i="9"/>
  <c r="T12" i="20"/>
  <c r="AP12" i="20"/>
  <c r="H12" i="20"/>
  <c r="AR12" i="20"/>
  <c r="P78" i="9"/>
  <c r="S55" i="10"/>
  <c r="U11" i="20"/>
  <c r="V55" i="10"/>
  <c r="U7" i="20"/>
  <c r="P12" i="20"/>
  <c r="U12" i="20"/>
  <c r="E63" i="10"/>
  <c r="K13" i="11" s="1"/>
  <c r="K42" i="11" s="1"/>
  <c r="Q7" i="20"/>
  <c r="AW7" i="20"/>
  <c r="J12" i="20"/>
  <c r="N7" i="20"/>
  <c r="M78" i="9"/>
  <c r="AQ7" i="20"/>
  <c r="AQ12" i="20"/>
  <c r="AQ11" i="20"/>
  <c r="BA11" i="20"/>
  <c r="Y11" i="20"/>
  <c r="Z78" i="9"/>
  <c r="R55" i="10"/>
  <c r="AS12" i="20"/>
  <c r="E58" i="10"/>
  <c r="F13" i="11" s="1"/>
  <c r="F42" i="11" s="1"/>
  <c r="AX12" i="20"/>
  <c r="AX11" i="20"/>
  <c r="V11" i="20"/>
  <c r="W78" i="9"/>
  <c r="AK7" i="20"/>
  <c r="I7" i="20"/>
  <c r="AY7" i="20"/>
  <c r="W7" i="20"/>
  <c r="Y55" i="10"/>
  <c r="AT12" i="20"/>
  <c r="W55" i="10"/>
  <c r="L11" i="20"/>
  <c r="G7" i="20"/>
  <c r="AJ12" i="20"/>
  <c r="P55" i="10"/>
  <c r="O7" i="20"/>
  <c r="W12" i="20"/>
  <c r="AZ12" i="20"/>
  <c r="V78" i="9"/>
  <c r="AV12" i="20"/>
  <c r="AU7" i="20"/>
  <c r="AM12" i="20"/>
  <c r="L55" i="10"/>
  <c r="K12" i="20"/>
  <c r="X11" i="20"/>
  <c r="AZ11" i="20"/>
  <c r="Y78" i="9"/>
  <c r="L12" i="20"/>
  <c r="AN12" i="20"/>
  <c r="M55" i="10"/>
  <c r="I55" i="10"/>
  <c r="K55" i="10"/>
  <c r="Q12" i="20"/>
  <c r="K11" i="20"/>
  <c r="Q55" i="10"/>
  <c r="AV7" i="20"/>
  <c r="T7" i="20"/>
  <c r="S11" i="20"/>
  <c r="AU11" i="20"/>
  <c r="T78" i="9"/>
  <c r="AJ7" i="20"/>
  <c r="H7" i="20"/>
  <c r="T55" i="10"/>
  <c r="S12" i="20"/>
  <c r="AU12" i="20"/>
  <c r="O11" i="20"/>
  <c r="E89" i="9"/>
  <c r="AS7" i="20"/>
  <c r="E56" i="10"/>
  <c r="D13" i="11" s="1"/>
  <c r="D42" i="11" s="1"/>
  <c r="Y12" i="20"/>
  <c r="Z55" i="10"/>
  <c r="BA12" i="20"/>
  <c r="N12" i="20"/>
  <c r="AK12" i="20"/>
  <c r="J55" i="10"/>
  <c r="I12" i="20"/>
  <c r="N55" i="10"/>
  <c r="AO12" i="20"/>
  <c r="N11" i="20"/>
  <c r="K78" i="9"/>
  <c r="R11" i="20"/>
  <c r="S78" i="9"/>
  <c r="AT11" i="20"/>
  <c r="AT7" i="20"/>
  <c r="R7" i="20"/>
  <c r="E95" i="9"/>
  <c r="E80" i="9"/>
  <c r="E120" i="9"/>
  <c r="L7" i="20"/>
  <c r="M12" i="20"/>
  <c r="I11" i="20"/>
  <c r="AK11" i="20"/>
  <c r="J78" i="9"/>
  <c r="AJ11" i="20"/>
  <c r="H11" i="20"/>
  <c r="I78" i="9"/>
  <c r="AV11" i="20"/>
  <c r="T11" i="20"/>
  <c r="U78" i="9"/>
  <c r="V7" i="20"/>
  <c r="AX7" i="20"/>
  <c r="Q11" i="20"/>
  <c r="R78" i="9"/>
  <c r="AS11" i="20"/>
  <c r="O78" i="9"/>
  <c r="M7" i="20"/>
  <c r="AR11" i="20"/>
  <c r="W11" i="20"/>
  <c r="X78" i="9"/>
  <c r="AY11" i="20"/>
  <c r="BA7" i="20"/>
  <c r="Y7" i="20"/>
  <c r="AO11" i="20"/>
  <c r="AZ7" i="20"/>
  <c r="X7" i="20"/>
  <c r="AP7" i="20"/>
  <c r="R12" i="20"/>
  <c r="F78" i="9"/>
  <c r="Q78" i="9"/>
  <c r="J12" i="11"/>
  <c r="J41" i="11" s="1"/>
  <c r="X12" i="20"/>
  <c r="E15" i="4"/>
  <c r="L12" i="11"/>
  <c r="L41" i="11" s="1"/>
  <c r="AH7" i="20"/>
  <c r="E65" i="10"/>
  <c r="M13" i="11" s="1"/>
  <c r="M42" i="11" s="1"/>
  <c r="AF4" i="20"/>
  <c r="M12" i="11"/>
  <c r="M41" i="11" s="1"/>
  <c r="O8" i="30"/>
  <c r="P8" i="30" s="1"/>
  <c r="O7" i="30"/>
  <c r="P7" i="30" s="1"/>
  <c r="O6" i="30"/>
  <c r="P6" i="30" s="1"/>
  <c r="E85" i="9"/>
  <c r="E86" i="9"/>
  <c r="J4" i="32"/>
  <c r="E93" i="9"/>
  <c r="M14" i="6"/>
  <c r="N4" i="6"/>
  <c r="G4" i="26"/>
  <c r="X14" i="4"/>
  <c r="F12" i="20"/>
  <c r="G12" i="20"/>
  <c r="E88" i="9"/>
  <c r="M15" i="6"/>
  <c r="T12" i="6"/>
  <c r="J43" i="11"/>
  <c r="B9" i="2"/>
  <c r="E9" i="2"/>
  <c r="B11" i="2"/>
  <c r="E11" i="2"/>
  <c r="U14" i="6"/>
  <c r="I41" i="11"/>
  <c r="Y10" i="4"/>
  <c r="E10" i="2" s="1"/>
  <c r="E62" i="10"/>
  <c r="J13" i="11" s="1"/>
  <c r="J42" i="11" s="1"/>
  <c r="R14" i="6"/>
  <c r="AG11" i="20"/>
  <c r="T13" i="6"/>
  <c r="P12" i="6"/>
  <c r="Q12" i="6" s="1"/>
  <c r="E84" i="9"/>
  <c r="E91" i="9"/>
  <c r="AH11" i="20"/>
  <c r="G78" i="9"/>
  <c r="G12" i="11"/>
  <c r="AH12" i="20"/>
  <c r="G6" i="39"/>
  <c r="E96" i="9"/>
  <c r="E94" i="9"/>
  <c r="H14" i="4"/>
  <c r="H15" i="4"/>
  <c r="AI12" i="20"/>
  <c r="B7" i="2"/>
  <c r="E92" i="9"/>
  <c r="S15" i="6"/>
  <c r="E87" i="9"/>
  <c r="AF17" i="20"/>
  <c r="AG16" i="20"/>
  <c r="AF16" i="20" s="1"/>
  <c r="O5" i="30"/>
  <c r="P5" i="30" s="1"/>
  <c r="J7" i="32" s="1"/>
  <c r="E4" i="10"/>
  <c r="D12" i="11"/>
  <c r="E81" i="9"/>
  <c r="F12" i="11"/>
  <c r="H55" i="10"/>
  <c r="O3" i="30"/>
  <c r="P3" i="30" s="1"/>
  <c r="AI7" i="20"/>
  <c r="D8" i="20"/>
  <c r="E11" i="20"/>
  <c r="AF8" i="20"/>
  <c r="G55" i="10"/>
  <c r="O4" i="30"/>
  <c r="P4" i="30" s="1"/>
  <c r="E59" i="10"/>
  <c r="G13" i="11" s="1"/>
  <c r="G42" i="11" s="1"/>
  <c r="O9" i="30"/>
  <c r="P9" i="30" s="1"/>
  <c r="T9" i="6"/>
  <c r="D16" i="20"/>
  <c r="O11" i="30"/>
  <c r="P11" i="30" s="1"/>
  <c r="F7" i="20"/>
  <c r="D17" i="20"/>
  <c r="E61" i="10"/>
  <c r="I13" i="11" s="1"/>
  <c r="I42" i="11" s="1"/>
  <c r="E60" i="10"/>
  <c r="H13" i="11" s="1"/>
  <c r="E12" i="11"/>
  <c r="E82" i="9"/>
  <c r="F11" i="20"/>
  <c r="O10" i="30"/>
  <c r="P10" i="30" s="1"/>
  <c r="AI11" i="20"/>
  <c r="H78" i="9"/>
  <c r="G11" i="20"/>
  <c r="E97" i="9"/>
  <c r="E83" i="9"/>
  <c r="E57" i="10"/>
  <c r="E13" i="11" s="1"/>
  <c r="E42" i="11" s="1"/>
  <c r="E12" i="20"/>
  <c r="AG12" i="20"/>
  <c r="F55" i="10"/>
  <c r="AG7" i="20"/>
  <c r="E90" i="9"/>
  <c r="E7" i="20"/>
  <c r="D7" i="11"/>
  <c r="G7" i="39"/>
  <c r="E5" i="9"/>
  <c r="E64" i="10"/>
  <c r="L13" i="11" s="1"/>
  <c r="L42" i="11" s="1"/>
  <c r="H12" i="11"/>
  <c r="H41" i="11" s="1"/>
  <c r="R8" i="4"/>
  <c r="K43" i="11"/>
  <c r="F133" i="3"/>
  <c r="P13" i="6"/>
  <c r="Q13" i="6" s="1"/>
  <c r="F127" i="3"/>
  <c r="F128" i="3"/>
  <c r="AY23" i="20"/>
  <c r="F135" i="3"/>
  <c r="F131" i="3"/>
  <c r="W23" i="20"/>
  <c r="BA23" i="20"/>
  <c r="AG23" i="20"/>
  <c r="F132" i="3"/>
  <c r="X23" i="20"/>
  <c r="Y23" i="20"/>
  <c r="F129" i="3"/>
  <c r="AZ23" i="20"/>
  <c r="F130" i="3"/>
  <c r="N20" i="20"/>
  <c r="Q16" i="39"/>
  <c r="V16" i="39" s="1"/>
  <c r="AM20" i="20"/>
  <c r="AT20" i="20"/>
  <c r="AY20" i="20"/>
  <c r="AL20" i="20"/>
  <c r="AZ21" i="20"/>
  <c r="AP20" i="20"/>
  <c r="S20" i="20"/>
  <c r="N21" i="20"/>
  <c r="AU21" i="20"/>
  <c r="V20" i="20"/>
  <c r="X20" i="20"/>
  <c r="W20" i="20"/>
  <c r="AX20" i="20"/>
  <c r="R21" i="20"/>
  <c r="O20" i="20"/>
  <c r="P20" i="20"/>
  <c r="AR21" i="20"/>
  <c r="AO21" i="20"/>
  <c r="AZ20" i="20"/>
  <c r="P21" i="20"/>
  <c r="F82" i="3"/>
  <c r="F85" i="3"/>
  <c r="M21" i="20"/>
  <c r="AY21" i="20"/>
  <c r="J21" i="20"/>
  <c r="L20" i="20"/>
  <c r="AL21" i="20"/>
  <c r="AJ21" i="20"/>
  <c r="X21" i="20"/>
  <c r="AN21" i="20"/>
  <c r="E20" i="20"/>
  <c r="G20" i="20"/>
  <c r="BA21" i="20"/>
  <c r="AJ20" i="20"/>
  <c r="AW21" i="20"/>
  <c r="E81" i="3"/>
  <c r="T9" i="4" s="1"/>
  <c r="U9" i="4" s="1"/>
  <c r="AT21" i="20"/>
  <c r="AM21" i="20"/>
  <c r="F79" i="3"/>
  <c r="I20" i="20"/>
  <c r="G21" i="20"/>
  <c r="O21" i="20"/>
  <c r="Q20" i="20"/>
  <c r="F67" i="3"/>
  <c r="H21" i="20"/>
  <c r="F81" i="3"/>
  <c r="M20" i="20"/>
  <c r="S21" i="20"/>
  <c r="T21" i="20"/>
  <c r="AX21" i="20"/>
  <c r="AP21" i="20"/>
  <c r="AR20" i="20"/>
  <c r="AQ20" i="20"/>
  <c r="U20" i="20"/>
  <c r="Q21" i="20"/>
  <c r="E21" i="20"/>
  <c r="J20" i="20"/>
  <c r="K21" i="20"/>
  <c r="E104" i="3"/>
  <c r="N12" i="4" s="1"/>
  <c r="E98" i="3"/>
  <c r="N6" i="4" s="1"/>
  <c r="V21" i="20"/>
  <c r="AO20" i="20"/>
  <c r="AN20" i="20"/>
  <c r="AS20" i="20"/>
  <c r="F104" i="3"/>
  <c r="AU20" i="20"/>
  <c r="AW20" i="20"/>
  <c r="AG20" i="20"/>
  <c r="F98" i="3"/>
  <c r="Y20" i="20"/>
  <c r="L21" i="20"/>
  <c r="AS21" i="20"/>
  <c r="Y21" i="20"/>
  <c r="E84" i="3"/>
  <c r="T12" i="4" s="1"/>
  <c r="U12" i="4" s="1"/>
  <c r="F80" i="3"/>
  <c r="I21" i="20"/>
  <c r="AK21" i="20"/>
  <c r="AV21" i="20"/>
  <c r="AG21" i="20"/>
  <c r="AI21" i="20"/>
  <c r="AQ21" i="20"/>
  <c r="U21" i="20"/>
  <c r="F68" i="3"/>
  <c r="K20" i="20"/>
  <c r="E77" i="3"/>
  <c r="T5" i="4" s="1"/>
  <c r="U5" i="4" s="1"/>
  <c r="F78" i="3"/>
  <c r="AK20" i="20"/>
  <c r="W21" i="20"/>
  <c r="H20" i="20"/>
  <c r="E80" i="3"/>
  <c r="T8" i="4" s="1"/>
  <c r="U8" i="4" s="1"/>
  <c r="F77" i="3"/>
  <c r="R20" i="20"/>
  <c r="AI20" i="20"/>
  <c r="F74" i="3"/>
  <c r="E85" i="3"/>
  <c r="T13" i="4" s="1"/>
  <c r="L84" i="3"/>
  <c r="F84" i="3" s="1"/>
  <c r="F69" i="3"/>
  <c r="E78" i="3"/>
  <c r="T6" i="4" s="1"/>
  <c r="U6" i="4" s="1"/>
  <c r="E79" i="3"/>
  <c r="T7" i="4" s="1"/>
  <c r="U7" i="4" s="1"/>
  <c r="E82" i="3"/>
  <c r="T10" i="4" s="1"/>
  <c r="U10" i="4" s="1"/>
  <c r="F126" i="3"/>
  <c r="F23" i="20"/>
  <c r="AH23" i="20"/>
  <c r="R4" i="4"/>
  <c r="Q14" i="4"/>
  <c r="K100" i="3"/>
  <c r="F70" i="3"/>
  <c r="K105" i="3"/>
  <c r="F75" i="3"/>
  <c r="K102" i="3"/>
  <c r="F72" i="3"/>
  <c r="K103" i="3"/>
  <c r="F73" i="3"/>
  <c r="F71" i="3"/>
  <c r="K101" i="3"/>
  <c r="L83" i="3"/>
  <c r="F83" i="3" s="1"/>
  <c r="E83" i="3"/>
  <c r="T11" i="4" s="1"/>
  <c r="U11" i="4" s="1"/>
  <c r="L97" i="3"/>
  <c r="F97" i="3" s="1"/>
  <c r="E97" i="3"/>
  <c r="N5" i="4" s="1"/>
  <c r="L76" i="3"/>
  <c r="E76" i="3"/>
  <c r="T4" i="4" s="1"/>
  <c r="K96" i="3"/>
  <c r="F66" i="3"/>
  <c r="BB99" i="3"/>
  <c r="E99" i="3"/>
  <c r="N7" i="4" s="1"/>
  <c r="J3" i="32" l="1"/>
  <c r="H9" i="11"/>
  <c r="H38" i="11" s="1"/>
  <c r="K9" i="11"/>
  <c r="K38" i="11" s="1"/>
  <c r="J5" i="32"/>
  <c r="T14" i="6"/>
  <c r="I9" i="11"/>
  <c r="I38" i="11" s="1"/>
  <c r="J20" i="32"/>
  <c r="J18" i="32"/>
  <c r="M9" i="11"/>
  <c r="M38" i="11" s="1"/>
  <c r="M8" i="11"/>
  <c r="M37" i="11" s="1"/>
  <c r="L9" i="11"/>
  <c r="L38" i="11" s="1"/>
  <c r="Y14" i="4"/>
  <c r="T15" i="6"/>
  <c r="B14" i="2"/>
  <c r="E14" i="2"/>
  <c r="J9" i="11"/>
  <c r="J38" i="11" s="1"/>
  <c r="E8" i="11"/>
  <c r="E37" i="11" s="1"/>
  <c r="D11" i="6"/>
  <c r="E11" i="6" s="1"/>
  <c r="D8" i="11"/>
  <c r="D37" i="11" s="1"/>
  <c r="D10" i="11"/>
  <c r="D39" i="11" s="1"/>
  <c r="L8" i="11"/>
  <c r="L37" i="11" s="1"/>
  <c r="D12" i="20"/>
  <c r="D7" i="20"/>
  <c r="G8" i="11"/>
  <c r="G37" i="11" s="1"/>
  <c r="J8" i="11"/>
  <c r="I8" i="11"/>
  <c r="I37" i="11" s="1"/>
  <c r="AF7" i="20"/>
  <c r="K8" i="11"/>
  <c r="G11" i="6" s="1"/>
  <c r="H11" i="6" s="1"/>
  <c r="D9" i="6"/>
  <c r="E9" i="6" s="1"/>
  <c r="N15" i="6"/>
  <c r="N14" i="6"/>
  <c r="H8" i="11"/>
  <c r="C6" i="39"/>
  <c r="D13" i="6"/>
  <c r="E13" i="6" s="1"/>
  <c r="E41" i="11"/>
  <c r="D5" i="6"/>
  <c r="E5" i="6" s="1"/>
  <c r="D11" i="20"/>
  <c r="D8" i="6"/>
  <c r="E8" i="6" s="1"/>
  <c r="H42" i="11"/>
  <c r="C42" i="11" s="1"/>
  <c r="AF11" i="20"/>
  <c r="E78" i="9"/>
  <c r="G41" i="11"/>
  <c r="D7" i="6"/>
  <c r="E7" i="6" s="1"/>
  <c r="G12" i="39"/>
  <c r="S7" i="39"/>
  <c r="Q7" i="39"/>
  <c r="V7" i="39" s="1"/>
  <c r="O7" i="39"/>
  <c r="U7" i="39" s="1"/>
  <c r="T7" i="39"/>
  <c r="F41" i="11"/>
  <c r="D6" i="6"/>
  <c r="E6" i="6" s="1"/>
  <c r="D10" i="6"/>
  <c r="E10" i="6" s="1"/>
  <c r="E55" i="10"/>
  <c r="G13" i="39"/>
  <c r="F8" i="11"/>
  <c r="C7" i="11"/>
  <c r="D36" i="11"/>
  <c r="C36" i="11" s="1"/>
  <c r="AF12" i="20"/>
  <c r="C13" i="11"/>
  <c r="D12" i="6"/>
  <c r="E12" i="6" s="1"/>
  <c r="C12" i="11"/>
  <c r="D41" i="11"/>
  <c r="D4" i="6"/>
  <c r="O6" i="39"/>
  <c r="U6" i="39" s="1"/>
  <c r="S6" i="39"/>
  <c r="Q6" i="39"/>
  <c r="V6" i="39" s="1"/>
  <c r="T6" i="39"/>
  <c r="Z5" i="4"/>
  <c r="Z7" i="4"/>
  <c r="Z6" i="4"/>
  <c r="AA6" i="4" s="1"/>
  <c r="Z12" i="4"/>
  <c r="U13" i="4"/>
  <c r="O12" i="4"/>
  <c r="O6" i="4"/>
  <c r="D23" i="20"/>
  <c r="BA19" i="20"/>
  <c r="BA15" i="20" s="1"/>
  <c r="AF23" i="20"/>
  <c r="N19" i="20"/>
  <c r="N15" i="20" s="1"/>
  <c r="AM19" i="20"/>
  <c r="AM15" i="20" s="1"/>
  <c r="T18" i="39"/>
  <c r="O18" i="39"/>
  <c r="U18" i="39" s="1"/>
  <c r="S18" i="39"/>
  <c r="Q18" i="39"/>
  <c r="V18" i="39" s="1"/>
  <c r="T16" i="39"/>
  <c r="S16" i="39"/>
  <c r="O16" i="39"/>
  <c r="U16" i="39" s="1"/>
  <c r="AL19" i="20"/>
  <c r="AL15" i="20" s="1"/>
  <c r="AT19" i="20"/>
  <c r="AT15" i="20" s="1"/>
  <c r="AY19" i="20"/>
  <c r="AY15" i="20" s="1"/>
  <c r="V19" i="20"/>
  <c r="V15" i="20" s="1"/>
  <c r="S19" i="20"/>
  <c r="S15" i="20" s="1"/>
  <c r="AP19" i="20"/>
  <c r="AP15" i="20" s="1"/>
  <c r="AU19" i="20"/>
  <c r="AU15" i="20" s="1"/>
  <c r="AX19" i="20"/>
  <c r="AX15" i="20" s="1"/>
  <c r="AZ19" i="20"/>
  <c r="AZ15" i="20" s="1"/>
  <c r="P19" i="20"/>
  <c r="P15" i="20" s="1"/>
  <c r="AO19" i="20"/>
  <c r="AO15" i="20" s="1"/>
  <c r="AR19" i="20"/>
  <c r="AR15" i="20" s="1"/>
  <c r="Q19" i="20"/>
  <c r="Q15" i="20" s="1"/>
  <c r="O19" i="20"/>
  <c r="O15" i="20" s="1"/>
  <c r="AJ19" i="20"/>
  <c r="AJ15" i="20" s="1"/>
  <c r="W19" i="20"/>
  <c r="W15" i="20" s="1"/>
  <c r="X19" i="20"/>
  <c r="X15" i="20" s="1"/>
  <c r="I19" i="20"/>
  <c r="I15" i="20" s="1"/>
  <c r="R19" i="20"/>
  <c r="R15" i="20" s="1"/>
  <c r="AK19" i="20"/>
  <c r="AK15" i="20" s="1"/>
  <c r="E19" i="20"/>
  <c r="E15" i="20" s="1"/>
  <c r="L19" i="20"/>
  <c r="L15" i="20" s="1"/>
  <c r="AN19" i="20"/>
  <c r="AN15" i="20" s="1"/>
  <c r="M19" i="20"/>
  <c r="M15" i="20" s="1"/>
  <c r="AW19" i="20"/>
  <c r="AW15" i="20" s="1"/>
  <c r="U19" i="20"/>
  <c r="U15" i="20" s="1"/>
  <c r="G19" i="20"/>
  <c r="G15" i="20" s="1"/>
  <c r="J19" i="20"/>
  <c r="J15" i="20" s="1"/>
  <c r="AQ19" i="20"/>
  <c r="AQ15" i="20" s="1"/>
  <c r="K19" i="20"/>
  <c r="K15" i="20" s="1"/>
  <c r="AI19" i="20"/>
  <c r="AI15" i="20" s="1"/>
  <c r="H19" i="20"/>
  <c r="H15" i="20" s="1"/>
  <c r="AG19" i="20"/>
  <c r="AG15" i="20" s="1"/>
  <c r="AS19" i="20"/>
  <c r="AS15" i="20" s="1"/>
  <c r="Y19" i="20"/>
  <c r="Y15" i="20" s="1"/>
  <c r="R15" i="4"/>
  <c r="R14" i="4"/>
  <c r="L101" i="3"/>
  <c r="F101" i="3" s="1"/>
  <c r="E101" i="3"/>
  <c r="N9" i="4" s="1"/>
  <c r="Z9" i="4" s="1"/>
  <c r="L103" i="3"/>
  <c r="F103" i="3" s="1"/>
  <c r="E103" i="3"/>
  <c r="N11" i="4" s="1"/>
  <c r="Z11" i="4" s="1"/>
  <c r="L102" i="3"/>
  <c r="F102" i="3" s="1"/>
  <c r="E102" i="3"/>
  <c r="N10" i="4" s="1"/>
  <c r="Z10" i="4" s="1"/>
  <c r="L105" i="3"/>
  <c r="F105" i="3" s="1"/>
  <c r="E105" i="3"/>
  <c r="N13" i="4" s="1"/>
  <c r="Z13" i="4" s="1"/>
  <c r="L100" i="3"/>
  <c r="F100" i="3" s="1"/>
  <c r="E100" i="3"/>
  <c r="N8" i="4" s="1"/>
  <c r="Z8" i="4" s="1"/>
  <c r="L96" i="3"/>
  <c r="E96" i="3"/>
  <c r="N4" i="4" s="1"/>
  <c r="Z4" i="4" s="1"/>
  <c r="T14" i="4"/>
  <c r="U4" i="4"/>
  <c r="O7" i="4"/>
  <c r="F99" i="3"/>
  <c r="T20" i="20"/>
  <c r="T19" i="20" s="1"/>
  <c r="T15" i="20" s="1"/>
  <c r="AV20" i="20"/>
  <c r="AV19" i="20" s="1"/>
  <c r="AV15" i="20" s="1"/>
  <c r="F21" i="20"/>
  <c r="D21" i="20" s="1"/>
  <c r="F76" i="3"/>
  <c r="AH21" i="20"/>
  <c r="AF21" i="20" s="1"/>
  <c r="O5" i="4"/>
  <c r="D4" i="29" l="1"/>
  <c r="G13" i="6"/>
  <c r="H13" i="6" s="1"/>
  <c r="G5" i="6"/>
  <c r="H5" i="6" s="1"/>
  <c r="G4" i="6"/>
  <c r="H4" i="6" s="1"/>
  <c r="F11" i="26"/>
  <c r="I11" i="26" s="1"/>
  <c r="K37" i="11"/>
  <c r="G12" i="6"/>
  <c r="H12" i="6" s="1"/>
  <c r="J37" i="11"/>
  <c r="G10" i="6"/>
  <c r="H10" i="6" s="1"/>
  <c r="F10" i="26"/>
  <c r="I10" i="26" s="1"/>
  <c r="F9" i="26"/>
  <c r="I9" i="26" s="1"/>
  <c r="H58" i="9" s="1"/>
  <c r="G9" i="6"/>
  <c r="H9" i="6" s="1"/>
  <c r="G7" i="6"/>
  <c r="H7" i="6" s="1"/>
  <c r="G8" i="6"/>
  <c r="H8" i="6" s="1"/>
  <c r="H37" i="11"/>
  <c r="D15" i="6"/>
  <c r="E4" i="6"/>
  <c r="D14" i="6"/>
  <c r="F37" i="11"/>
  <c r="G6" i="6"/>
  <c r="C41" i="11"/>
  <c r="S13" i="39"/>
  <c r="O13" i="39"/>
  <c r="U13" i="39" s="1"/>
  <c r="T13" i="39"/>
  <c r="Q13" i="39"/>
  <c r="V13" i="39" s="1"/>
  <c r="C8" i="11"/>
  <c r="Q12" i="39"/>
  <c r="V12" i="39" s="1"/>
  <c r="T12" i="39"/>
  <c r="O12" i="39"/>
  <c r="U12" i="39" s="1"/>
  <c r="S12" i="39"/>
  <c r="C12" i="39"/>
  <c r="F22" i="26"/>
  <c r="I22" i="26" s="1"/>
  <c r="F4" i="26"/>
  <c r="I4" i="26" s="1"/>
  <c r="F8" i="26"/>
  <c r="I8" i="26" s="1"/>
  <c r="F45" i="26"/>
  <c r="I45" i="26" s="1"/>
  <c r="F21" i="26"/>
  <c r="I21" i="26" s="1"/>
  <c r="F29" i="26"/>
  <c r="I29" i="26" s="1"/>
  <c r="F56" i="26"/>
  <c r="I56" i="26" s="1"/>
  <c r="F27" i="26"/>
  <c r="I27" i="26" s="1"/>
  <c r="F61" i="26"/>
  <c r="I61" i="26" s="1"/>
  <c r="F58" i="26"/>
  <c r="I58" i="26" s="1"/>
  <c r="F3" i="26"/>
  <c r="F18" i="26"/>
  <c r="I18" i="26" s="1"/>
  <c r="F24" i="26"/>
  <c r="I24" i="26" s="1"/>
  <c r="F32" i="26"/>
  <c r="I32" i="26" s="1"/>
  <c r="F65" i="26"/>
  <c r="I65" i="26" s="1"/>
  <c r="F64" i="26"/>
  <c r="I64" i="26" s="1"/>
  <c r="F31" i="26"/>
  <c r="I31" i="26" s="1"/>
  <c r="F14" i="26"/>
  <c r="I14" i="26" s="1"/>
  <c r="F60" i="26"/>
  <c r="I60" i="26" s="1"/>
  <c r="F40" i="26"/>
  <c r="I40" i="26" s="1"/>
  <c r="F6" i="26"/>
  <c r="I6" i="26" s="1"/>
  <c r="F26" i="26"/>
  <c r="I26" i="26" s="1"/>
  <c r="F47" i="26"/>
  <c r="I47" i="26" s="1"/>
  <c r="F19" i="26"/>
  <c r="I19" i="26" s="1"/>
  <c r="F39" i="26"/>
  <c r="I39" i="26" s="1"/>
  <c r="R58" i="9" s="1"/>
  <c r="F34" i="26"/>
  <c r="I34" i="26" s="1"/>
  <c r="F20" i="26"/>
  <c r="I20" i="26" s="1"/>
  <c r="F28" i="26"/>
  <c r="I28" i="26" s="1"/>
  <c r="F49" i="26"/>
  <c r="I49" i="26" s="1"/>
  <c r="F55" i="26"/>
  <c r="I55" i="26" s="1"/>
  <c r="J1" i="32"/>
  <c r="F51" i="26"/>
  <c r="I51" i="26" s="1"/>
  <c r="F38" i="26"/>
  <c r="I38" i="26" s="1"/>
  <c r="F13" i="26"/>
  <c r="I13" i="26" s="1"/>
  <c r="F35" i="26"/>
  <c r="I35" i="26" s="1"/>
  <c r="F30" i="26"/>
  <c r="I30" i="26" s="1"/>
  <c r="D16" i="29"/>
  <c r="F37" i="26"/>
  <c r="I37" i="26" s="1"/>
  <c r="F43" i="26"/>
  <c r="I43" i="26" s="1"/>
  <c r="F33" i="26"/>
  <c r="I33" i="26" s="1"/>
  <c r="P58" i="9" s="1"/>
  <c r="F23" i="26"/>
  <c r="I23" i="26" s="1"/>
  <c r="F5" i="26"/>
  <c r="I5" i="26" s="1"/>
  <c r="D28" i="29"/>
  <c r="F53" i="26"/>
  <c r="I53" i="26" s="1"/>
  <c r="F48" i="26"/>
  <c r="I48" i="26" s="1"/>
  <c r="F63" i="26"/>
  <c r="I63" i="26" s="1"/>
  <c r="F59" i="26"/>
  <c r="I59" i="26" s="1"/>
  <c r="F50" i="26"/>
  <c r="I50" i="26" s="1"/>
  <c r="F54" i="26"/>
  <c r="I54" i="26" s="1"/>
  <c r="F17" i="26"/>
  <c r="I17" i="26" s="1"/>
  <c r="F42" i="26"/>
  <c r="I42" i="26" s="1"/>
  <c r="F44" i="26"/>
  <c r="I44" i="26" s="1"/>
  <c r="F25" i="26"/>
  <c r="I25" i="26" s="1"/>
  <c r="F12" i="26"/>
  <c r="I12" i="26" s="1"/>
  <c r="F36" i="26"/>
  <c r="I36" i="26" s="1"/>
  <c r="Q58" i="9" s="1"/>
  <c r="F41" i="26"/>
  <c r="I41" i="26" s="1"/>
  <c r="F52" i="26"/>
  <c r="I52" i="26" s="1"/>
  <c r="F46" i="26"/>
  <c r="I46" i="26" s="1"/>
  <c r="F57" i="26"/>
  <c r="I57" i="26" s="1"/>
  <c r="F62" i="26"/>
  <c r="I62" i="26" s="1"/>
  <c r="F15" i="26"/>
  <c r="I15" i="26" s="1"/>
  <c r="F7" i="26"/>
  <c r="I7" i="26" s="1"/>
  <c r="F16" i="26"/>
  <c r="I16" i="26" s="1"/>
  <c r="AA12" i="4"/>
  <c r="O8" i="4"/>
  <c r="O13" i="4"/>
  <c r="O10" i="4"/>
  <c r="O11" i="4"/>
  <c r="O9" i="4"/>
  <c r="AA5" i="4"/>
  <c r="F20" i="20"/>
  <c r="AH20" i="20"/>
  <c r="F96" i="3"/>
  <c r="AA7" i="4"/>
  <c r="U15" i="4"/>
  <c r="U14" i="4"/>
  <c r="N14" i="4"/>
  <c r="O4" i="4"/>
  <c r="V58" i="9" l="1"/>
  <c r="J58" i="9"/>
  <c r="U58" i="9"/>
  <c r="W57" i="9"/>
  <c r="W58" i="9"/>
  <c r="I57" i="9"/>
  <c r="I58" i="9"/>
  <c r="O58" i="9"/>
  <c r="K58" i="9"/>
  <c r="X58" i="9"/>
  <c r="T58" i="9"/>
  <c r="S58" i="9"/>
  <c r="O57" i="9"/>
  <c r="K57" i="9"/>
  <c r="X57" i="9"/>
  <c r="H57" i="9"/>
  <c r="R57" i="9"/>
  <c r="V57" i="9"/>
  <c r="N58" i="9"/>
  <c r="J57" i="9"/>
  <c r="U57" i="9"/>
  <c r="G57" i="9"/>
  <c r="M58" i="9"/>
  <c r="L58" i="9"/>
  <c r="S57" i="9"/>
  <c r="T57" i="9"/>
  <c r="P57" i="9"/>
  <c r="P59" i="9"/>
  <c r="N57" i="9"/>
  <c r="N59" i="9"/>
  <c r="Q57" i="9"/>
  <c r="M57" i="9"/>
  <c r="L57" i="9"/>
  <c r="Q60" i="9"/>
  <c r="L60" i="9"/>
  <c r="S59" i="9"/>
  <c r="O59" i="9"/>
  <c r="M60" i="9"/>
  <c r="R59" i="9"/>
  <c r="W59" i="9"/>
  <c r="N60" i="9"/>
  <c r="S60" i="9"/>
  <c r="X59" i="9"/>
  <c r="R60" i="9"/>
  <c r="Y59" i="9"/>
  <c r="T59" i="9"/>
  <c r="H59" i="9"/>
  <c r="P60" i="9"/>
  <c r="I59" i="9"/>
  <c r="Z59" i="9"/>
  <c r="Q59" i="9"/>
  <c r="J59" i="9"/>
  <c r="U59" i="9"/>
  <c r="G59" i="9"/>
  <c r="M59" i="9"/>
  <c r="V59" i="9"/>
  <c r="O60" i="9"/>
  <c r="K59" i="9"/>
  <c r="L59" i="9"/>
  <c r="C37" i="11"/>
  <c r="I3" i="26"/>
  <c r="F1" i="26"/>
  <c r="G58" i="9"/>
  <c r="D2" i="29"/>
  <c r="K6" i="29"/>
  <c r="K7" i="29"/>
  <c r="K14" i="29"/>
  <c r="M14" i="29" s="1"/>
  <c r="K15" i="29"/>
  <c r="M15" i="29" s="1"/>
  <c r="K12" i="29"/>
  <c r="M12" i="29" s="1"/>
  <c r="K4" i="29"/>
  <c r="K8" i="29"/>
  <c r="K5" i="29"/>
  <c r="M5" i="29" s="1"/>
  <c r="K13" i="29"/>
  <c r="M13" i="29" s="1"/>
  <c r="K9" i="29"/>
  <c r="K10" i="29"/>
  <c r="K11" i="29"/>
  <c r="M11" i="29" s="1"/>
  <c r="K16" i="29"/>
  <c r="K24" i="29"/>
  <c r="M24" i="29" s="1"/>
  <c r="K17" i="29"/>
  <c r="K25" i="29"/>
  <c r="M25" i="29" s="1"/>
  <c r="K18" i="29"/>
  <c r="M18" i="29" s="1"/>
  <c r="K23" i="29"/>
  <c r="M23" i="29" s="1"/>
  <c r="K26" i="29"/>
  <c r="M26" i="29" s="1"/>
  <c r="K21" i="29"/>
  <c r="M21" i="29" s="1"/>
  <c r="K22" i="29"/>
  <c r="M22" i="29" s="1"/>
  <c r="K19" i="29"/>
  <c r="M19" i="29" s="1"/>
  <c r="K27" i="29"/>
  <c r="M27" i="29" s="1"/>
  <c r="K20" i="29"/>
  <c r="M20" i="29" s="1"/>
  <c r="H6" i="6"/>
  <c r="G15" i="6"/>
  <c r="G14" i="6"/>
  <c r="K39" i="29"/>
  <c r="M39" i="29" s="1"/>
  <c r="K29" i="29"/>
  <c r="M29" i="29" s="1"/>
  <c r="K28" i="29"/>
  <c r="K30" i="29"/>
  <c r="M30" i="29" s="1"/>
  <c r="K36" i="29"/>
  <c r="M36" i="29" s="1"/>
  <c r="K31" i="29"/>
  <c r="M31" i="29" s="1"/>
  <c r="K37" i="29"/>
  <c r="K38" i="29"/>
  <c r="M38" i="29" s="1"/>
  <c r="K33" i="29"/>
  <c r="M33" i="29" s="1"/>
  <c r="K35" i="29"/>
  <c r="M35" i="29" s="1"/>
  <c r="K34" i="29"/>
  <c r="M34" i="29" s="1"/>
  <c r="K32" i="29"/>
  <c r="M32" i="29" s="1"/>
  <c r="E15" i="6"/>
  <c r="E14" i="6"/>
  <c r="AA9" i="4"/>
  <c r="AA11" i="4"/>
  <c r="AA10" i="4"/>
  <c r="AA13" i="4"/>
  <c r="AA8" i="4"/>
  <c r="O14" i="4"/>
  <c r="O15" i="4"/>
  <c r="AA4" i="4"/>
  <c r="Z14" i="4"/>
  <c r="AH19" i="20"/>
  <c r="AF20" i="20"/>
  <c r="F19" i="20"/>
  <c r="D20" i="20"/>
  <c r="F58" i="9" l="1"/>
  <c r="E58" i="9" s="1"/>
  <c r="I1" i="26"/>
  <c r="F59" i="9"/>
  <c r="E59" i="9" s="1"/>
  <c r="E60" i="9"/>
  <c r="M37" i="29"/>
  <c r="U13" i="29"/>
  <c r="U4" i="29"/>
  <c r="M9" i="29"/>
  <c r="U12" i="29"/>
  <c r="M6" i="29"/>
  <c r="U8" i="29"/>
  <c r="M7" i="29"/>
  <c r="U9" i="29"/>
  <c r="M8" i="29"/>
  <c r="U10" i="29"/>
  <c r="M10" i="29"/>
  <c r="U14" i="29"/>
  <c r="M17" i="29"/>
  <c r="H15" i="6"/>
  <c r="H14" i="6"/>
  <c r="U5" i="29"/>
  <c r="M4" i="29"/>
  <c r="K1" i="29"/>
  <c r="O1" i="32" s="1"/>
  <c r="O3" i="32" s="1"/>
  <c r="M28" i="29"/>
  <c r="U7" i="29"/>
  <c r="M16" i="29"/>
  <c r="U6" i="29"/>
  <c r="F57" i="9"/>
  <c r="E57" i="9" s="1"/>
  <c r="AH15" i="20"/>
  <c r="AF15" i="20" s="1"/>
  <c r="AF19" i="20"/>
  <c r="AA15" i="4"/>
  <c r="AA16" i="4" s="1"/>
  <c r="AA14" i="4"/>
  <c r="F15" i="20"/>
  <c r="D15" i="20" s="1"/>
  <c r="D19" i="20"/>
  <c r="E28" i="29" l="1"/>
  <c r="G5" i="39"/>
  <c r="O5" i="39" s="1"/>
  <c r="U5" i="39" s="1"/>
  <c r="H35" i="26"/>
  <c r="H59" i="26"/>
  <c r="H17" i="26"/>
  <c r="H44" i="26"/>
  <c r="H29" i="26"/>
  <c r="H53" i="26"/>
  <c r="H38" i="26"/>
  <c r="H62" i="26"/>
  <c r="H20" i="26"/>
  <c r="H23" i="26"/>
  <c r="H47" i="26"/>
  <c r="H32" i="26"/>
  <c r="H56" i="26"/>
  <c r="H14" i="26"/>
  <c r="H41" i="26"/>
  <c r="H65" i="26"/>
  <c r="H26" i="26"/>
  <c r="H50" i="26"/>
  <c r="E16" i="29"/>
  <c r="H4" i="26" s="1"/>
  <c r="E4" i="29"/>
  <c r="H6" i="26" s="1"/>
  <c r="V13" i="29"/>
  <c r="V4" i="29"/>
  <c r="V9" i="29"/>
  <c r="V14" i="29"/>
  <c r="V8" i="29"/>
  <c r="V12" i="29"/>
  <c r="V10" i="29"/>
  <c r="W6" i="29"/>
  <c r="W7" i="29"/>
  <c r="V7" i="29"/>
  <c r="H5" i="26"/>
  <c r="H11" i="26"/>
  <c r="H8" i="26"/>
  <c r="C4" i="29"/>
  <c r="C28" i="29"/>
  <c r="C16" i="29"/>
  <c r="M1" i="29"/>
  <c r="I64" i="37" s="1"/>
  <c r="I63" i="37" s="1"/>
  <c r="I2" i="37" s="1"/>
  <c r="V6" i="29"/>
  <c r="W12" i="29"/>
  <c r="W14" i="29"/>
  <c r="W11" i="29"/>
  <c r="W13" i="29"/>
  <c r="W10" i="29"/>
  <c r="W5" i="29"/>
  <c r="W15" i="29"/>
  <c r="W8" i="29"/>
  <c r="W4" i="29"/>
  <c r="V5" i="29"/>
  <c r="W9" i="29"/>
  <c r="S5" i="39" l="1"/>
  <c r="T5" i="39"/>
  <c r="Q5" i="39"/>
  <c r="V5" i="39" s="1"/>
  <c r="O21" i="32"/>
  <c r="E59" i="26" s="1"/>
  <c r="J59" i="26" s="1"/>
  <c r="K59" i="26" s="1"/>
  <c r="O13" i="32"/>
  <c r="E35" i="26" s="1"/>
  <c r="J35" i="26" s="1"/>
  <c r="K35" i="26" s="1"/>
  <c r="O14" i="32"/>
  <c r="O15" i="32"/>
  <c r="E41" i="26" s="1"/>
  <c r="J41" i="26" s="1"/>
  <c r="K41" i="26" s="1"/>
  <c r="O16" i="32"/>
  <c r="O17" i="32"/>
  <c r="O18" i="32"/>
  <c r="O10" i="32"/>
  <c r="E24" i="26" s="1"/>
  <c r="O19" i="32"/>
  <c r="O11" i="32"/>
  <c r="O9" i="32"/>
  <c r="O20" i="32"/>
  <c r="O12" i="32"/>
  <c r="H7" i="26"/>
  <c r="H10" i="26"/>
  <c r="H3" i="26"/>
  <c r="H16" i="26"/>
  <c r="H43" i="26"/>
  <c r="H28" i="26"/>
  <c r="H52" i="26"/>
  <c r="H37" i="26"/>
  <c r="H61" i="26"/>
  <c r="H19" i="26"/>
  <c r="H46" i="26"/>
  <c r="H31" i="26"/>
  <c r="H55" i="26"/>
  <c r="H13" i="26"/>
  <c r="H40" i="26"/>
  <c r="H64" i="26"/>
  <c r="H22" i="26"/>
  <c r="H25" i="26"/>
  <c r="H49" i="26"/>
  <c r="H34" i="26"/>
  <c r="H58" i="26"/>
  <c r="H27" i="26"/>
  <c r="H51" i="26"/>
  <c r="H36" i="26"/>
  <c r="H60" i="26"/>
  <c r="H18" i="26"/>
  <c r="H45" i="26"/>
  <c r="H30" i="26"/>
  <c r="H54" i="26"/>
  <c r="H12" i="26"/>
  <c r="H39" i="26"/>
  <c r="H63" i="26"/>
  <c r="H21" i="26"/>
  <c r="H24" i="26"/>
  <c r="H48" i="26"/>
  <c r="H33" i="26"/>
  <c r="H57" i="26"/>
  <c r="H15" i="26"/>
  <c r="H42" i="26"/>
  <c r="H9" i="26"/>
  <c r="G19" i="39"/>
  <c r="D52" i="37"/>
  <c r="O5" i="32"/>
  <c r="E62" i="26"/>
  <c r="J62" i="26" s="1"/>
  <c r="K62" i="26" s="1"/>
  <c r="O8" i="32"/>
  <c r="E18" i="26" s="1"/>
  <c r="E65" i="26"/>
  <c r="J65" i="26" s="1"/>
  <c r="K65" i="26" s="1"/>
  <c r="O7" i="32"/>
  <c r="E15" i="26" s="1"/>
  <c r="O4" i="32"/>
  <c r="O6" i="32"/>
  <c r="E12" i="26" s="1"/>
  <c r="G1" i="37"/>
  <c r="E28" i="26" l="1"/>
  <c r="J28" i="26" s="1"/>
  <c r="K28" i="26" s="1"/>
  <c r="E51" i="26"/>
  <c r="E49" i="26"/>
  <c r="J49" i="26" s="1"/>
  <c r="K49" i="26" s="1"/>
  <c r="E37" i="26"/>
  <c r="J37" i="26" s="1"/>
  <c r="K37" i="26" s="1"/>
  <c r="E21" i="26"/>
  <c r="J21" i="26" s="1"/>
  <c r="E47" i="26"/>
  <c r="J47" i="26" s="1"/>
  <c r="K47" i="26" s="1"/>
  <c r="E44" i="26"/>
  <c r="J44" i="26" s="1"/>
  <c r="K44" i="26" s="1"/>
  <c r="E32" i="26"/>
  <c r="J32" i="26" s="1"/>
  <c r="K32" i="26" s="1"/>
  <c r="E55" i="26"/>
  <c r="J55" i="26" s="1"/>
  <c r="K55" i="26" s="1"/>
  <c r="E33" i="26"/>
  <c r="J33" i="26" s="1"/>
  <c r="E52" i="26"/>
  <c r="J52" i="26" s="1"/>
  <c r="K52" i="26" s="1"/>
  <c r="E36" i="26"/>
  <c r="J36" i="26" s="1"/>
  <c r="J15" i="26"/>
  <c r="E46" i="26"/>
  <c r="J46" i="26" s="1"/>
  <c r="K46" i="26" s="1"/>
  <c r="E40" i="26"/>
  <c r="J40" i="26" s="1"/>
  <c r="K40" i="26" s="1"/>
  <c r="E31" i="26"/>
  <c r="J31" i="26" s="1"/>
  <c r="K31" i="26" s="1"/>
  <c r="E63" i="26"/>
  <c r="J63" i="26" s="1"/>
  <c r="K63" i="26" s="1"/>
  <c r="J12" i="26"/>
  <c r="E29" i="26"/>
  <c r="J29" i="26" s="1"/>
  <c r="K29" i="26" s="1"/>
  <c r="E39" i="26"/>
  <c r="J39" i="26" s="1"/>
  <c r="E57" i="26"/>
  <c r="J57" i="26" s="1"/>
  <c r="E56" i="26"/>
  <c r="J56" i="26" s="1"/>
  <c r="K56" i="26" s="1"/>
  <c r="E43" i="26"/>
  <c r="J43" i="26" s="1"/>
  <c r="K43" i="26" s="1"/>
  <c r="E58" i="26"/>
  <c r="J58" i="26" s="1"/>
  <c r="K58" i="26" s="1"/>
  <c r="E14" i="26"/>
  <c r="J14" i="26" s="1"/>
  <c r="K14" i="26" s="1"/>
  <c r="E60" i="26"/>
  <c r="J60" i="26" s="1"/>
  <c r="E23" i="26"/>
  <c r="J23" i="26" s="1"/>
  <c r="K23" i="26" s="1"/>
  <c r="E20" i="26"/>
  <c r="J20" i="26" s="1"/>
  <c r="K20" i="26" s="1"/>
  <c r="E22" i="26"/>
  <c r="J22" i="26" s="1"/>
  <c r="K22" i="26" s="1"/>
  <c r="J24" i="26"/>
  <c r="E13" i="26"/>
  <c r="J13" i="26" s="1"/>
  <c r="K13" i="26" s="1"/>
  <c r="E50" i="26"/>
  <c r="J50" i="26" s="1"/>
  <c r="K50" i="26" s="1"/>
  <c r="E45" i="26"/>
  <c r="J45" i="26" s="1"/>
  <c r="J18" i="26"/>
  <c r="J51" i="26"/>
  <c r="E34" i="26"/>
  <c r="J34" i="26" s="1"/>
  <c r="K34" i="26" s="1"/>
  <c r="E38" i="26"/>
  <c r="J38" i="26" s="1"/>
  <c r="K38" i="26" s="1"/>
  <c r="E26" i="26"/>
  <c r="J26" i="26" s="1"/>
  <c r="K26" i="26" s="1"/>
  <c r="E16" i="26"/>
  <c r="J16" i="26" s="1"/>
  <c r="K16" i="26" s="1"/>
  <c r="E61" i="26"/>
  <c r="J61" i="26" s="1"/>
  <c r="K61" i="26" s="1"/>
  <c r="E17" i="26"/>
  <c r="J17" i="26" s="1"/>
  <c r="K17" i="26" s="1"/>
  <c r="E54" i="26"/>
  <c r="J54" i="26" s="1"/>
  <c r="E64" i="26"/>
  <c r="J64" i="26" s="1"/>
  <c r="K64" i="26" s="1"/>
  <c r="E27" i="26"/>
  <c r="J27" i="26" s="1"/>
  <c r="N38" i="9" s="1"/>
  <c r="E30" i="26"/>
  <c r="J30" i="26" s="1"/>
  <c r="E42" i="26"/>
  <c r="J42" i="26" s="1"/>
  <c r="S38" i="9" s="1"/>
  <c r="E53" i="26"/>
  <c r="J53" i="26" s="1"/>
  <c r="K53" i="26" s="1"/>
  <c r="E25" i="26"/>
  <c r="J25" i="26" s="1"/>
  <c r="K25" i="26" s="1"/>
  <c r="E48" i="26"/>
  <c r="J48" i="26" s="1"/>
  <c r="E19" i="26"/>
  <c r="J19" i="26" s="1"/>
  <c r="K19" i="26" s="1"/>
  <c r="E3" i="26"/>
  <c r="E5" i="26"/>
  <c r="J5" i="26" s="1"/>
  <c r="K5" i="26" s="1"/>
  <c r="E4" i="26"/>
  <c r="J4" i="26" s="1"/>
  <c r="K4" i="26" s="1"/>
  <c r="E11" i="26"/>
  <c r="J11" i="26" s="1"/>
  <c r="K11" i="26" s="1"/>
  <c r="E10" i="26"/>
  <c r="J10" i="26" s="1"/>
  <c r="K10" i="26" s="1"/>
  <c r="E9" i="26"/>
  <c r="J9" i="26" s="1"/>
  <c r="H38" i="9" s="1"/>
  <c r="E8" i="26"/>
  <c r="J8" i="26" s="1"/>
  <c r="K8" i="26" s="1"/>
  <c r="E7" i="26"/>
  <c r="J7" i="26" s="1"/>
  <c r="K7" i="26" s="1"/>
  <c r="E6" i="26"/>
  <c r="J6" i="26" s="1"/>
  <c r="O38" i="9" l="1"/>
  <c r="X38" i="9"/>
  <c r="J38" i="9"/>
  <c r="R38" i="9"/>
  <c r="V38" i="9"/>
  <c r="W38" i="9"/>
  <c r="K38" i="9"/>
  <c r="I38" i="9"/>
  <c r="U38" i="9"/>
  <c r="T38" i="9"/>
  <c r="T37" i="9"/>
  <c r="S37" i="9"/>
  <c r="M38" i="9"/>
  <c r="O37" i="9"/>
  <c r="K57" i="26"/>
  <c r="X37" i="9"/>
  <c r="K15" i="26"/>
  <c r="J37" i="9"/>
  <c r="L38" i="9"/>
  <c r="R37" i="9"/>
  <c r="Q37" i="9"/>
  <c r="Q38" i="9"/>
  <c r="G37" i="9"/>
  <c r="K51" i="26"/>
  <c r="V37" i="9"/>
  <c r="K54" i="26"/>
  <c r="W37" i="9"/>
  <c r="K18" i="26"/>
  <c r="K37" i="9"/>
  <c r="K12" i="26"/>
  <c r="I37" i="9"/>
  <c r="P38" i="9"/>
  <c r="U37" i="9"/>
  <c r="N37" i="9"/>
  <c r="N39" i="9"/>
  <c r="P39" i="9"/>
  <c r="K24" i="26"/>
  <c r="M37" i="9"/>
  <c r="K21" i="26"/>
  <c r="L37" i="9"/>
  <c r="K33" i="26"/>
  <c r="P37" i="9"/>
  <c r="K36" i="26"/>
  <c r="O39" i="9"/>
  <c r="K42" i="26"/>
  <c r="Q40" i="9"/>
  <c r="K45" i="26"/>
  <c r="R39" i="9"/>
  <c r="K30" i="26"/>
  <c r="M40" i="9"/>
  <c r="K27" i="26"/>
  <c r="L40" i="9"/>
  <c r="K48" i="26"/>
  <c r="S39" i="9"/>
  <c r="S40" i="9"/>
  <c r="T39" i="9"/>
  <c r="T36" i="9" s="1"/>
  <c r="T4" i="9" s="1"/>
  <c r="Y39" i="9"/>
  <c r="Y102" i="9" s="1"/>
  <c r="K39" i="26"/>
  <c r="R40" i="9"/>
  <c r="O40" i="9"/>
  <c r="X39" i="9"/>
  <c r="K60" i="26"/>
  <c r="L39" i="9"/>
  <c r="M39" i="9"/>
  <c r="I39" i="9"/>
  <c r="J39" i="9"/>
  <c r="W39" i="9"/>
  <c r="P40" i="9"/>
  <c r="U39" i="9"/>
  <c r="K39" i="9"/>
  <c r="Q39" i="9"/>
  <c r="N40" i="9"/>
  <c r="Z39" i="9"/>
  <c r="Z127" i="9" s="1"/>
  <c r="G39" i="9"/>
  <c r="V39" i="9"/>
  <c r="H39" i="9"/>
  <c r="H37" i="9"/>
  <c r="K9" i="26"/>
  <c r="K6" i="26"/>
  <c r="G38" i="9"/>
  <c r="J3" i="26"/>
  <c r="E1" i="26"/>
  <c r="F38" i="9" l="1"/>
  <c r="J1" i="26"/>
  <c r="W102" i="9"/>
  <c r="U103" i="9"/>
  <c r="X125" i="9"/>
  <c r="P103" i="9"/>
  <c r="I104" i="9"/>
  <c r="J125" i="9"/>
  <c r="K109" i="9"/>
  <c r="V102" i="9"/>
  <c r="O129" i="9"/>
  <c r="S107" i="9"/>
  <c r="S123" i="9"/>
  <c r="S129" i="9"/>
  <c r="S126" i="9"/>
  <c r="S36" i="9"/>
  <c r="S4" i="9" s="1"/>
  <c r="S104" i="9"/>
  <c r="S109" i="9"/>
  <c r="I128" i="9"/>
  <c r="S125" i="9"/>
  <c r="S106" i="9"/>
  <c r="S122" i="9"/>
  <c r="S124" i="9"/>
  <c r="I105" i="9"/>
  <c r="Y105" i="9"/>
  <c r="Y126" i="9"/>
  <c r="Q108" i="9"/>
  <c r="L107" i="9"/>
  <c r="Y36" i="9"/>
  <c r="Y4" i="9" s="1"/>
  <c r="N108" i="9"/>
  <c r="N102" i="9"/>
  <c r="N122" i="9"/>
  <c r="S105" i="9"/>
  <c r="S128" i="9"/>
  <c r="S108" i="9"/>
  <c r="Y125" i="9"/>
  <c r="I122" i="9"/>
  <c r="M123" i="9"/>
  <c r="O102" i="9"/>
  <c r="O122" i="9"/>
  <c r="Y107" i="9"/>
  <c r="I103" i="9"/>
  <c r="Y128" i="9"/>
  <c r="I107" i="9"/>
  <c r="S102" i="9"/>
  <c r="S127" i="9"/>
  <c r="Y108" i="9"/>
  <c r="Y104" i="9"/>
  <c r="I108" i="9"/>
  <c r="S103" i="9"/>
  <c r="Y106" i="9"/>
  <c r="R124" i="9"/>
  <c r="I124" i="9"/>
  <c r="Y129" i="9"/>
  <c r="I126" i="9"/>
  <c r="Y103" i="9"/>
  <c r="I129" i="9"/>
  <c r="T122" i="9"/>
  <c r="I36" i="9"/>
  <c r="I4" i="9" s="1"/>
  <c r="I127" i="9"/>
  <c r="Y123" i="9"/>
  <c r="F39" i="9"/>
  <c r="E39" i="9" s="1"/>
  <c r="F9" i="11" s="1"/>
  <c r="F38" i="11" s="1"/>
  <c r="I123" i="9"/>
  <c r="Y124" i="9"/>
  <c r="T128" i="9"/>
  <c r="T108" i="9"/>
  <c r="T127" i="9"/>
  <c r="T124" i="9"/>
  <c r="Z109" i="9"/>
  <c r="T123" i="9"/>
  <c r="T129" i="9"/>
  <c r="Z102" i="9"/>
  <c r="T125" i="9"/>
  <c r="T102" i="9"/>
  <c r="T105" i="9"/>
  <c r="J106" i="9"/>
  <c r="Z128" i="9"/>
  <c r="Z125" i="9"/>
  <c r="Z122" i="9"/>
  <c r="T106" i="9"/>
  <c r="Z129" i="9"/>
  <c r="T103" i="9"/>
  <c r="T107" i="9"/>
  <c r="Z104" i="9"/>
  <c r="T109" i="9"/>
  <c r="Z108" i="9"/>
  <c r="T126" i="9"/>
  <c r="Z103" i="9"/>
  <c r="Z106" i="9"/>
  <c r="I125" i="9"/>
  <c r="I106" i="9"/>
  <c r="I109" i="9"/>
  <c r="Z105" i="9"/>
  <c r="Y122" i="9"/>
  <c r="Y127" i="9"/>
  <c r="I102" i="9"/>
  <c r="Z126" i="9"/>
  <c r="Z36" i="9"/>
  <c r="Z4" i="9" s="1"/>
  <c r="Y109" i="9"/>
  <c r="Z107" i="9"/>
  <c r="T104" i="9"/>
  <c r="W104" i="9"/>
  <c r="R108" i="9"/>
  <c r="J102" i="9"/>
  <c r="J104" i="9"/>
  <c r="R36" i="9"/>
  <c r="R4" i="9" s="1"/>
  <c r="R127" i="9"/>
  <c r="J103" i="9"/>
  <c r="J126" i="9"/>
  <c r="J124" i="9"/>
  <c r="J127" i="9"/>
  <c r="J36" i="9"/>
  <c r="J4" i="9" s="1"/>
  <c r="J108" i="9"/>
  <c r="J123" i="9"/>
  <c r="R123" i="9"/>
  <c r="J122" i="9"/>
  <c r="J129" i="9"/>
  <c r="J128" i="9"/>
  <c r="J105" i="9"/>
  <c r="J109" i="9"/>
  <c r="J107" i="9"/>
  <c r="R103" i="9"/>
  <c r="W123" i="9"/>
  <c r="Z124" i="9"/>
  <c r="Z123" i="9"/>
  <c r="M106" i="9"/>
  <c r="X103" i="9"/>
  <c r="O103" i="9"/>
  <c r="U122" i="9"/>
  <c r="N127" i="9"/>
  <c r="X123" i="9"/>
  <c r="X126" i="9"/>
  <c r="X102" i="9"/>
  <c r="O128" i="9"/>
  <c r="R126" i="9"/>
  <c r="O105" i="9"/>
  <c r="R122" i="9"/>
  <c r="W106" i="9"/>
  <c r="P106" i="9"/>
  <c r="W128" i="9"/>
  <c r="P128" i="9"/>
  <c r="L104" i="9"/>
  <c r="W105" i="9"/>
  <c r="O36" i="9"/>
  <c r="O4" i="9" s="1"/>
  <c r="R109" i="9"/>
  <c r="R106" i="9"/>
  <c r="W109" i="9"/>
  <c r="X108" i="9"/>
  <c r="P108" i="9"/>
  <c r="R129" i="9"/>
  <c r="R102" i="9"/>
  <c r="W124" i="9"/>
  <c r="X129" i="9"/>
  <c r="R125" i="9"/>
  <c r="R104" i="9"/>
  <c r="W129" i="9"/>
  <c r="W126" i="9"/>
  <c r="P105" i="9"/>
  <c r="O126" i="9"/>
  <c r="R128" i="9"/>
  <c r="R107" i="9"/>
  <c r="W107" i="9"/>
  <c r="W125" i="9"/>
  <c r="M109" i="9"/>
  <c r="P126" i="9"/>
  <c r="R105" i="9"/>
  <c r="W36" i="9"/>
  <c r="W4" i="9" s="1"/>
  <c r="W127" i="9"/>
  <c r="P125" i="9"/>
  <c r="V107" i="9"/>
  <c r="W103" i="9"/>
  <c r="W122" i="9"/>
  <c r="P123" i="9"/>
  <c r="W108" i="9"/>
  <c r="U123" i="9"/>
  <c r="P124" i="9"/>
  <c r="V127" i="9"/>
  <c r="N109" i="9"/>
  <c r="U125" i="9"/>
  <c r="P129" i="9"/>
  <c r="V103" i="9"/>
  <c r="U128" i="9"/>
  <c r="U108" i="9"/>
  <c r="U107" i="9"/>
  <c r="X105" i="9"/>
  <c r="V129" i="9"/>
  <c r="L124" i="9"/>
  <c r="U127" i="9"/>
  <c r="X36" i="9"/>
  <c r="X4" i="9" s="1"/>
  <c r="X124" i="9"/>
  <c r="U36" i="9"/>
  <c r="U4" i="9" s="1"/>
  <c r="U126" i="9"/>
  <c r="X122" i="9"/>
  <c r="X109" i="9"/>
  <c r="P36" i="9"/>
  <c r="P4" i="9" s="1"/>
  <c r="P122" i="9"/>
  <c r="O109" i="9"/>
  <c r="U106" i="9"/>
  <c r="U129" i="9"/>
  <c r="X107" i="9"/>
  <c r="X128" i="9"/>
  <c r="P109" i="9"/>
  <c r="P107" i="9"/>
  <c r="O124" i="9"/>
  <c r="L103" i="9"/>
  <c r="U124" i="9"/>
  <c r="L129" i="9"/>
  <c r="U104" i="9"/>
  <c r="U109" i="9"/>
  <c r="X127" i="9"/>
  <c r="X104" i="9"/>
  <c r="P127" i="9"/>
  <c r="P104" i="9"/>
  <c r="O104" i="9"/>
  <c r="L102" i="9"/>
  <c r="U105" i="9"/>
  <c r="U102" i="9"/>
  <c r="X106" i="9"/>
  <c r="P102" i="9"/>
  <c r="O127" i="9"/>
  <c r="L109" i="9"/>
  <c r="L36" i="9"/>
  <c r="L4" i="9" s="1"/>
  <c r="L106" i="9"/>
  <c r="L122" i="9"/>
  <c r="O106" i="9"/>
  <c r="L127" i="9"/>
  <c r="L105" i="9"/>
  <c r="L125" i="9"/>
  <c r="L128" i="9"/>
  <c r="L108" i="9"/>
  <c r="L126" i="9"/>
  <c r="V125" i="9"/>
  <c r="O108" i="9"/>
  <c r="L123" i="9"/>
  <c r="N105" i="9"/>
  <c r="N36" i="9"/>
  <c r="N4" i="9" s="1"/>
  <c r="M129" i="9"/>
  <c r="M124" i="9"/>
  <c r="M103" i="9"/>
  <c r="N125" i="9"/>
  <c r="N124" i="9"/>
  <c r="M104" i="9"/>
  <c r="M108" i="9"/>
  <c r="N107" i="9"/>
  <c r="M102" i="9"/>
  <c r="M128" i="9"/>
  <c r="N128" i="9"/>
  <c r="M107" i="9"/>
  <c r="M36" i="9"/>
  <c r="M4" i="9" s="1"/>
  <c r="K125" i="9"/>
  <c r="N129" i="9"/>
  <c r="N126" i="9"/>
  <c r="M122" i="9"/>
  <c r="M127" i="9"/>
  <c r="N106" i="9"/>
  <c r="N104" i="9"/>
  <c r="M126" i="9"/>
  <c r="M125" i="9"/>
  <c r="O107" i="9"/>
  <c r="O125" i="9"/>
  <c r="N103" i="9"/>
  <c r="N123" i="9"/>
  <c r="M105" i="9"/>
  <c r="V122" i="9"/>
  <c r="O123" i="9"/>
  <c r="V105" i="9"/>
  <c r="V106" i="9"/>
  <c r="V124" i="9"/>
  <c r="V109" i="9"/>
  <c r="V108" i="9"/>
  <c r="V126" i="9"/>
  <c r="K128" i="9"/>
  <c r="V123" i="9"/>
  <c r="Q105" i="9"/>
  <c r="K103" i="9"/>
  <c r="Q36" i="9"/>
  <c r="Q4" i="9" s="1"/>
  <c r="V128" i="9"/>
  <c r="K127" i="9"/>
  <c r="Q122" i="9"/>
  <c r="Q109" i="9"/>
  <c r="V36" i="9"/>
  <c r="V4" i="9" s="1"/>
  <c r="V104" i="9"/>
  <c r="Q102" i="9"/>
  <c r="K124" i="9"/>
  <c r="Q123" i="9"/>
  <c r="K122" i="9"/>
  <c r="Q126" i="9"/>
  <c r="Q107" i="9"/>
  <c r="K102" i="9"/>
  <c r="K107" i="9"/>
  <c r="Q125" i="9"/>
  <c r="Q128" i="9"/>
  <c r="K36" i="9"/>
  <c r="K4" i="9" s="1"/>
  <c r="K129" i="9"/>
  <c r="K123" i="9"/>
  <c r="Q106" i="9"/>
  <c r="Q103" i="9"/>
  <c r="Q124" i="9"/>
  <c r="K105" i="9"/>
  <c r="K126" i="9"/>
  <c r="Q129" i="9"/>
  <c r="Q127" i="9"/>
  <c r="K104" i="9"/>
  <c r="K106" i="9"/>
  <c r="E40" i="9"/>
  <c r="G9" i="11" s="1"/>
  <c r="G38" i="11" s="1"/>
  <c r="Q104" i="9"/>
  <c r="K108" i="9"/>
  <c r="K3" i="26"/>
  <c r="K1" i="26" s="1"/>
  <c r="F37" i="9"/>
  <c r="G125" i="9"/>
  <c r="G36" i="9"/>
  <c r="G4" i="9" s="1"/>
  <c r="E38" i="9"/>
  <c r="E9" i="11" s="1"/>
  <c r="E38" i="11" s="1"/>
  <c r="G101" i="9"/>
  <c r="G104" i="9"/>
  <c r="G129" i="9"/>
  <c r="G109" i="9"/>
  <c r="G121" i="9"/>
  <c r="G105" i="9"/>
  <c r="G103" i="9"/>
  <c r="G123" i="9"/>
  <c r="G122" i="9"/>
  <c r="G124" i="9"/>
  <c r="G107" i="9"/>
  <c r="G126" i="9"/>
  <c r="G127" i="9"/>
  <c r="G128" i="9"/>
  <c r="G106" i="9"/>
  <c r="G108" i="9"/>
  <c r="G102" i="9"/>
  <c r="H123" i="9"/>
  <c r="H108" i="9"/>
  <c r="H129" i="9"/>
  <c r="H36" i="9"/>
  <c r="H4" i="9" s="1"/>
  <c r="H102" i="9"/>
  <c r="H127" i="9"/>
  <c r="H104" i="9"/>
  <c r="H121" i="9"/>
  <c r="H105" i="9"/>
  <c r="H106" i="9"/>
  <c r="H103" i="9"/>
  <c r="H128" i="9"/>
  <c r="H101" i="9"/>
  <c r="H125" i="9"/>
  <c r="H107" i="9"/>
  <c r="H122" i="9"/>
  <c r="H109" i="9"/>
  <c r="H126" i="9"/>
  <c r="H124" i="9"/>
  <c r="AT6" i="20" l="1"/>
  <c r="AT5" i="20" s="1"/>
  <c r="R6" i="20"/>
  <c r="R5" i="20" s="1"/>
  <c r="AT10" i="20"/>
  <c r="AT9" i="20" s="1"/>
  <c r="R10" i="20"/>
  <c r="R9" i="20" s="1"/>
  <c r="S99" i="9"/>
  <c r="S77" i="9" s="1"/>
  <c r="X10" i="20"/>
  <c r="X9" i="20" s="1"/>
  <c r="H6" i="20"/>
  <c r="H5" i="20" s="1"/>
  <c r="AJ6" i="20"/>
  <c r="AJ5" i="20" s="1"/>
  <c r="S6" i="20"/>
  <c r="S5" i="20" s="1"/>
  <c r="AU6" i="20"/>
  <c r="AU5" i="20" s="1"/>
  <c r="X6" i="20"/>
  <c r="X5" i="20" s="1"/>
  <c r="AU10" i="20"/>
  <c r="AU9" i="20" s="1"/>
  <c r="T99" i="9"/>
  <c r="T77" i="9" s="1"/>
  <c r="S10" i="20"/>
  <c r="S9" i="20" s="1"/>
  <c r="AJ10" i="20"/>
  <c r="AJ9" i="20" s="1"/>
  <c r="Y10" i="20"/>
  <c r="Y9" i="20" s="1"/>
  <c r="AZ10" i="20"/>
  <c r="AZ9" i="20" s="1"/>
  <c r="H10" i="20"/>
  <c r="H9" i="20" s="1"/>
  <c r="I99" i="9"/>
  <c r="I77" i="9" s="1"/>
  <c r="BA10" i="20"/>
  <c r="BA9" i="20" s="1"/>
  <c r="I6" i="20"/>
  <c r="I5" i="20" s="1"/>
  <c r="AZ6" i="20"/>
  <c r="AZ5" i="20" s="1"/>
  <c r="Y99" i="9"/>
  <c r="Y77" i="9" s="1"/>
  <c r="Y6" i="20"/>
  <c r="Y5" i="20" s="1"/>
  <c r="AK6" i="20"/>
  <c r="AK5" i="20" s="1"/>
  <c r="AK10" i="20"/>
  <c r="AK9" i="20" s="1"/>
  <c r="AS6" i="20"/>
  <c r="AS5" i="20" s="1"/>
  <c r="W99" i="9"/>
  <c r="W77" i="9" s="1"/>
  <c r="Q10" i="20"/>
  <c r="Q9" i="20" s="1"/>
  <c r="R99" i="9"/>
  <c r="R77" i="9" s="1"/>
  <c r="Q6" i="20"/>
  <c r="Q5" i="20" s="1"/>
  <c r="J99" i="9"/>
  <c r="J77" i="9" s="1"/>
  <c r="AX10" i="20"/>
  <c r="AX9" i="20" s="1"/>
  <c r="AS10" i="20"/>
  <c r="AS9" i="20" s="1"/>
  <c r="I10" i="20"/>
  <c r="I9" i="20" s="1"/>
  <c r="Z99" i="9"/>
  <c r="Z77" i="9" s="1"/>
  <c r="BA6" i="20"/>
  <c r="BA5" i="20" s="1"/>
  <c r="V6" i="20"/>
  <c r="V5" i="20" s="1"/>
  <c r="V10" i="20"/>
  <c r="V9" i="20" s="1"/>
  <c r="AX6" i="20"/>
  <c r="AX5" i="20" s="1"/>
  <c r="O99" i="9"/>
  <c r="O77" i="9" s="1"/>
  <c r="AQ6" i="20"/>
  <c r="AQ5" i="20" s="1"/>
  <c r="AM10" i="20"/>
  <c r="AM9" i="20" s="1"/>
  <c r="P99" i="9"/>
  <c r="P77" i="9" s="1"/>
  <c r="X99" i="9"/>
  <c r="X77" i="9" s="1"/>
  <c r="AP6" i="20"/>
  <c r="AP5" i="20" s="1"/>
  <c r="K10" i="20"/>
  <c r="K9" i="20" s="1"/>
  <c r="O6" i="20"/>
  <c r="O5" i="20" s="1"/>
  <c r="U99" i="9"/>
  <c r="U77" i="9" s="1"/>
  <c r="M10" i="20"/>
  <c r="M9" i="20" s="1"/>
  <c r="AN6" i="20"/>
  <c r="AN5" i="20" s="1"/>
  <c r="O10" i="20"/>
  <c r="O9" i="20" s="1"/>
  <c r="N10" i="20"/>
  <c r="N9" i="20" s="1"/>
  <c r="W6" i="20"/>
  <c r="W5" i="20" s="1"/>
  <c r="AV6" i="20"/>
  <c r="AV5" i="20" s="1"/>
  <c r="P10" i="20"/>
  <c r="P9" i="20" s="1"/>
  <c r="AN10" i="20"/>
  <c r="AN9" i="20" s="1"/>
  <c r="AY10" i="20"/>
  <c r="AY9" i="20" s="1"/>
  <c r="AY6" i="20"/>
  <c r="AY5" i="20" s="1"/>
  <c r="L6" i="20"/>
  <c r="L5" i="20" s="1"/>
  <c r="N6" i="20"/>
  <c r="N5" i="20" s="1"/>
  <c r="AV10" i="20"/>
  <c r="AV9" i="20" s="1"/>
  <c r="T6" i="20"/>
  <c r="T5" i="20" s="1"/>
  <c r="W10" i="20"/>
  <c r="W9" i="20" s="1"/>
  <c r="L99" i="9"/>
  <c r="L77" i="9" s="1"/>
  <c r="T10" i="20"/>
  <c r="T9" i="20" s="1"/>
  <c r="AP10" i="20"/>
  <c r="AP9" i="20" s="1"/>
  <c r="AQ10" i="20"/>
  <c r="AQ9" i="20" s="1"/>
  <c r="AO10" i="20"/>
  <c r="AO9" i="20" s="1"/>
  <c r="K6" i="20"/>
  <c r="K5" i="20" s="1"/>
  <c r="AM6" i="20"/>
  <c r="AM5" i="20" s="1"/>
  <c r="M99" i="9"/>
  <c r="M77" i="9" s="1"/>
  <c r="N99" i="9"/>
  <c r="N77" i="9" s="1"/>
  <c r="M6" i="20"/>
  <c r="M5" i="20" s="1"/>
  <c r="AO6" i="20"/>
  <c r="AO5" i="20" s="1"/>
  <c r="U6" i="20"/>
  <c r="U5" i="20" s="1"/>
  <c r="L10" i="20"/>
  <c r="L9" i="20" s="1"/>
  <c r="AR10" i="20"/>
  <c r="AR9" i="20" s="1"/>
  <c r="AW10" i="20"/>
  <c r="AW9" i="20" s="1"/>
  <c r="U10" i="20"/>
  <c r="U9" i="20" s="1"/>
  <c r="AL10" i="20"/>
  <c r="AL9" i="20" s="1"/>
  <c r="AW6" i="20"/>
  <c r="AW5" i="20" s="1"/>
  <c r="J10" i="20"/>
  <c r="J9" i="20" s="1"/>
  <c r="V99" i="9"/>
  <c r="V77" i="9" s="1"/>
  <c r="K99" i="9"/>
  <c r="K77" i="9" s="1"/>
  <c r="AL6" i="20"/>
  <c r="AL5" i="20" s="1"/>
  <c r="P6" i="20"/>
  <c r="P5" i="20" s="1"/>
  <c r="J6" i="20"/>
  <c r="J5" i="20" s="1"/>
  <c r="AR6" i="20"/>
  <c r="AR5" i="20" s="1"/>
  <c r="Q99" i="9"/>
  <c r="Q77" i="9" s="1"/>
  <c r="G6" i="20"/>
  <c r="G5" i="20" s="1"/>
  <c r="AH6" i="20"/>
  <c r="AH5" i="20" s="1"/>
  <c r="F6" i="20"/>
  <c r="F5" i="20" s="1"/>
  <c r="AI6" i="20"/>
  <c r="AI5" i="20" s="1"/>
  <c r="AH10" i="20"/>
  <c r="AH9" i="20" s="1"/>
  <c r="F10" i="20"/>
  <c r="F9" i="20" s="1"/>
  <c r="G99" i="9"/>
  <c r="G77" i="9" s="1"/>
  <c r="G10" i="20"/>
  <c r="G9" i="20" s="1"/>
  <c r="AI10" i="20"/>
  <c r="AI9" i="20" s="1"/>
  <c r="H99" i="9"/>
  <c r="H77" i="9" s="1"/>
  <c r="F127" i="9"/>
  <c r="E127" i="9" s="1"/>
  <c r="F126" i="9"/>
  <c r="E126" i="9" s="1"/>
  <c r="F108" i="9"/>
  <c r="E108" i="9" s="1"/>
  <c r="F109" i="9"/>
  <c r="E109" i="9" s="1"/>
  <c r="F102" i="9"/>
  <c r="E102" i="9" s="1"/>
  <c r="F107" i="9"/>
  <c r="E107" i="9" s="1"/>
  <c r="F104" i="9"/>
  <c r="E104" i="9" s="1"/>
  <c r="F122" i="9"/>
  <c r="E122" i="9" s="1"/>
  <c r="F101" i="9"/>
  <c r="F124" i="9"/>
  <c r="E124" i="9" s="1"/>
  <c r="F123" i="9"/>
  <c r="E123" i="9" s="1"/>
  <c r="F105" i="9"/>
  <c r="E105" i="9" s="1"/>
  <c r="F129" i="9"/>
  <c r="E129" i="9" s="1"/>
  <c r="F128" i="9"/>
  <c r="E128" i="9" s="1"/>
  <c r="F103" i="9"/>
  <c r="E103" i="9" s="1"/>
  <c r="F121" i="9"/>
  <c r="E121" i="9" s="1"/>
  <c r="F125" i="9"/>
  <c r="E125" i="9" s="1"/>
  <c r="F36" i="9"/>
  <c r="F4" i="9" s="1"/>
  <c r="F106" i="9"/>
  <c r="E106" i="9" s="1"/>
  <c r="E37" i="9"/>
  <c r="M10" i="11" l="1"/>
  <c r="M15" i="11" s="1"/>
  <c r="L10" i="11"/>
  <c r="J12" i="6" s="1"/>
  <c r="G10" i="11"/>
  <c r="G39" i="11" s="1"/>
  <c r="G44" i="11" s="1"/>
  <c r="H10" i="11"/>
  <c r="J8" i="6" s="1"/>
  <c r="K8" i="6" s="1"/>
  <c r="J10" i="11"/>
  <c r="J15" i="11" s="1"/>
  <c r="E10" i="20"/>
  <c r="AG10" i="20"/>
  <c r="F99" i="9"/>
  <c r="F77" i="9" s="1"/>
  <c r="E6" i="20"/>
  <c r="K10" i="11"/>
  <c r="AG6" i="20"/>
  <c r="F10" i="11"/>
  <c r="D9" i="11"/>
  <c r="G4" i="39"/>
  <c r="E36" i="9"/>
  <c r="G10" i="39"/>
  <c r="I10" i="11"/>
  <c r="M39" i="11" l="1"/>
  <c r="M44" i="11" s="1"/>
  <c r="J13" i="6"/>
  <c r="K13" i="6" s="1"/>
  <c r="L15" i="11"/>
  <c r="J39" i="11"/>
  <c r="J44" i="11" s="1"/>
  <c r="L39" i="11"/>
  <c r="L44" i="11" s="1"/>
  <c r="J10" i="6"/>
  <c r="K10" i="6" s="1"/>
  <c r="J7" i="6"/>
  <c r="K7" i="6" s="1"/>
  <c r="H39" i="11"/>
  <c r="H44" i="11" s="1"/>
  <c r="AG5" i="20"/>
  <c r="AF5" i="20" s="1"/>
  <c r="AF6" i="20"/>
  <c r="J11" i="6"/>
  <c r="K15" i="11"/>
  <c r="K39" i="11"/>
  <c r="K44" i="11" s="1"/>
  <c r="D6" i="20"/>
  <c r="E5" i="20"/>
  <c r="D5" i="20" s="1"/>
  <c r="D38" i="11"/>
  <c r="C38" i="11" s="1"/>
  <c r="J4" i="6"/>
  <c r="C9" i="11"/>
  <c r="S4" i="39"/>
  <c r="O4" i="39"/>
  <c r="U4" i="39" s="1"/>
  <c r="Q4" i="39"/>
  <c r="V4" i="39" s="1"/>
  <c r="T4" i="39"/>
  <c r="I39" i="11"/>
  <c r="I44" i="11" s="1"/>
  <c r="J9" i="6"/>
  <c r="K9" i="6" s="1"/>
  <c r="AG9" i="20"/>
  <c r="AF9" i="20" s="1"/>
  <c r="AF10" i="20"/>
  <c r="E4" i="9"/>
  <c r="C3" i="39"/>
  <c r="F39" i="11"/>
  <c r="F44" i="11" s="1"/>
  <c r="J6" i="6"/>
  <c r="K6" i="6" s="1"/>
  <c r="E9" i="20"/>
  <c r="D9" i="20" s="1"/>
  <c r="D10" i="20"/>
  <c r="Q10" i="39"/>
  <c r="V10" i="39" s="1"/>
  <c r="O10" i="39"/>
  <c r="U10" i="39" s="1"/>
  <c r="T10" i="39"/>
  <c r="S10" i="39"/>
  <c r="K12" i="6"/>
  <c r="V12" i="6"/>
  <c r="E10" i="11"/>
  <c r="G9" i="39"/>
  <c r="E99" i="9"/>
  <c r="V13" i="6" l="1"/>
  <c r="W13" i="6" s="1"/>
  <c r="V10" i="6"/>
  <c r="F10" i="2" s="1"/>
  <c r="G10" i="2" s="1"/>
  <c r="J10" i="2" s="1"/>
  <c r="K4" i="6"/>
  <c r="E77" i="9"/>
  <c r="C9" i="39"/>
  <c r="E39" i="11"/>
  <c r="C10" i="11"/>
  <c r="J5" i="6"/>
  <c r="K5" i="6" s="1"/>
  <c r="Q164" i="9"/>
  <c r="Z156" i="9"/>
  <c r="W164" i="9"/>
  <c r="Z164" i="9"/>
  <c r="V162" i="9"/>
  <c r="S165" i="9"/>
  <c r="Y165" i="9"/>
  <c r="Y163" i="9"/>
  <c r="Q165" i="9"/>
  <c r="I161" i="9"/>
  <c r="X154" i="9"/>
  <c r="Z165" i="9"/>
  <c r="L165" i="9"/>
  <c r="H154" i="9"/>
  <c r="H166" i="9"/>
  <c r="F154" i="9"/>
  <c r="G165" i="9"/>
  <c r="R156" i="9"/>
  <c r="W151" i="9"/>
  <c r="K155" i="9"/>
  <c r="H165" i="9"/>
  <c r="P153" i="9"/>
  <c r="F162" i="9"/>
  <c r="U154" i="9"/>
  <c r="I152" i="9"/>
  <c r="O152" i="9"/>
  <c r="M153" i="9"/>
  <c r="S156" i="9"/>
  <c r="Y166" i="9"/>
  <c r="N151" i="9"/>
  <c r="W156" i="9"/>
  <c r="X165" i="9"/>
  <c r="T154" i="9"/>
  <c r="M161" i="9"/>
  <c r="N164" i="9"/>
  <c r="R152" i="9"/>
  <c r="H161" i="9"/>
  <c r="G163" i="9"/>
  <c r="M152" i="9"/>
  <c r="G152" i="9"/>
  <c r="U162" i="9"/>
  <c r="S153" i="9"/>
  <c r="W161" i="9"/>
  <c r="Y162" i="9"/>
  <c r="K164" i="9"/>
  <c r="P151" i="9"/>
  <c r="P162" i="9"/>
  <c r="I164" i="9"/>
  <c r="V156" i="9"/>
  <c r="J151" i="9"/>
  <c r="N166" i="9"/>
  <c r="Q153" i="9"/>
  <c r="U165" i="9"/>
  <c r="Z166" i="9"/>
  <c r="T151" i="9"/>
  <c r="T165" i="9"/>
  <c r="P165" i="9"/>
  <c r="G156" i="9"/>
  <c r="G151" i="9"/>
  <c r="H163" i="9"/>
  <c r="O164" i="9"/>
  <c r="Z153" i="9"/>
  <c r="W165" i="9"/>
  <c r="Y161" i="9"/>
  <c r="U161" i="9"/>
  <c r="T163" i="9"/>
  <c r="Z154" i="9"/>
  <c r="I155" i="9"/>
  <c r="L153" i="9"/>
  <c r="V154" i="9"/>
  <c r="S163" i="9"/>
  <c r="S164" i="9"/>
  <c r="K162" i="9"/>
  <c r="P156" i="9"/>
  <c r="M155" i="9"/>
  <c r="Z152" i="9"/>
  <c r="R166" i="9"/>
  <c r="S155" i="9"/>
  <c r="H155" i="9"/>
  <c r="H152" i="9"/>
  <c r="X155" i="9"/>
  <c r="F153" i="9"/>
  <c r="Y151" i="9"/>
  <c r="S161" i="9"/>
  <c r="N162" i="9"/>
  <c r="R162" i="9"/>
  <c r="X151" i="9"/>
  <c r="M165" i="9"/>
  <c r="M164" i="9"/>
  <c r="N156" i="9"/>
  <c r="J162" i="9"/>
  <c r="S154" i="9"/>
  <c r="V164" i="9"/>
  <c r="O166" i="9"/>
  <c r="P161" i="9"/>
  <c r="N161" i="9"/>
  <c r="I162" i="9"/>
  <c r="M162" i="9"/>
  <c r="Q156" i="9"/>
  <c r="L152" i="9"/>
  <c r="X156" i="9"/>
  <c r="W155" i="9"/>
  <c r="H156" i="9"/>
  <c r="F156" i="9"/>
  <c r="I165" i="9"/>
  <c r="G155" i="9"/>
  <c r="N152" i="9"/>
  <c r="S152" i="9"/>
  <c r="I154" i="9"/>
  <c r="N154" i="9"/>
  <c r="I166" i="9"/>
  <c r="O156" i="9"/>
  <c r="P166" i="9"/>
  <c r="U151" i="9"/>
  <c r="T162" i="9"/>
  <c r="Q152" i="9"/>
  <c r="F164" i="9"/>
  <c r="X164" i="9"/>
  <c r="R154" i="9"/>
  <c r="X153" i="9"/>
  <c r="N163" i="9"/>
  <c r="J166" i="9"/>
  <c r="L164" i="9"/>
  <c r="I153" i="9"/>
  <c r="X162" i="9"/>
  <c r="M156" i="9"/>
  <c r="Q154" i="9"/>
  <c r="K165" i="9"/>
  <c r="V161" i="9"/>
  <c r="V152" i="9"/>
  <c r="R165" i="9"/>
  <c r="Y156" i="9"/>
  <c r="Q155" i="9"/>
  <c r="S162" i="9"/>
  <c r="U152" i="9"/>
  <c r="X152" i="9"/>
  <c r="K166" i="9"/>
  <c r="W163" i="9"/>
  <c r="W162" i="9"/>
  <c r="T153" i="9"/>
  <c r="V163" i="9"/>
  <c r="K153" i="9"/>
  <c r="J165" i="9"/>
  <c r="O163" i="9"/>
  <c r="O161" i="9"/>
  <c r="M166" i="9"/>
  <c r="U155" i="9"/>
  <c r="P163" i="9"/>
  <c r="I156" i="9"/>
  <c r="U163" i="9"/>
  <c r="Y155" i="9"/>
  <c r="O151" i="9"/>
  <c r="Z151" i="9"/>
  <c r="G166" i="9"/>
  <c r="F151" i="9"/>
  <c r="X161" i="9"/>
  <c r="K151" i="9"/>
  <c r="L163" i="9"/>
  <c r="Q162" i="9"/>
  <c r="Y164" i="9"/>
  <c r="U164" i="9"/>
  <c r="L162" i="9"/>
  <c r="X166" i="9"/>
  <c r="J156" i="9"/>
  <c r="M163" i="9"/>
  <c r="J164" i="9"/>
  <c r="Z155" i="9"/>
  <c r="L151" i="9"/>
  <c r="K154" i="9"/>
  <c r="Y153" i="9"/>
  <c r="H164" i="9"/>
  <c r="F163" i="9"/>
  <c r="O162" i="9"/>
  <c r="F166" i="9"/>
  <c r="N155" i="9"/>
  <c r="H151" i="9"/>
  <c r="L154" i="9"/>
  <c r="R151" i="9"/>
  <c r="O153" i="9"/>
  <c r="W153" i="9"/>
  <c r="Q163" i="9"/>
  <c r="J163" i="9"/>
  <c r="U166" i="9"/>
  <c r="K161" i="9"/>
  <c r="M154" i="9"/>
  <c r="U153" i="9"/>
  <c r="T166" i="9"/>
  <c r="L155" i="9"/>
  <c r="P155" i="9"/>
  <c r="G153" i="9"/>
  <c r="J154" i="9"/>
  <c r="M151" i="9"/>
  <c r="R155" i="9"/>
  <c r="K152" i="9"/>
  <c r="J155" i="9"/>
  <c r="T152" i="9"/>
  <c r="O154" i="9"/>
  <c r="K163" i="9"/>
  <c r="J161" i="9"/>
  <c r="L166" i="9"/>
  <c r="L156" i="9"/>
  <c r="Q151" i="9"/>
  <c r="N165" i="9"/>
  <c r="V165" i="9"/>
  <c r="Z162" i="9"/>
  <c r="J153" i="9"/>
  <c r="G162" i="9"/>
  <c r="F152" i="9"/>
  <c r="O155" i="9"/>
  <c r="H153" i="9"/>
  <c r="P164" i="9"/>
  <c r="Y154" i="9"/>
  <c r="R164" i="9"/>
  <c r="R153" i="9"/>
  <c r="U156" i="9"/>
  <c r="T156" i="9"/>
  <c r="W154" i="9"/>
  <c r="I163" i="9"/>
  <c r="V155" i="9"/>
  <c r="F161" i="9"/>
  <c r="Z163" i="9"/>
  <c r="J152" i="9"/>
  <c r="Q166" i="9"/>
  <c r="S166" i="9"/>
  <c r="X163" i="9"/>
  <c r="R161" i="9"/>
  <c r="I151" i="9"/>
  <c r="Z161" i="9"/>
  <c r="V151" i="9"/>
  <c r="W166" i="9"/>
  <c r="N153" i="9"/>
  <c r="V153" i="9"/>
  <c r="Y152" i="9"/>
  <c r="H162" i="9"/>
  <c r="G164" i="9"/>
  <c r="F155" i="9"/>
  <c r="K156" i="9"/>
  <c r="T155" i="9"/>
  <c r="O165" i="9"/>
  <c r="T161" i="9"/>
  <c r="W152" i="9"/>
  <c r="L161" i="9"/>
  <c r="R163" i="9"/>
  <c r="Q161" i="9"/>
  <c r="V166" i="9"/>
  <c r="P154" i="9"/>
  <c r="P152" i="9"/>
  <c r="T164" i="9"/>
  <c r="S151" i="9"/>
  <c r="G161" i="9"/>
  <c r="G154" i="9"/>
  <c r="F165" i="9"/>
  <c r="K11" i="6"/>
  <c r="V11" i="6"/>
  <c r="T9" i="39"/>
  <c r="S9" i="39"/>
  <c r="Q9" i="39"/>
  <c r="V9" i="39" s="1"/>
  <c r="O9" i="39"/>
  <c r="U9" i="39" s="1"/>
  <c r="W12" i="6"/>
  <c r="F12" i="2"/>
  <c r="G12" i="2" s="1"/>
  <c r="J12" i="2" s="1"/>
  <c r="C12" i="2"/>
  <c r="D12" i="2" s="1"/>
  <c r="I12" i="2" s="1"/>
  <c r="F13" i="2" l="1"/>
  <c r="G13" i="2" s="1"/>
  <c r="J13" i="2" s="1"/>
  <c r="C13" i="2"/>
  <c r="D13" i="2" s="1"/>
  <c r="I13" i="2" s="1"/>
  <c r="W10" i="6"/>
  <c r="C10" i="2"/>
  <c r="D10" i="2" s="1"/>
  <c r="I10" i="2" s="1"/>
  <c r="E154" i="9"/>
  <c r="E166" i="9"/>
  <c r="AQ13" i="20"/>
  <c r="AQ3" i="20" s="1"/>
  <c r="P150" i="9"/>
  <c r="O13" i="20" s="1"/>
  <c r="O3" i="20" s="1"/>
  <c r="AO13" i="20"/>
  <c r="AO3" i="20" s="1"/>
  <c r="N150" i="9"/>
  <c r="M13" i="20" s="1"/>
  <c r="M3" i="20" s="1"/>
  <c r="C39" i="11"/>
  <c r="E44" i="11"/>
  <c r="AL13" i="20"/>
  <c r="AL3" i="20" s="1"/>
  <c r="K150" i="9"/>
  <c r="J13" i="20" s="1"/>
  <c r="J3" i="20" s="1"/>
  <c r="E155" i="9"/>
  <c r="E161" i="9"/>
  <c r="E163" i="9"/>
  <c r="F150" i="9"/>
  <c r="E13" i="20" s="1"/>
  <c r="E151" i="9"/>
  <c r="AG13" i="20"/>
  <c r="AH13" i="20"/>
  <c r="AH3" i="20" s="1"/>
  <c r="G150" i="9"/>
  <c r="F13" i="20" s="1"/>
  <c r="F3" i="20" s="1"/>
  <c r="J14" i="6"/>
  <c r="U150" i="9"/>
  <c r="T13" i="20" s="1"/>
  <c r="T3" i="20" s="1"/>
  <c r="AV13" i="20"/>
  <c r="AV3" i="20" s="1"/>
  <c r="AI13" i="20"/>
  <c r="AI3" i="20" s="1"/>
  <c r="H150" i="9"/>
  <c r="G13" i="20" s="1"/>
  <c r="G3" i="20" s="1"/>
  <c r="W11" i="6"/>
  <c r="F11" i="2"/>
  <c r="G11" i="2" s="1"/>
  <c r="J11" i="2" s="1"/>
  <c r="C11" i="2"/>
  <c r="D11" i="2" s="1"/>
  <c r="I11" i="2" s="1"/>
  <c r="Q150" i="9"/>
  <c r="P13" i="20" s="1"/>
  <c r="P3" i="20" s="1"/>
  <c r="AR13" i="20"/>
  <c r="AR3" i="20" s="1"/>
  <c r="J15" i="6"/>
  <c r="E153" i="9"/>
  <c r="E152" i="9"/>
  <c r="E165" i="9"/>
  <c r="AT13" i="20"/>
  <c r="AT3" i="20" s="1"/>
  <c r="S150" i="9"/>
  <c r="R13" i="20" s="1"/>
  <c r="R3" i="20" s="1"/>
  <c r="BA13" i="20"/>
  <c r="BA3" i="20" s="1"/>
  <c r="Z150" i="9"/>
  <c r="Y13" i="20" s="1"/>
  <c r="Y3" i="20" s="1"/>
  <c r="K14" i="6"/>
  <c r="K15" i="6"/>
  <c r="AM13" i="20"/>
  <c r="AM3" i="20" s="1"/>
  <c r="L150" i="9"/>
  <c r="K13" i="20" s="1"/>
  <c r="K3" i="20" s="1"/>
  <c r="AP13" i="20"/>
  <c r="AP3" i="20" s="1"/>
  <c r="O150" i="9"/>
  <c r="N13" i="20" s="1"/>
  <c r="N3" i="20" s="1"/>
  <c r="E156" i="9"/>
  <c r="AK13" i="20"/>
  <c r="AK3" i="20" s="1"/>
  <c r="J150" i="9"/>
  <c r="I13" i="20" s="1"/>
  <c r="I3" i="20" s="1"/>
  <c r="AN13" i="20"/>
  <c r="AN3" i="20" s="1"/>
  <c r="M150" i="9"/>
  <c r="L13" i="20" s="1"/>
  <c r="L3" i="20" s="1"/>
  <c r="X150" i="9"/>
  <c r="W13" i="20" s="1"/>
  <c r="W3" i="20" s="1"/>
  <c r="AY13" i="20"/>
  <c r="AY3" i="20" s="1"/>
  <c r="AU13" i="20"/>
  <c r="AU3" i="20" s="1"/>
  <c r="T150" i="9"/>
  <c r="S13" i="20" s="1"/>
  <c r="S3" i="20" s="1"/>
  <c r="E162" i="9"/>
  <c r="R150" i="9"/>
  <c r="Q13" i="20" s="1"/>
  <c r="Q3" i="20" s="1"/>
  <c r="AS13" i="20"/>
  <c r="AS3" i="20" s="1"/>
  <c r="AW13" i="20"/>
  <c r="AW3" i="20" s="1"/>
  <c r="V150" i="9"/>
  <c r="U13" i="20" s="1"/>
  <c r="U3" i="20" s="1"/>
  <c r="E164" i="9"/>
  <c r="AJ13" i="20"/>
  <c r="AJ3" i="20" s="1"/>
  <c r="I150" i="9"/>
  <c r="H13" i="20" s="1"/>
  <c r="H3" i="20" s="1"/>
  <c r="AZ13" i="20"/>
  <c r="AZ3" i="20" s="1"/>
  <c r="Y150" i="9"/>
  <c r="X13" i="20" s="1"/>
  <c r="X3" i="20" s="1"/>
  <c r="AX13" i="20"/>
  <c r="AX3" i="20" s="1"/>
  <c r="W150" i="9"/>
  <c r="V13" i="20" s="1"/>
  <c r="V3" i="20" s="1"/>
  <c r="I14" i="11" l="1"/>
  <c r="P9" i="6" s="1"/>
  <c r="E14" i="11"/>
  <c r="E43" i="11" s="1"/>
  <c r="F14" i="11"/>
  <c r="F43" i="11" s="1"/>
  <c r="C17" i="39"/>
  <c r="D13" i="20"/>
  <c r="E3" i="20"/>
  <c r="D3" i="20" s="1"/>
  <c r="H14" i="11"/>
  <c r="C15" i="39"/>
  <c r="E150" i="9"/>
  <c r="D14" i="11"/>
  <c r="AG3" i="20"/>
  <c r="AF3" i="20" s="1"/>
  <c r="AF13" i="20"/>
  <c r="G14" i="11"/>
  <c r="I15" i="11" l="1"/>
  <c r="F15" i="11"/>
  <c r="I43" i="11"/>
  <c r="P5" i="6"/>
  <c r="Q5" i="6" s="1"/>
  <c r="E15" i="11"/>
  <c r="P6" i="6"/>
  <c r="Q6" i="6" s="1"/>
  <c r="C22" i="39"/>
  <c r="H15" i="11"/>
  <c r="P8" i="6"/>
  <c r="H43" i="11"/>
  <c r="P4" i="6"/>
  <c r="D43" i="11"/>
  <c r="C14" i="11"/>
  <c r="D15" i="11"/>
  <c r="Q9" i="6"/>
  <c r="V9" i="6"/>
  <c r="G15" i="11"/>
  <c r="G43" i="11"/>
  <c r="P7" i="6"/>
  <c r="S17" i="39"/>
  <c r="T17" i="39"/>
  <c r="O17" i="39"/>
  <c r="U17" i="39" s="1"/>
  <c r="Q17" i="39"/>
  <c r="V17" i="39" s="1"/>
  <c r="V5" i="6" l="1"/>
  <c r="C5" i="2" s="1"/>
  <c r="V6" i="6"/>
  <c r="W6" i="6" s="1"/>
  <c r="C15" i="11"/>
  <c r="Q4" i="6"/>
  <c r="P14" i="6"/>
  <c r="P15" i="6"/>
  <c r="V4" i="6"/>
  <c r="C4" i="2" s="1"/>
  <c r="V8" i="6"/>
  <c r="Q8" i="6"/>
  <c r="Q15" i="39"/>
  <c r="G22" i="39"/>
  <c r="T15" i="39"/>
  <c r="T22" i="39" s="1"/>
  <c r="O15" i="39"/>
  <c r="S15" i="39"/>
  <c r="S22" i="39" s="1"/>
  <c r="W9" i="6"/>
  <c r="F9" i="2"/>
  <c r="G9" i="2" s="1"/>
  <c r="J9" i="2" s="1"/>
  <c r="C9" i="2"/>
  <c r="D9" i="2" s="1"/>
  <c r="I9" i="2" s="1"/>
  <c r="C43" i="11"/>
  <c r="D44" i="11"/>
  <c r="C44" i="11" s="1"/>
  <c r="Q7" i="6"/>
  <c r="V7" i="6"/>
  <c r="W5" i="6" l="1"/>
  <c r="D5" i="2"/>
  <c r="I5" i="2" s="1"/>
  <c r="F5" i="2"/>
  <c r="G5" i="2" s="1"/>
  <c r="J5" i="2" s="1"/>
  <c r="C6" i="2"/>
  <c r="D6" i="2" s="1"/>
  <c r="F6" i="2"/>
  <c r="G6" i="2" s="1"/>
  <c r="J6" i="2" s="1"/>
  <c r="V14" i="6"/>
  <c r="V15" i="6"/>
  <c r="F4" i="2"/>
  <c r="W4" i="6"/>
  <c r="W8" i="6"/>
  <c r="C8" i="2"/>
  <c r="D8" i="2" s="1"/>
  <c r="I8" i="2" s="1"/>
  <c r="F8" i="2"/>
  <c r="G8" i="2" s="1"/>
  <c r="J8" i="2" s="1"/>
  <c r="Q22" i="39"/>
  <c r="V15" i="39"/>
  <c r="Q15" i="6"/>
  <c r="Q14" i="6"/>
  <c r="U15" i="39"/>
  <c r="O22" i="39"/>
  <c r="W7" i="6"/>
  <c r="F7" i="2"/>
  <c r="G7" i="2" s="1"/>
  <c r="J7" i="2" s="1"/>
  <c r="C7" i="2"/>
  <c r="D7" i="2" s="1"/>
  <c r="I7" i="2" s="1"/>
  <c r="I6" i="2" l="1"/>
  <c r="J17" i="2"/>
  <c r="B2" i="7" s="1"/>
  <c r="W15" i="6"/>
  <c r="W14" i="6"/>
  <c r="C14" i="2"/>
  <c r="D4" i="2"/>
  <c r="J18" i="2" s="1"/>
  <c r="F14" i="2"/>
  <c r="G4" i="2"/>
  <c r="J19" i="2" s="1"/>
  <c r="D14" i="2" l="1"/>
  <c r="J4" i="2"/>
  <c r="K4" i="2" s="1"/>
  <c r="O7" i="7"/>
  <c r="C26" i="7"/>
  <c r="C42" i="7"/>
  <c r="I7" i="7"/>
  <c r="F7" i="7"/>
  <c r="L7" i="7"/>
  <c r="C7" i="7"/>
  <c r="R7" i="7"/>
  <c r="G14" i="2"/>
  <c r="I4" i="2"/>
  <c r="I14" i="2" s="1"/>
  <c r="J21" i="2" s="1"/>
  <c r="J14" i="2" l="1"/>
  <c r="J22" i="2" s="1"/>
  <c r="L4" i="2" l="1"/>
  <c r="K5" i="2"/>
  <c r="K6" i="2" s="1"/>
  <c r="K7" i="2" s="1"/>
  <c r="K8" i="2" s="1"/>
  <c r="K9" i="2" s="1"/>
  <c r="K10" i="2" s="1"/>
  <c r="K11" i="2" s="1"/>
  <c r="K12" i="2" s="1"/>
  <c r="K13" i="2" s="1"/>
  <c r="L5" i="2" l="1"/>
  <c r="L6" i="2" s="1"/>
  <c r="L7" i="2" s="1"/>
  <c r="L8" i="2" s="1"/>
  <c r="L9" i="2" s="1"/>
  <c r="L10" i="2" s="1"/>
  <c r="L11" i="2" s="1"/>
  <c r="L12" i="2" s="1"/>
  <c r="L13" i="2" s="1"/>
</calcChain>
</file>

<file path=xl/comments1.xml><?xml version="1.0" encoding="utf-8"?>
<comments xmlns="http://schemas.openxmlformats.org/spreadsheetml/2006/main">
  <authors>
    <author>Autor</author>
  </authors>
  <commentList>
    <comment ref="A6" authorId="0" shapeId="0">
      <text>
        <r>
          <rPr>
            <b/>
            <sz val="9"/>
            <color rgb="FF000000"/>
            <rFont val="Segoe UI"/>
            <family val="2"/>
            <charset val="1"/>
          </rPr>
          <t>Autor:</t>
        </r>
        <r>
          <rPr>
            <sz val="9"/>
            <color rgb="FF000000"/>
            <rFont val="Segoe UI"/>
            <family val="2"/>
            <charset val="1"/>
          </rPr>
          <t xml:space="preserve">
Je potrebné vyplniť žlté polia a identifikovať tak projekt a vlastníka projektu</t>
        </r>
      </text>
    </comment>
  </commentList>
</comments>
</file>

<file path=xl/comments2.xml><?xml version="1.0" encoding="utf-8"?>
<comments xmlns="http://schemas.openxmlformats.org/spreadsheetml/2006/main">
  <authors>
    <author>Autor</author>
  </authors>
  <commentList>
    <comment ref="AG18" authorId="0" shapeId="0">
      <text>
        <r>
          <rPr>
            <b/>
            <sz val="9"/>
            <color indexed="81"/>
            <rFont val="Segoe UI"/>
            <family val="2"/>
          </rPr>
          <t>Autor:</t>
        </r>
        <r>
          <rPr>
            <sz val="9"/>
            <color indexed="81"/>
            <rFont val="Segoe UI"/>
            <family val="2"/>
          </rPr>
          <t xml:space="preserve">
V prípade potreby vyplniť Ostatné daňové a nedaňové príjmy</t>
        </r>
      </text>
    </comment>
    <comment ref="AE25" authorId="0" shapeId="0">
      <text>
        <r>
          <rPr>
            <b/>
            <sz val="9"/>
            <color indexed="81"/>
            <rFont val="Segoe UI"/>
            <family val="2"/>
          </rPr>
          <t>Autor:</t>
        </r>
        <r>
          <rPr>
            <sz val="9"/>
            <color indexed="81"/>
            <rFont val="Segoe UI"/>
            <family val="2"/>
          </rPr>
          <t xml:space="preserve">
V prípade potreby vyplniť Nevýčislené spoločenské prínosy ako textové pomenovanie prínosov</t>
        </r>
      </text>
    </comment>
  </commentList>
</comments>
</file>

<file path=xl/comments3.xml><?xml version="1.0" encoding="utf-8"?>
<comments xmlns="http://schemas.openxmlformats.org/spreadsheetml/2006/main">
  <authors>
    <author>Autor</author>
  </authors>
  <commentList>
    <comment ref="I3" authorId="0" shapeId="0">
      <text>
        <r>
          <rPr>
            <b/>
            <sz val="9"/>
            <color indexed="81"/>
            <rFont val="Segoe UI"/>
            <family val="2"/>
          </rPr>
          <t>Autor:</t>
        </r>
        <r>
          <rPr>
            <sz val="9"/>
            <color indexed="81"/>
            <rFont val="Segoe UI"/>
            <family val="2"/>
          </rPr>
          <t xml:space="preserve">
Potrebné vyplniť % ktorým da daný zdroj financovania bude podieľať na nákladoch projektu. 
Suma v danom riadku musí byť 100%, na čo upozorňuje aj hodnota v stĺpci G pre daný riadok</t>
        </r>
      </text>
    </comment>
    <comment ref="F20" authorId="0" shapeId="0">
      <text>
        <r>
          <rPr>
            <b/>
            <sz val="9"/>
            <color rgb="FF000000"/>
            <rFont val="Segoe UI"/>
            <family val="2"/>
            <charset val="1"/>
          </rPr>
          <t>Autor:</t>
        </r>
        <r>
          <rPr>
            <sz val="9"/>
            <color rgb="FF000000"/>
            <rFont val="Segoe UI"/>
            <family val="2"/>
            <charset val="1"/>
          </rPr>
          <t xml:space="preserve">
Potrebné rozdeliť náklady v danej Oblasti výdavku na Interné a externé. Suma pre Oblasť výdavku musí byť 100%</t>
        </r>
      </text>
    </comment>
  </commentList>
</comments>
</file>

<file path=xl/comments4.xml><?xml version="1.0" encoding="utf-8"?>
<comments xmlns="http://schemas.openxmlformats.org/spreadsheetml/2006/main">
  <authors>
    <author>Autor</author>
  </authors>
  <commentList>
    <comment ref="B2" authorId="0" shapeId="0">
      <text>
        <r>
          <rPr>
            <b/>
            <sz val="9"/>
            <color rgb="FF000000"/>
            <rFont val="Segoe UI"/>
            <family val="2"/>
            <charset val="1"/>
          </rPr>
          <t>Autor:</t>
        </r>
        <r>
          <rPr>
            <sz val="9"/>
            <color rgb="FF000000"/>
            <rFont val="Segoe UI"/>
            <family val="2"/>
            <charset val="1"/>
          </rPr>
          <t xml:space="preserve">
Potrebné vyplniť názvy všetkých modulov, ktoré budú v projekte dodávané. 
Moduly by mali byť tie isté ako sú definované v META IS k danému IS</t>
        </r>
      </text>
    </comment>
    <comment ref="C2" authorId="0" shapeId="0">
      <text>
        <r>
          <rPr>
            <b/>
            <sz val="9"/>
            <color indexed="81"/>
            <rFont val="Segoe UI"/>
            <family val="2"/>
          </rPr>
          <t>Autor:</t>
        </r>
        <r>
          <rPr>
            <sz val="9"/>
            <color indexed="81"/>
            <rFont val="Segoe UI"/>
            <family val="2"/>
          </rPr>
          <t xml:space="preserve">
Hodnota je automaticky dotiahnutá pre modul zo záložky TCF_v02</t>
        </r>
      </text>
    </comment>
    <comment ref="D2" authorId="0" shapeId="0">
      <text>
        <r>
          <rPr>
            <b/>
            <sz val="9"/>
            <color indexed="81"/>
            <rFont val="Segoe UI"/>
            <family val="2"/>
          </rPr>
          <t>Autor:</t>
        </r>
        <r>
          <rPr>
            <sz val="9"/>
            <color indexed="81"/>
            <rFont val="Segoe UI"/>
            <family val="2"/>
          </rPr>
          <t xml:space="preserve">
Hodnota je automaticky dotiahnutá pre modul zo záložky ECF_v02</t>
        </r>
      </text>
    </comment>
    <comment ref="E2" authorId="0" shapeId="0">
      <text>
        <r>
          <rPr>
            <b/>
            <sz val="9"/>
            <color indexed="81"/>
            <rFont val="Segoe UI"/>
            <family val="2"/>
          </rPr>
          <t>Autor:</t>
        </r>
        <r>
          <rPr>
            <sz val="9"/>
            <color indexed="81"/>
            <rFont val="Segoe UI"/>
            <family val="2"/>
          </rPr>
          <t xml:space="preserve">
Hodnota je automaticky dotiahnutá pre modul zo záložky UAW_v02</t>
        </r>
      </text>
    </comment>
    <comment ref="F2" authorId="0" shapeId="0">
      <text>
        <r>
          <rPr>
            <b/>
            <sz val="9"/>
            <color indexed="81"/>
            <rFont val="Segoe UI"/>
            <family val="2"/>
          </rPr>
          <t>Autor:</t>
        </r>
        <r>
          <rPr>
            <sz val="9"/>
            <color indexed="81"/>
            <rFont val="Segoe UI"/>
            <family val="2"/>
          </rPr>
          <t xml:space="preserve">
Jedná sa o stanovanie hodnoty Produktivity faktor, ktorá znemená hodinúvú náročnosť realizácie jednoného bodu prípadu použitia (Use Case Pointu).
Viac v metodike časť Produktivity faktor a časť Oranžová sekcia bod 7</t>
        </r>
      </text>
    </comment>
    <comment ref="G2" authorId="0" shapeId="0">
      <text>
        <r>
          <rPr>
            <b/>
            <sz val="9"/>
            <color indexed="81"/>
            <rFont val="Segoe UI"/>
            <family val="2"/>
          </rPr>
          <t>Autor:</t>
        </r>
        <r>
          <rPr>
            <sz val="9"/>
            <color indexed="81"/>
            <rFont val="Segoe UI"/>
            <family val="2"/>
          </rPr>
          <t xml:space="preserve">
Je potrebné vybrať inkrement, v ktorom bude daný modul dodaný</t>
        </r>
      </text>
    </comment>
    <comment ref="H2" authorId="0" shapeId="0">
      <text>
        <r>
          <rPr>
            <b/>
            <sz val="9"/>
            <color indexed="81"/>
            <rFont val="Segoe UI"/>
            <family val="2"/>
          </rPr>
          <t>Autor:</t>
        </r>
        <r>
          <rPr>
            <sz val="9"/>
            <color indexed="81"/>
            <rFont val="Segoe UI"/>
            <family val="2"/>
          </rPr>
          <t xml:space="preserve">
Automaticky vyplnený rok dodania z vybraného inkrementu</t>
        </r>
      </text>
    </comment>
    <comment ref="I2" authorId="0" shapeId="0">
      <text>
        <r>
          <rPr>
            <b/>
            <sz val="9"/>
            <color rgb="FF000000"/>
            <rFont val="Segoe UI"/>
            <family val="2"/>
            <charset val="1"/>
          </rPr>
          <t>Autor:</t>
        </r>
        <r>
          <rPr>
            <sz val="9"/>
            <color rgb="FF000000"/>
            <rFont val="Segoe UI"/>
            <family val="2"/>
            <charset val="1"/>
          </rPr>
          <t xml:space="preserve">
Automaticky doplnený poradový rok dodania od spustenia projektu</t>
        </r>
      </text>
    </comment>
    <comment ref="J2" authorId="0" shapeId="0">
      <text>
        <r>
          <rPr>
            <b/>
            <sz val="9"/>
            <color rgb="FF000000"/>
            <rFont val="Segoe UI"/>
            <family val="2"/>
            <charset val="1"/>
          </rPr>
          <t>Autor:</t>
        </r>
        <r>
          <rPr>
            <sz val="9"/>
            <color rgb="FF000000"/>
            <rFont val="Segoe UI"/>
            <family val="2"/>
            <charset val="1"/>
          </rPr>
          <t xml:space="preserve">
Prepodkladaný počet externých MDs na realizovaný projekt</t>
        </r>
      </text>
    </comment>
    <comment ref="K2" authorId="0" shapeId="0">
      <text>
        <r>
          <rPr>
            <b/>
            <sz val="9"/>
            <color rgb="FF000000"/>
            <rFont val="Segoe UI"/>
            <family val="2"/>
            <charset val="1"/>
          </rPr>
          <t>Autor:</t>
        </r>
        <r>
          <rPr>
            <sz val="9"/>
            <color rgb="FF000000"/>
            <rFont val="Segoe UI"/>
            <family val="2"/>
            <charset val="1"/>
          </rPr>
          <t xml:space="preserve">
Jedná sa o stanovenie % pre aplikačnú podporu daného modulu, ak je aplikačná podpora relevantná</t>
        </r>
      </text>
    </comment>
    <comment ref="L2" authorId="0" shapeId="0">
      <text>
        <r>
          <rPr>
            <b/>
            <sz val="9"/>
            <color rgb="FF000000"/>
            <rFont val="Segoe UI"/>
            <family val="2"/>
            <charset val="1"/>
          </rPr>
          <t>Autor:</t>
        </r>
        <r>
          <rPr>
            <sz val="9"/>
            <color rgb="FF000000"/>
            <rFont val="Segoe UI"/>
            <family val="2"/>
            <charset val="1"/>
          </rPr>
          <t xml:space="preserve">
Jedná sa o stanovanie % rozvoja pre jednotlivé komponenty modulu. Rozvoj je vnímaný ako, pre aplikácie, tak aj pre SW produkty.</t>
        </r>
      </text>
    </comment>
    <comment ref="M2" authorId="0" shapeId="0">
      <text>
        <r>
          <rPr>
            <b/>
            <sz val="9"/>
            <color rgb="FF000000"/>
            <rFont val="Segoe UI"/>
            <family val="2"/>
            <charset val="1"/>
          </rPr>
          <t>Autor:</t>
        </r>
        <r>
          <rPr>
            <sz val="9"/>
            <color rgb="FF000000"/>
            <rFont val="Segoe UI"/>
            <family val="2"/>
            <charset val="1"/>
          </rPr>
          <t xml:space="preserve">
Jedná sa o stanovenie percenta supportov pre HW a SW produkty v danom module.</t>
        </r>
      </text>
    </comment>
    <comment ref="N2" authorId="0" shapeId="0">
      <text>
        <r>
          <rPr>
            <b/>
            <sz val="9"/>
            <color rgb="FF000000"/>
            <rFont val="Segoe UI"/>
            <family val="2"/>
            <charset val="1"/>
          </rPr>
          <t>Autor:</t>
        </r>
        <r>
          <rPr>
            <sz val="9"/>
            <color rgb="FF000000"/>
            <rFont val="Segoe UI"/>
            <family val="2"/>
            <charset val="1"/>
          </rPr>
          <t xml:space="preserve">
Jedná sa o stanovenie začiatku realizácie podpory alebo supportu pre daný modul. Na základe tejto hodnoty sa následne počítajú prevádzkové náklady pre aplikácie, SW produkty alebo HW.</t>
        </r>
      </text>
    </comment>
  </commentList>
</comments>
</file>

<file path=xl/comments5.xml><?xml version="1.0" encoding="utf-8"?>
<comments xmlns="http://schemas.openxmlformats.org/spreadsheetml/2006/main">
  <authors>
    <author>Autor</author>
  </authors>
  <commentList>
    <comment ref="B1" authorId="0" shapeId="0">
      <text>
        <r>
          <rPr>
            <b/>
            <sz val="9"/>
            <color indexed="81"/>
            <rFont val="Segoe UI"/>
            <family val="2"/>
          </rPr>
          <t>Autor:</t>
        </r>
        <r>
          <rPr>
            <sz val="9"/>
            <color indexed="81"/>
            <rFont val="Segoe UI"/>
            <family val="2"/>
          </rPr>
          <t xml:space="preserve">
Je potrebné stanoviť začiatok trvania daného inkrementu.
Počet inkrementov záleží od projektu a jeho náročnosti.
Formát dátumu je DD.MM.RRRR</t>
        </r>
      </text>
    </comment>
    <comment ref="D1" authorId="0" shapeId="0">
      <text>
        <r>
          <rPr>
            <b/>
            <sz val="9"/>
            <color indexed="81"/>
            <rFont val="Segoe UI"/>
            <family val="2"/>
          </rPr>
          <t>Autor:</t>
        </r>
        <r>
          <rPr>
            <sz val="9"/>
            <color indexed="81"/>
            <rFont val="Segoe UI"/>
            <family val="2"/>
          </rPr>
          <t xml:space="preserve">
Je potrebné stanoviť dátum ukončenia inkrementu.
Formát dátumu je DD.MM.RRRR</t>
        </r>
      </text>
    </comment>
    <comment ref="E1" authorId="0" shapeId="0">
      <text>
        <r>
          <rPr>
            <b/>
            <sz val="9"/>
            <color indexed="81"/>
            <rFont val="Segoe UI"/>
            <family val="2"/>
          </rPr>
          <t>Autor:</t>
        </r>
        <r>
          <rPr>
            <sz val="9"/>
            <color indexed="81"/>
            <rFont val="Segoe UI"/>
            <family val="2"/>
          </rPr>
          <t xml:space="preserve">
Predstavuje dobu trvania inkrementu v mesiacoch</t>
        </r>
      </text>
    </comment>
    <comment ref="F1" authorId="0" shapeId="0">
      <text>
        <r>
          <rPr>
            <b/>
            <sz val="9"/>
            <color indexed="81"/>
            <rFont val="Segoe UI"/>
            <family val="2"/>
          </rPr>
          <t>Autor:</t>
        </r>
        <r>
          <rPr>
            <sz val="9"/>
            <color indexed="81"/>
            <rFont val="Segoe UI"/>
            <family val="2"/>
          </rPr>
          <t xml:space="preserve">
Predstavuje rok dodania modulov v danom inkremente od začiatku projektu</t>
        </r>
      </text>
    </comment>
    <comment ref="G1" authorId="0" shapeId="0">
      <text>
        <r>
          <rPr>
            <b/>
            <sz val="9"/>
            <color indexed="81"/>
            <rFont val="Segoe UI"/>
            <family val="2"/>
          </rPr>
          <t>Autor:</t>
        </r>
        <r>
          <rPr>
            <sz val="9"/>
            <color indexed="81"/>
            <rFont val="Segoe UI"/>
            <family val="2"/>
          </rPr>
          <t xml:space="preserve">
Predstavuje mesiac ukončenia inkrementu od začiatku projektu</t>
        </r>
      </text>
    </comment>
  </commentList>
</comments>
</file>

<file path=xl/comments6.xml><?xml version="1.0" encoding="utf-8"?>
<comments xmlns="http://schemas.openxmlformats.org/spreadsheetml/2006/main">
  <authors>
    <author>Autor</author>
  </authors>
  <commentList>
    <comment ref="A2" authorId="0" shapeId="0">
      <text>
        <r>
          <rPr>
            <b/>
            <sz val="9"/>
            <color indexed="81"/>
            <rFont val="Segoe UI"/>
            <family val="2"/>
          </rPr>
          <t>Autor:</t>
        </r>
        <r>
          <rPr>
            <sz val="9"/>
            <color indexed="81"/>
            <rFont val="Segoe UI"/>
            <family val="2"/>
          </rPr>
          <t xml:space="preserve">
Je potrebné stanoviť ID pre danú požiadavku, pričom sa začína od ID_1 a následne sa pokračuje vždy po 1</t>
        </r>
      </text>
    </comment>
    <comment ref="B2" authorId="0" shapeId="0">
      <text>
        <r>
          <rPr>
            <b/>
            <sz val="9"/>
            <color indexed="81"/>
            <rFont val="Segoe UI"/>
            <family val="2"/>
          </rPr>
          <t>Autor:</t>
        </r>
        <r>
          <rPr>
            <sz val="9"/>
            <color indexed="81"/>
            <rFont val="Segoe UI"/>
            <family val="2"/>
          </rPr>
          <t xml:space="preserve">
Je potrebné vybrať klasifikáciu požiadavky z kombo boxu, pričom sa jedná o:
 - funkčnú požiadvaku
 - technickú požiadavku
 - ne- funkčnú požiadavku
Viac k problematike v metodika časť Definovanie a klasifikácia požiadaviek</t>
        </r>
      </text>
    </comment>
    <comment ref="C2" authorId="0" shapeId="0">
      <text>
        <r>
          <rPr>
            <b/>
            <sz val="9"/>
            <color rgb="FF000000"/>
            <rFont val="Segoe UI"/>
            <family val="2"/>
            <charset val="1"/>
          </rPr>
          <t>Autor:</t>
        </r>
        <r>
          <rPr>
            <sz val="9"/>
            <color rgb="FF000000"/>
            <rFont val="Segoe UI"/>
            <family val="2"/>
            <charset val="1"/>
          </rPr>
          <t xml:space="preserve">
Oblasti požiadaviek si definuje vlastník projektu, pričom by mali byť zvolené tak, aby zahŕňali nejakú ucelenú oblasť - napr. modul, funkčnosť a pod.</t>
        </r>
      </text>
    </comment>
    <comment ref="D2" authorId="0" shapeId="0">
      <text>
        <r>
          <rPr>
            <b/>
            <sz val="9"/>
            <color indexed="81"/>
            <rFont val="Segoe UI"/>
            <family val="2"/>
          </rPr>
          <t>Autor:</t>
        </r>
        <r>
          <rPr>
            <sz val="9"/>
            <color indexed="81"/>
            <rFont val="Segoe UI"/>
            <family val="2"/>
          </rPr>
          <t xml:space="preserve">
Jedná sa o jednoduché nazvanie požiadavky</t>
        </r>
      </text>
    </comment>
    <comment ref="E2" authorId="0" shapeId="0">
      <text>
        <r>
          <rPr>
            <b/>
            <sz val="9"/>
            <color indexed="81"/>
            <rFont val="Segoe UI"/>
            <family val="2"/>
          </rPr>
          <t>Autor:</t>
        </r>
        <r>
          <rPr>
            <sz val="9"/>
            <color indexed="81"/>
            <rFont val="Segoe UI"/>
            <family val="2"/>
          </rPr>
          <t xml:space="preserve">
Mal by byť určený väčí detail požiadvaky tak, aby bolo jasné o čo sa v danej požiadavke jedná. 
Tento popis bude následne dôležitý aj pre proces verejného obstarávania ako aj pre procesy dodávky, akceptácie a testovania daných požiadaviek</t>
        </r>
      </text>
    </comment>
    <comment ref="F2" authorId="0" shapeId="0">
      <text>
        <r>
          <rPr>
            <b/>
            <sz val="9"/>
            <color indexed="81"/>
            <rFont val="Segoe UI"/>
            <family val="2"/>
          </rPr>
          <t>Autor:</t>
        </r>
        <r>
          <rPr>
            <sz val="9"/>
            <color indexed="81"/>
            <rFont val="Segoe UI"/>
            <family val="2"/>
          </rPr>
          <t xml:space="preserve">
Mal by byť definovaný vlastník, ktorý je zodpovedný za definovanie danej požiadavky</t>
        </r>
      </text>
    </comment>
    <comment ref="G2" authorId="0" shapeId="0">
      <text>
        <r>
          <rPr>
            <b/>
            <sz val="9"/>
            <color rgb="FF000000"/>
            <rFont val="Segoe UI"/>
            <family val="2"/>
            <charset val="1"/>
          </rPr>
          <t>Autor:</t>
        </r>
        <r>
          <rPr>
            <sz val="9"/>
            <color rgb="FF000000"/>
            <rFont val="Segoe UI"/>
            <family val="2"/>
            <charset val="1"/>
          </rPr>
          <t xml:space="preserve">
V tejto časti vyberie žiadateľ, ku ktorému modulu sa požiadavka viaže. 
Ak jedna požiadavka patrí k viacerým modulom, je potrbené je zadefinovať viac krát.</t>
        </r>
      </text>
    </comment>
    <comment ref="H2" authorId="0" shapeId="0">
      <text>
        <r>
          <rPr>
            <b/>
            <sz val="9"/>
            <color indexed="81"/>
            <rFont val="Segoe UI"/>
            <family val="2"/>
          </rPr>
          <t>Autor:</t>
        </r>
        <r>
          <rPr>
            <sz val="9"/>
            <color indexed="81"/>
            <rFont val="Segoe UI"/>
            <family val="2"/>
          </rPr>
          <t xml:space="preserve">
Táto časť sa vypĺňa len pre funkčné požiadavky a predstavuje počet prístupových miest pre danú požiadavku:
- Call Centrum
- Integrované obslužné miesto
- Špecializovaný portál
- Klientske centrum štátnej správy
- Podateľná orgánu verenej moci
- Pracovicko OVM
- eGovApps na mobilných platformách
- GoTechApps – komerčné riešenie
- e-mail
- SMS
- Ústredný portál verejnej správy</t>
        </r>
      </text>
    </comment>
    <comment ref="I2" authorId="0" shapeId="0">
      <text>
        <r>
          <rPr>
            <b/>
            <sz val="9"/>
            <color indexed="81"/>
            <rFont val="Segoe UI"/>
            <family val="2"/>
          </rPr>
          <t>Autor:</t>
        </r>
        <r>
          <rPr>
            <sz val="9"/>
            <color indexed="81"/>
            <rFont val="Segoe UI"/>
            <family val="2"/>
          </rPr>
          <t xml:space="preserve">
Zložitosť požiadavky je vyjadrená hodnotami:
 - 5 - jednoduchá
 - 10 - priemerná
 - 15 - komplexná
Pričom detailné vysvetlenie je v časti Vývoj a úprava SW diela / Aplikácie</t>
        </r>
      </text>
    </comment>
    <comment ref="K2" authorId="0" shapeId="0">
      <text>
        <r>
          <rPr>
            <b/>
            <sz val="9"/>
            <color indexed="81"/>
            <rFont val="Segoe UI"/>
            <family val="2"/>
          </rPr>
          <t>Autor:</t>
        </r>
        <r>
          <rPr>
            <sz val="9"/>
            <color indexed="81"/>
            <rFont val="Segoe UI"/>
            <family val="2"/>
          </rPr>
          <t xml:space="preserve">
Predstavuje súčim Poctu pristupovych kanalov a Zlozitosti poziadavky</t>
        </r>
      </text>
    </comment>
    <comment ref="L2" authorId="0" shapeId="0">
      <text>
        <r>
          <rPr>
            <b/>
            <sz val="9"/>
            <color indexed="81"/>
            <rFont val="Segoe UI"/>
            <family val="2"/>
          </rPr>
          <t>Autor:</t>
        </r>
        <r>
          <rPr>
            <sz val="9"/>
            <color indexed="81"/>
            <rFont val="Segoe UI"/>
            <family val="2"/>
          </rPr>
          <t xml:space="preserve">
Dotiahnutá vážená hodnota UAW pre daný modul</t>
        </r>
      </text>
    </comment>
    <comment ref="M2" authorId="0" shapeId="0">
      <text>
        <r>
          <rPr>
            <b/>
            <sz val="9"/>
            <color indexed="81"/>
            <rFont val="Segoe UI"/>
            <family val="2"/>
          </rPr>
          <t>Autor:</t>
        </r>
        <r>
          <rPr>
            <sz val="9"/>
            <color indexed="81"/>
            <rFont val="Segoe UI"/>
            <family val="2"/>
          </rPr>
          <t xml:space="preserve">
Dotiahntuá hodnota zo záložky Moduly pre daný modul</t>
        </r>
      </text>
    </comment>
    <comment ref="N2" authorId="0" shapeId="0">
      <text>
        <r>
          <rPr>
            <b/>
            <sz val="9"/>
            <color indexed="81"/>
            <rFont val="Segoe UI"/>
            <family val="2"/>
          </rPr>
          <t>Autor:</t>
        </r>
        <r>
          <rPr>
            <sz val="9"/>
            <color indexed="81"/>
            <rFont val="Segoe UI"/>
            <family val="2"/>
          </rPr>
          <t xml:space="preserve">
Dotiahntuá hodnota zo záložky Moduly pre daný modul</t>
        </r>
      </text>
    </comment>
    <comment ref="O2" authorId="0" shapeId="0">
      <text>
        <r>
          <rPr>
            <b/>
            <sz val="9"/>
            <color indexed="81"/>
            <rFont val="Segoe UI"/>
            <family val="2"/>
          </rPr>
          <t>Autor:</t>
        </r>
        <r>
          <rPr>
            <sz val="9"/>
            <color indexed="81"/>
            <rFont val="Segoe UI"/>
            <family val="2"/>
          </rPr>
          <t xml:space="preserve">
Jedná sa o výpočet počtu Bodov Prípadov použitia, ktorý je základným faktorom pre výpočet následnej náročnosti, pričom výpočet je nasledovny:
(Zlozitost + UAW) * ECF * TCF</t>
        </r>
      </text>
    </comment>
    <comment ref="P2" authorId="0" shapeId="0">
      <text>
        <r>
          <rPr>
            <b/>
            <sz val="9"/>
            <color indexed="81"/>
            <rFont val="Segoe UI"/>
            <family val="2"/>
          </rPr>
          <t>Autor:</t>
        </r>
        <r>
          <rPr>
            <sz val="9"/>
            <color indexed="81"/>
            <rFont val="Segoe UI"/>
            <family val="2"/>
          </rPr>
          <t xml:space="preserve">
Jedná sa o hodinovú náročnosť implementácie danej požiadavky, pričom je hdonota UCP prenásobená PF stanoveným pra daný modul</t>
        </r>
      </text>
    </comment>
    <comment ref="Q2" authorId="0" shapeId="0">
      <text>
        <r>
          <rPr>
            <b/>
            <sz val="9"/>
            <color indexed="81"/>
            <rFont val="Segoe UI"/>
            <family val="2"/>
          </rPr>
          <t>Autor:</t>
        </r>
        <r>
          <rPr>
            <sz val="9"/>
            <color indexed="81"/>
            <rFont val="Segoe UI"/>
            <family val="2"/>
          </rPr>
          <t xml:space="preserve">
Je automaticky dotihanutá hodnota inkrementu pre daný modul ku každej požiadavke</t>
        </r>
      </text>
    </comment>
  </commentList>
</comments>
</file>

<file path=xl/comments7.xml><?xml version="1.0" encoding="utf-8"?>
<comments xmlns="http://schemas.openxmlformats.org/spreadsheetml/2006/main">
  <authors>
    <author>Autor</author>
  </authors>
  <commentList>
    <comment ref="A4" authorId="0" shapeId="0">
      <text>
        <r>
          <rPr>
            <b/>
            <sz val="9"/>
            <color indexed="81"/>
            <rFont val="Segoe UI"/>
            <family val="2"/>
          </rPr>
          <t>Autor:</t>
        </r>
        <r>
          <rPr>
            <sz val="9"/>
            <color indexed="81"/>
            <rFont val="Segoe UI"/>
            <family val="2"/>
          </rPr>
          <t xml:space="preserve">
Pre každý faktor je ptorebné stanoviť hodnotu z nasledovného rozsahu:
 - 0 - parameter je irelevantný pre projekt
 - 1 - parameter je veľmi málo dôležitý pre projekt
 - 2 - parameter je primerane dôležitý pre projekt
 - 3 - parameter je priemerne dôležitý pre projekt
 - 4 - parameter má viac ako priemernú dôležitosť ale nie je esenciálny
 - 5 - parameter je esenciálny pre projekt</t>
        </r>
      </text>
    </comment>
    <comment ref="F4" authorId="0" shapeId="0">
      <text>
        <r>
          <rPr>
            <b/>
            <sz val="9"/>
            <color indexed="81"/>
            <rFont val="Segoe UI"/>
            <family val="2"/>
          </rPr>
          <t>Autor:</t>
        </r>
        <r>
          <rPr>
            <sz val="9"/>
            <color indexed="81"/>
            <rFont val="Segoe UI"/>
            <family val="2"/>
          </rPr>
          <t xml:space="preserve">
Jedná sa o výber hodnoty váhy parametera pre projekt</t>
        </r>
      </text>
    </comment>
    <comment ref="A5" authorId="0" shapeId="0">
      <text>
        <r>
          <rPr>
            <b/>
            <sz val="9"/>
            <color indexed="81"/>
            <rFont val="Segoe UI"/>
            <family val="2"/>
          </rPr>
          <t>Autor:</t>
        </r>
        <r>
          <rPr>
            <sz val="9"/>
            <color indexed="81"/>
            <rFont val="Segoe UI"/>
            <family val="2"/>
          </rPr>
          <t xml:space="preserve">
PJe architektúra systému distribuovaná alebo centralizovaná?</t>
        </r>
      </text>
    </comment>
    <comment ref="B5" authorId="0" shapeId="0">
      <text>
        <r>
          <rPr>
            <b/>
            <sz val="9"/>
            <color indexed="81"/>
            <rFont val="Segoe UI"/>
            <family val="2"/>
          </rPr>
          <t>Autor:</t>
        </r>
        <r>
          <rPr>
            <sz val="9"/>
            <color indexed="81"/>
            <rFont val="Segoe UI"/>
            <family val="2"/>
          </rPr>
          <t xml:space="preserve">
Detail jednotlivých parametrov je popísaný v časti Metodika Príloha č. 1 – Technické faktory</t>
        </r>
      </text>
    </comment>
    <comment ref="A6" authorId="0" shapeId="0">
      <text>
        <r>
          <rPr>
            <b/>
            <sz val="9"/>
            <color indexed="81"/>
            <rFont val="Segoe UI"/>
            <family val="2"/>
          </rPr>
          <t>Autor:</t>
        </r>
        <r>
          <rPr>
            <sz val="9"/>
            <color indexed="81"/>
            <rFont val="Segoe UI"/>
            <family val="2"/>
          </rPr>
          <t xml:space="preserve">
Aký význam má časť odozvy aplikácie pre jej užívateľov?</t>
        </r>
      </text>
    </comment>
    <comment ref="A7" authorId="0" shapeId="0">
      <text>
        <r>
          <rPr>
            <b/>
            <sz val="9"/>
            <color indexed="81"/>
            <rFont val="Segoe UI"/>
            <family val="2"/>
          </rPr>
          <t>Autor:</t>
        </r>
        <r>
          <rPr>
            <sz val="9"/>
            <color indexed="81"/>
            <rFont val="Segoe UI"/>
            <family val="2"/>
          </rPr>
          <t xml:space="preserve">
Je aplikácia navrhnutá tak, aby umožňovala konečným používateľom vykonávať len svoju prácu alebo je určená na zvýšenie ich efektívnosti?</t>
        </r>
      </text>
    </comment>
    <comment ref="A8" authorId="0" shapeId="0">
      <text>
        <r>
          <rPr>
            <b/>
            <sz val="9"/>
            <color indexed="81"/>
            <rFont val="Segoe UI"/>
            <family val="2"/>
          </rPr>
          <t>Autor:</t>
        </r>
        <r>
          <rPr>
            <sz val="9"/>
            <color indexed="81"/>
            <rFont val="Segoe UI"/>
            <family val="2"/>
          </rPr>
          <t xml:space="preserve">
Potrebuje aplikácia zložité algoritmy?</t>
        </r>
      </text>
    </comment>
    <comment ref="A9" authorId="0" shapeId="0">
      <text>
        <r>
          <rPr>
            <b/>
            <sz val="9"/>
            <color indexed="81"/>
            <rFont val="Segoe UI"/>
            <family val="2"/>
          </rPr>
          <t>Autor:</t>
        </r>
        <r>
          <rPr>
            <sz val="9"/>
            <color indexed="81"/>
            <rFont val="Segoe UI"/>
            <family val="2"/>
          </rPr>
          <t xml:space="preserve">
Je aplikácia navrhnutá tak, aby jej kód a artefakty boli vysoko znovu použiteľné?</t>
        </r>
      </text>
    </comment>
    <comment ref="A10" authorId="0" shapeId="0">
      <text>
        <r>
          <rPr>
            <b/>
            <sz val="9"/>
            <color indexed="81"/>
            <rFont val="Segoe UI"/>
            <family val="2"/>
          </rPr>
          <t>Autor:</t>
        </r>
        <r>
          <rPr>
            <sz val="9"/>
            <color indexed="81"/>
            <rFont val="Segoe UI"/>
            <family val="2"/>
          </rPr>
          <t xml:space="preserve">
Bude aplikácia navrhnutá tak, aby bola jej inštalácia automatická (napríklad v prípade používateľov s nízkou alebo neznámou technickou kapacitou), alebo je tento parameter bezpredmetný?</t>
        </r>
      </text>
    </comment>
    <comment ref="A11" authorId="0" shapeId="0">
      <text>
        <r>
          <rPr>
            <b/>
            <sz val="9"/>
            <color indexed="81"/>
            <rFont val="Segoe UI"/>
            <family val="2"/>
          </rPr>
          <t>Autor:</t>
        </r>
        <r>
          <rPr>
            <sz val="9"/>
            <color indexed="81"/>
            <rFont val="Segoe UI"/>
            <family val="2"/>
          </rPr>
          <t xml:space="preserve">
Existujú špeciálne požiadavky týkajúce sa fungovania systému?</t>
        </r>
      </text>
    </comment>
    <comment ref="A12" authorId="0" shapeId="0">
      <text>
        <r>
          <rPr>
            <b/>
            <sz val="9"/>
            <color indexed="81"/>
            <rFont val="Segoe UI"/>
            <family val="2"/>
          </rPr>
          <t>Autor:</t>
        </r>
        <r>
          <rPr>
            <sz val="9"/>
            <color indexed="81"/>
            <rFont val="Segoe UI"/>
            <family val="2"/>
          </rPr>
          <t xml:space="preserve">
Je aplikácia alebo jej časti určená na prácu na viacerých platformách?</t>
        </r>
      </text>
    </comment>
    <comment ref="A13" authorId="0" shapeId="0">
      <text>
        <r>
          <rPr>
            <b/>
            <sz val="9"/>
            <color indexed="81"/>
            <rFont val="Segoe UI"/>
            <family val="2"/>
          </rPr>
          <t>Autor:</t>
        </r>
        <r>
          <rPr>
            <sz val="9"/>
            <color indexed="81"/>
            <rFont val="Segoe UI"/>
            <family val="2"/>
          </rPr>
          <t xml:space="preserve">
Vyžaduje klient, aby sa aplikácia dala v budúcnosti ľahko meniť?</t>
        </r>
      </text>
    </comment>
    <comment ref="A14" authorId="0" shapeId="0">
      <text>
        <r>
          <rPr>
            <b/>
            <sz val="9"/>
            <color indexed="81"/>
            <rFont val="Segoe UI"/>
            <family val="2"/>
          </rPr>
          <t>Autor:</t>
        </r>
        <r>
          <rPr>
            <sz val="9"/>
            <color indexed="81"/>
            <rFont val="Segoe UI"/>
            <family val="2"/>
          </rPr>
          <t xml:space="preserve">
Musí byť aplikácia navrhnutá tak, aby dokázala čeliť problémom súvisiacim so súbežnosťou, ako sú napríklad zdieľanie údajov a zdrojov?</t>
        </r>
      </text>
    </comment>
    <comment ref="A15" authorId="0" shapeId="0">
      <text>
        <r>
          <rPr>
            <b/>
            <sz val="9"/>
            <color indexed="81"/>
            <rFont val="Segoe UI"/>
            <family val="2"/>
          </rPr>
          <t>Autor:</t>
        </r>
        <r>
          <rPr>
            <sz val="9"/>
            <color indexed="81"/>
            <rFont val="Segoe UI"/>
            <family val="2"/>
          </rPr>
          <t xml:space="preserve">
Sú potreby zabezpečenia iba nominálne alebo je potrebný špeciálny dizajn a ďalšie špecifikácie?</t>
        </r>
      </text>
    </comment>
    <comment ref="A16" authorId="0" shapeId="0">
      <text>
        <r>
          <rPr>
            <b/>
            <sz val="9"/>
            <color indexed="81"/>
            <rFont val="Segoe UI"/>
            <family val="2"/>
          </rPr>
          <t>Autor:</t>
        </r>
        <r>
          <rPr>
            <sz val="9"/>
            <color indexed="81"/>
            <rFont val="Segoe UI"/>
            <family val="2"/>
          </rPr>
          <t xml:space="preserve">
Bude aplikácia používať kód, ktorý už bol vyvinutý, napríklad komerčné komponenty, rámce alebo knižnice? Vysoké opätovné použitie kvalitného softvéru znižuje hodnotu tejto položky, pretože si vyžaduje menšie vývojové úsilie.</t>
        </r>
      </text>
    </comment>
    <comment ref="A17" authorId="0" shapeId="0">
      <text>
        <r>
          <rPr>
            <b/>
            <sz val="9"/>
            <color indexed="81"/>
            <rFont val="Segoe UI"/>
            <family val="2"/>
          </rPr>
          <t>Autor:</t>
        </r>
        <r>
          <rPr>
            <sz val="9"/>
            <color indexed="81"/>
            <rFont val="Segoe UI"/>
            <family val="2"/>
          </rPr>
          <t xml:space="preserve">
Bude sa aplikácia ľahko používať alebo sa musí budúcim používateľom poskytnúť rozsiahle školenie?</t>
        </r>
      </text>
    </comment>
  </commentList>
</comments>
</file>

<file path=xl/comments8.xml><?xml version="1.0" encoding="utf-8"?>
<comments xmlns="http://schemas.openxmlformats.org/spreadsheetml/2006/main">
  <authors>
    <author>Autor</author>
  </authors>
  <commentList>
    <comment ref="A4" authorId="0" shapeId="0">
      <text>
        <r>
          <rPr>
            <b/>
            <sz val="9"/>
            <color indexed="81"/>
            <rFont val="Segoe UI"/>
            <family val="2"/>
          </rPr>
          <t>Autor:</t>
        </r>
        <r>
          <rPr>
            <sz val="9"/>
            <color indexed="81"/>
            <rFont val="Segoe UI"/>
            <family val="2"/>
          </rPr>
          <t xml:space="preserve">
Pre každý faktor je ptorebné stanoviť hodnotu z nasledovného rozsahu:
 - 0 - parameter je irelevantný pre projekt
 - 1 - parameter je veľmi málo dôležitý pre projekt
 - 2 - parameter je primerane dôležitý pre projekt
 - 3 - parameter je priemerne dôležitý pre projekt
 - 4 - parameter má viac ako priemernú dôležitosť ale nie je esenciálny
 - 5 - parameter je esenciálny pre projekt</t>
        </r>
      </text>
    </comment>
    <comment ref="F4" authorId="0" shapeId="0">
      <text>
        <r>
          <rPr>
            <b/>
            <sz val="9"/>
            <color indexed="81"/>
            <rFont val="Segoe UI"/>
            <family val="2"/>
          </rPr>
          <t>Autor:</t>
        </r>
        <r>
          <rPr>
            <sz val="9"/>
            <color indexed="81"/>
            <rFont val="Segoe UI"/>
            <family val="2"/>
          </rPr>
          <t xml:space="preserve">
Jedná sa o výber hodnoty váhy parametera pre projekt</t>
        </r>
      </text>
    </comment>
    <comment ref="A5" authorId="0" shapeId="0">
      <text>
        <r>
          <rPr>
            <b/>
            <sz val="9"/>
            <color indexed="81"/>
            <rFont val="Segoe UI"/>
            <family val="2"/>
          </rPr>
          <t>Autor:</t>
        </r>
        <r>
          <rPr>
            <sz val="9"/>
            <color indexed="81"/>
            <rFont val="Segoe UI"/>
            <family val="2"/>
          </rPr>
          <t xml:space="preserve">
Tento faktor hodnotí skúsenosti tímu (externy alebo interny podla typu inmplementacie) s vývojovým procesom, ktorý používajú.</t>
        </r>
      </text>
    </comment>
    <comment ref="B5" authorId="0" shapeId="0">
      <text>
        <r>
          <rPr>
            <b/>
            <sz val="9"/>
            <color indexed="81"/>
            <rFont val="Segoe UI"/>
            <family val="2"/>
          </rPr>
          <t>Autor:</t>
        </r>
        <r>
          <rPr>
            <sz val="9"/>
            <color indexed="81"/>
            <rFont val="Segoe UI"/>
            <family val="2"/>
          </rPr>
          <t xml:space="preserve">
Detail jednotlivých parametrov je popísaný v časti Metodika Príloha č. 2 – Environmentálne faktory</t>
        </r>
      </text>
    </comment>
    <comment ref="A6" authorId="0" shapeId="0">
      <text>
        <r>
          <rPr>
            <b/>
            <sz val="9"/>
            <color indexed="81"/>
            <rFont val="Segoe UI"/>
            <family val="2"/>
          </rPr>
          <t>Autor:</t>
        </r>
        <r>
          <rPr>
            <sz val="9"/>
            <color indexed="81"/>
            <rFont val="Segoe UI"/>
            <family val="2"/>
          </rPr>
          <t xml:space="preserve">
Tento faktor hodnotí znalosť tímu s oblasťou alebo doménou aplikácie. Napríklad ak sa aplikácia týka elektronického obchodu, pracoval už tím so systémami v rovnakej oblasti?</t>
        </r>
      </text>
    </comment>
    <comment ref="A7" authorId="0" shapeId="0">
      <text>
        <r>
          <rPr>
            <b/>
            <sz val="9"/>
            <color indexed="81"/>
            <rFont val="Segoe UI"/>
            <family val="2"/>
          </rPr>
          <t>Autor:</t>
        </r>
        <r>
          <rPr>
            <sz val="9"/>
            <color indexed="81"/>
            <rFont val="Segoe UI"/>
            <family val="2"/>
          </rPr>
          <t xml:space="preserve">
Tento faktor si nemožno zamieňať ani so znalosťou procesu vývoja (E1), ani so skúsenosťami s aplikáciou (E4): jedná sa o skúsenosti tímu s uskutočňovaním objektovo-orientovanej analýzy, modelovania, návrhu a programovania, nezávisle od aplikačnej oblasti a použitý vývojový proces.</t>
        </r>
      </text>
    </comment>
    <comment ref="A8" authorId="0" shapeId="0">
      <text>
        <r>
          <rPr>
            <b/>
            <sz val="9"/>
            <color indexed="81"/>
            <rFont val="Segoe UI"/>
            <family val="2"/>
          </rPr>
          <t>Autor:</t>
        </r>
        <r>
          <rPr>
            <sz val="9"/>
            <color indexed="81"/>
            <rFont val="Segoe UI"/>
            <family val="2"/>
          </rPr>
          <t xml:space="preserve">
Tento faktor meria skúsenosti vedúceho analytika s analýzou požiadaviek a objektovo orientovaným modelovaním.</t>
        </r>
      </text>
    </comment>
    <comment ref="A9" authorId="0" shapeId="0">
      <text>
        <r>
          <rPr>
            <b/>
            <sz val="9"/>
            <color indexed="81"/>
            <rFont val="Segoe UI"/>
            <family val="2"/>
          </rPr>
          <t>Autor:</t>
        </r>
        <r>
          <rPr>
            <sz val="9"/>
            <color indexed="81"/>
            <rFont val="Segoe UI"/>
            <family val="2"/>
          </rPr>
          <t xml:space="preserve">
Tento faktor popisuje motiváciu tímu.</t>
        </r>
      </text>
    </comment>
    <comment ref="A10" authorId="0" shapeId="0">
      <text>
        <r>
          <rPr>
            <b/>
            <sz val="9"/>
            <color indexed="81"/>
            <rFont val="Segoe UI"/>
            <family val="2"/>
          </rPr>
          <t>Autor:</t>
        </r>
        <r>
          <rPr>
            <sz val="9"/>
            <color indexed="81"/>
            <rFont val="Segoe UI"/>
            <family val="2"/>
          </rPr>
          <t xml:space="preserve">
Tento faktor hodnotí, či bol tím schopný udržať požiadavky stabilné v minulých projektoch a minimalizovať ich zmeny v priebehu projektu. Tento faktor sa môže líšiť od projektu k projektu, pretože existujú domény, kde sa požiadavky menia často nezávisle od kapacity analytikov. Tento faktor musí posudzovať iba zmeny softvéru, ktoré boli spôsobené neschopnosťou tímu zistiť správne požiadavky.</t>
        </r>
      </text>
    </comment>
    <comment ref="A11" authorId="0" shapeId="0">
      <text>
        <r>
          <rPr>
            <b/>
            <sz val="9"/>
            <color indexed="81"/>
            <rFont val="Segoe UI"/>
            <family val="2"/>
          </rPr>
          <t>Autor:</t>
        </r>
        <r>
          <rPr>
            <sz val="9"/>
            <color indexed="81"/>
            <rFont val="Segoe UI"/>
            <family val="2"/>
          </rPr>
          <t xml:space="preserve">
Toto je negatívny faktor, to znamená, že na rozdiel od ostatných faktorov tu vyššie hodnoty znamenajú viac času na vývoj, nie menej. Tím s mnohými členmi zapojenými do iných projektov alebo aktivít je menej produktívny ako špecializovaný tím.</t>
        </r>
      </text>
    </comment>
    <comment ref="A12" authorId="0" shapeId="0">
      <text>
        <r>
          <rPr>
            <b/>
            <sz val="9"/>
            <color indexed="81"/>
            <rFont val="Segoe UI"/>
            <family val="2"/>
          </rPr>
          <t>Autor:</t>
        </r>
        <r>
          <rPr>
            <sz val="9"/>
            <color indexed="81"/>
            <rFont val="Segoe UI"/>
            <family val="2"/>
          </rPr>
          <t xml:space="preserve">
Toto je ďalší negatívny faktor, čo znamená, že vysoké hodnoty tu nie sú dobré pre vývojový čas.</t>
        </r>
      </text>
    </comment>
  </commentList>
</comments>
</file>

<file path=xl/comments9.xml><?xml version="1.0" encoding="utf-8"?>
<comments xmlns="http://schemas.openxmlformats.org/spreadsheetml/2006/main">
  <authors>
    <author>Autor</author>
  </authors>
  <commentList>
    <comment ref="B1" authorId="0" shapeId="0">
      <text>
        <r>
          <rPr>
            <b/>
            <sz val="9"/>
            <color indexed="81"/>
            <rFont val="Segoe UI"/>
            <family val="2"/>
          </rPr>
          <t>Autor:</t>
        </r>
        <r>
          <rPr>
            <sz val="9"/>
            <color indexed="81"/>
            <rFont val="Segoe UI"/>
            <family val="2"/>
          </rPr>
          <t xml:space="preserve">
Je potrebné definovať užívateľa projektu, pričom užívateľom môže byť aj informačný systém.
V prípade potreby je možné prostredníctvom komentáru popísať o akého užívateľa alebo o koľko typov daného užívateľa sa jedná</t>
        </r>
      </text>
    </comment>
    <comment ref="B2" authorId="0" shapeId="0">
      <text>
        <r>
          <rPr>
            <b/>
            <sz val="9"/>
            <color indexed="81"/>
            <rFont val="Segoe UI"/>
            <family val="2"/>
          </rPr>
          <t>Autor:</t>
        </r>
        <r>
          <rPr>
            <sz val="9"/>
            <color indexed="81"/>
            <rFont val="Segoe UI"/>
            <family val="2"/>
          </rPr>
          <t xml:space="preserve">
Typ užívateľa sa vyberá z preddefinvoaného čísleníka, pričom sú takto užívatelia zaradený do homogénnych skupín</t>
        </r>
      </text>
    </comment>
    <comment ref="B3" authorId="0" shapeId="0">
      <text>
        <r>
          <rPr>
            <b/>
            <sz val="9"/>
            <color indexed="81"/>
            <rFont val="Segoe UI"/>
            <family val="2"/>
          </rPr>
          <t>Autor:</t>
        </r>
        <r>
          <rPr>
            <sz val="9"/>
            <color indexed="81"/>
            <rFont val="Segoe UI"/>
            <family val="2"/>
          </rPr>
          <t xml:space="preserve">
Jedná sa o stanovenie hodnoty zložitosti daného užívateľa pričom detailné vysvetlenie je v časti Metodiky - UAW</t>
        </r>
      </text>
    </comment>
    <comment ref="B4" authorId="0" shapeId="0">
      <text>
        <r>
          <rPr>
            <b/>
            <sz val="9"/>
            <color indexed="81"/>
            <rFont val="Segoe UI"/>
            <family val="2"/>
          </rPr>
          <t>Autor:</t>
        </r>
        <r>
          <rPr>
            <sz val="9"/>
            <color indexed="81"/>
            <rFont val="Segoe UI"/>
            <family val="2"/>
          </rPr>
          <t xml:space="preserve">
Jedná sa o stanovenie typového počtu daného užívateľa. Napr. v prípade ak je užívateľom občan, tak počet nie je 5 miliónov ale počet typov občanov.</t>
        </r>
      </text>
    </comment>
    <comment ref="B5" authorId="0" shapeId="0">
      <text>
        <r>
          <rPr>
            <b/>
            <sz val="9"/>
            <color indexed="81"/>
            <rFont val="Segoe UI"/>
            <family val="2"/>
          </rPr>
          <t>Autor:</t>
        </r>
        <r>
          <rPr>
            <sz val="9"/>
            <color indexed="81"/>
            <rFont val="Segoe UI"/>
            <family val="2"/>
          </rPr>
          <t xml:space="preserve">
Jedná sa o násobok medzi zložitosťou a Počtom užívateľov.</t>
        </r>
      </text>
    </comment>
    <comment ref="B6" authorId="0" shapeId="0">
      <text>
        <r>
          <rPr>
            <b/>
            <sz val="9"/>
            <color indexed="81"/>
            <rFont val="Segoe UI"/>
            <family val="2"/>
          </rPr>
          <t>Autor:</t>
        </r>
        <r>
          <rPr>
            <sz val="9"/>
            <color indexed="81"/>
            <rFont val="Segoe UI"/>
            <family val="2"/>
          </rPr>
          <t xml:space="preserve">
Pre každý modul pre prepočítaná váha užívateľov, ktorá je transformvoaná do záložky MODULY a následne do katalógu požiadaviek, k daným funkčným požiadavkám</t>
        </r>
      </text>
    </comment>
    <comment ref="C6" authorId="0" shapeId="0">
      <text>
        <r>
          <rPr>
            <b/>
            <sz val="9"/>
            <color rgb="FF000000"/>
            <rFont val="Segoe UI"/>
            <family val="2"/>
            <charset val="1"/>
          </rPr>
          <t>Autor:</t>
        </r>
        <r>
          <rPr>
            <sz val="9"/>
            <color rgb="FF000000"/>
            <rFont val="Segoe UI"/>
            <family val="2"/>
            <charset val="1"/>
          </rPr>
          <t xml:space="preserve">
Následne je potrebné stanoviť, pre ktorý modul je daný užívateľ relevantný. 
Ak je pre modul relevantný, zadaj v danej bunke hodnoru 1. 
Ak je irelevantný, bunka ostane prázdna</t>
        </r>
      </text>
    </comment>
    <comment ref="D6" authorId="0" shapeId="0">
      <text>
        <r>
          <rPr>
            <b/>
            <sz val="9"/>
            <color rgb="FF000000"/>
            <rFont val="Segoe UI"/>
            <family val="2"/>
            <charset val="1"/>
          </rPr>
          <t>Autor:</t>
        </r>
        <r>
          <rPr>
            <sz val="9"/>
            <color rgb="FF000000"/>
            <rFont val="Segoe UI"/>
            <family val="2"/>
            <charset val="1"/>
          </rPr>
          <t xml:space="preserve">
Následne je potrebné stanoviť, pre ktorý modul je daný užívateľ relevantný. 
Ak je pre modul relevantný, zadaj v danej bunke hodnoru 1. 
Ak je irelevantný, bunka ostane prázdna</t>
        </r>
      </text>
    </comment>
    <comment ref="E6" authorId="0" shapeId="0">
      <text>
        <r>
          <rPr>
            <b/>
            <sz val="9"/>
            <color rgb="FF000000"/>
            <rFont val="Segoe UI"/>
            <family val="2"/>
            <charset val="1"/>
          </rPr>
          <t>Autor:</t>
        </r>
        <r>
          <rPr>
            <sz val="9"/>
            <color rgb="FF000000"/>
            <rFont val="Segoe UI"/>
            <family val="2"/>
            <charset val="1"/>
          </rPr>
          <t xml:space="preserve">
Následne je potrebné stanoviť, pre ktorý modul je daný užívateľ relevantný. 
Ak je pre modul relevantný, zadaj v danej bunke hodnoru 1. 
Ak je irelevantný, bunka ostane prázdna</t>
        </r>
      </text>
    </comment>
    <comment ref="C7" authorId="0" shapeId="0">
      <text>
        <r>
          <rPr>
            <b/>
            <sz val="9"/>
            <color rgb="FF000000"/>
            <rFont val="Segoe UI"/>
            <family val="2"/>
            <charset val="1"/>
          </rPr>
          <t>Autor:</t>
        </r>
        <r>
          <rPr>
            <sz val="9"/>
            <color rgb="FF000000"/>
            <rFont val="Segoe UI"/>
            <family val="2"/>
            <charset val="1"/>
          </rPr>
          <t xml:space="preserve">
Následne je potrebné stanoviť, pre ktorý modul je daný užívateľ relevantný. 
Ak je pre modul relevantný, zadaj v danej bunke hodnoru 1. 
Ak je irelevantný, bunka ostane prázdna</t>
        </r>
      </text>
    </comment>
    <comment ref="D7" authorId="0" shapeId="0">
      <text>
        <r>
          <rPr>
            <b/>
            <sz val="9"/>
            <color indexed="81"/>
            <rFont val="Segoe UI"/>
            <family val="2"/>
          </rPr>
          <t>Autor:</t>
        </r>
        <r>
          <rPr>
            <sz val="9"/>
            <color indexed="81"/>
            <rFont val="Segoe UI"/>
            <family val="2"/>
          </rPr>
          <t xml:space="preserve">
Následne je potrebné stanoviť, pre ktorý modul je daný užívateľ relevantný. 
Ak je pre modul relevantný, zadaj v danej bunke hodnoru 1. 
Ak je irelevantný, bunka ostane prázdna</t>
        </r>
      </text>
    </comment>
    <comment ref="E7" authorId="0" shapeId="0">
      <text>
        <r>
          <rPr>
            <b/>
            <sz val="9"/>
            <color indexed="81"/>
            <rFont val="Segoe UI"/>
            <family val="2"/>
          </rPr>
          <t>Autor:</t>
        </r>
        <r>
          <rPr>
            <sz val="9"/>
            <color indexed="81"/>
            <rFont val="Segoe UI"/>
            <family val="2"/>
          </rPr>
          <t xml:space="preserve">
Následne je potrebné stanoviť, pre ktorý modul je daný užívateľ relevantný. 
Ak je pre modul relevantný, zadaj v danej bunke hodnoru 1. 
Ak je irelevantný, bunka ostane prázdna</t>
        </r>
      </text>
    </comment>
    <comment ref="C8" authorId="0" shapeId="0">
      <text>
        <r>
          <rPr>
            <b/>
            <sz val="9"/>
            <color rgb="FF000000"/>
            <rFont val="Segoe UI"/>
            <family val="2"/>
            <charset val="1"/>
          </rPr>
          <t>Autor:</t>
        </r>
        <r>
          <rPr>
            <sz val="9"/>
            <color rgb="FF000000"/>
            <rFont val="Segoe UI"/>
            <family val="2"/>
            <charset val="1"/>
          </rPr>
          <t xml:space="preserve">
Následne je potrebné stanoviť, pre ktorý modul je daný užívateľ relevantný. 
Ak je pre modul relevantný, zadaj v danej bunke hodnoru 1. 
Ak je irelevantný, bunka ostane prázdna</t>
        </r>
      </text>
    </comment>
    <comment ref="D8" authorId="0" shapeId="0">
      <text>
        <r>
          <rPr>
            <b/>
            <sz val="9"/>
            <color rgb="FF000000"/>
            <rFont val="Segoe UI"/>
            <family val="2"/>
            <charset val="1"/>
          </rPr>
          <t>Autor:</t>
        </r>
        <r>
          <rPr>
            <sz val="9"/>
            <color rgb="FF000000"/>
            <rFont val="Segoe UI"/>
            <family val="2"/>
            <charset val="1"/>
          </rPr>
          <t xml:space="preserve">
Následne je potrebné stanoviť, pre ktorý modul je daný užívateľ relevantný. 
Ak je pre modul relevantný, zadaj v danej bunke hodnoru 1. 
Ak je irelevantný, bunka ostane prázdna</t>
        </r>
      </text>
    </comment>
    <comment ref="E8" authorId="0" shapeId="0">
      <text>
        <r>
          <rPr>
            <b/>
            <sz val="9"/>
            <color rgb="FF000000"/>
            <rFont val="Segoe UI"/>
            <family val="2"/>
            <charset val="1"/>
          </rPr>
          <t>Autor:</t>
        </r>
        <r>
          <rPr>
            <sz val="9"/>
            <color rgb="FF000000"/>
            <rFont val="Segoe UI"/>
            <family val="2"/>
            <charset val="1"/>
          </rPr>
          <t xml:space="preserve">
Následne je potrebné stanoviť, pre ktorý modul je daný užívateľ relevantný. 
Ak je pre modul relevantný, zadaj v danej bunke hodnoru 1. 
Ak je irelevantný, bunka ostane prázdna</t>
        </r>
      </text>
    </comment>
  </commentList>
</comments>
</file>

<file path=xl/comments10.xml><?xml version="1.0" encoding="utf-8"?>
<comments xmlns="http://schemas.openxmlformats.org/spreadsheetml/2006/main">
  <authors>
    <author>Autor</author>
  </authors>
  <commentList>
    <comment ref="B2" authorId="0" shapeId="0">
      <text>
        <r>
          <rPr>
            <b/>
            <sz val="9"/>
            <color indexed="81"/>
            <rFont val="Segoe UI"/>
            <family val="2"/>
          </rPr>
          <t>Autor:</t>
        </r>
        <r>
          <rPr>
            <sz val="9"/>
            <color indexed="81"/>
            <rFont val="Segoe UI"/>
            <family val="2"/>
          </rPr>
          <t xml:space="preserve">
Je potrebné vybrať modul, pre ktorý boli definované náklady na vývoj aplikácie. 
Každý modul je potrebné priradiť ku všetkým 4 aktivitám projektu. 
Následne budú všetky nákaldy na moduly prepočítané ako pre:
 - interné zdroje - cez váhu nákladov modulov na celkových odhadovanýych nákladoch vývoja aplikácií
 - externé zdroje - rovnako cez váhu modulov na projekte</t>
        </r>
      </text>
    </comment>
    <comment ref="D2" authorId="0" shapeId="0">
      <text>
        <r>
          <rPr>
            <b/>
            <sz val="9"/>
            <color indexed="81"/>
            <rFont val="Segoe UI"/>
            <family val="2"/>
          </rPr>
          <t>Autor:</t>
        </r>
        <r>
          <rPr>
            <sz val="9"/>
            <color indexed="81"/>
            <rFont val="Segoe UI"/>
            <family val="2"/>
          </rPr>
          <t xml:space="preserve">
V prípade potreby možno doplniť detailizáciu pre daný modul a danú aktivitu</t>
        </r>
      </text>
    </comment>
    <comment ref="K2" authorId="0" shapeId="0">
      <text>
        <r>
          <rPr>
            <b/>
            <sz val="9"/>
            <color indexed="81"/>
            <rFont val="Segoe UI"/>
            <family val="2"/>
          </rPr>
          <t>Autor:</t>
        </r>
        <r>
          <rPr>
            <sz val="9"/>
            <color indexed="81"/>
            <rFont val="Segoe UI"/>
            <family val="2"/>
          </rPr>
          <t xml:space="preserve">
Náklady sú následne transformované do záložky TCO TO BE - SW do časti vývoj aplikácií</t>
        </r>
      </text>
    </comment>
    <comment ref="L2" authorId="0" shapeId="0">
      <text>
        <r>
          <rPr>
            <b/>
            <sz val="9"/>
            <color indexed="81"/>
            <rFont val="Segoe UI"/>
            <family val="2"/>
          </rPr>
          <t>Autor:</t>
        </r>
        <r>
          <rPr>
            <sz val="9"/>
            <color indexed="81"/>
            <rFont val="Segoe UI"/>
            <family val="2"/>
          </rPr>
          <t xml:space="preserve">
V prípade potreby je možné doplniť potrebné poznámky</t>
        </r>
      </text>
    </comment>
  </commentList>
</comments>
</file>

<file path=xl/comments11.xml><?xml version="1.0" encoding="utf-8"?>
<comments xmlns="http://schemas.openxmlformats.org/spreadsheetml/2006/main">
  <authors>
    <author>Autor</author>
  </authors>
  <commentList>
    <comment ref="A3" authorId="0" shapeId="0">
      <text>
        <r>
          <rPr>
            <b/>
            <sz val="9"/>
            <color indexed="81"/>
            <rFont val="Segoe UI"/>
            <family val="2"/>
          </rPr>
          <t>Autor:</t>
        </r>
        <r>
          <rPr>
            <sz val="9"/>
            <color indexed="81"/>
            <rFont val="Segoe UI"/>
            <family val="2"/>
          </rPr>
          <t xml:space="preserve">
V tejto záložke je potrebné transformvoať odhadovnú prácnosť projektu na jednotlivé faýzy projektu:
 - analýza a dizajn
 - implementácia
 - testovanie
 - nasadenie
Rovnako je potrebné definovať pozície, ktoré sa na projekte budú podieľať.
Počty MDs pre dané pozície sú vypočítané z celkovej predpokladanej náročnosti projektu * % podielu danej fázy na projekte * % podiel pozácie na danej fáze projektu</t>
        </r>
      </text>
    </comment>
    <comment ref="B3" authorId="0" shapeId="0">
      <text>
        <r>
          <rPr>
            <b/>
            <sz val="9"/>
            <color indexed="81"/>
            <rFont val="Segoe UI"/>
            <family val="2"/>
          </rPr>
          <t>Autor:</t>
        </r>
        <r>
          <rPr>
            <sz val="9"/>
            <color indexed="81"/>
            <rFont val="Segoe UI"/>
            <family val="2"/>
          </rPr>
          <t xml:space="preserve">
Možné zadať % hodnoty pre danú fázu projektu vyjadrené v % z celkového počtu potrebných kapacít
Celková hodnota za všetky fázy projektu musí byť 100%. V opačnom prípade budú hodnoty zvýrazené červenou</t>
        </r>
      </text>
    </comment>
    <comment ref="E3" authorId="0" shapeId="0">
      <text>
        <r>
          <rPr>
            <b/>
            <sz val="9"/>
            <color indexed="81"/>
            <rFont val="Segoe UI"/>
            <family val="2"/>
          </rPr>
          <t>Autor:</t>
        </r>
        <r>
          <rPr>
            <sz val="9"/>
            <color indexed="81"/>
            <rFont val="Segoe UI"/>
            <family val="2"/>
          </rPr>
          <t xml:space="preserve">
Priemerná vážená sadzba je potrebná pre rozdelenie nákladov v záložke Rozpoct - Vyvoje aplikacie</t>
        </r>
      </text>
    </comment>
    <comment ref="F3" authorId="0" shapeId="0">
      <text>
        <r>
          <rPr>
            <b/>
            <sz val="9"/>
            <color indexed="81"/>
            <rFont val="Segoe UI"/>
            <family val="2"/>
          </rPr>
          <t>Autor:</t>
        </r>
        <r>
          <rPr>
            <sz val="9"/>
            <color indexed="81"/>
            <rFont val="Segoe UI"/>
            <family val="2"/>
          </rPr>
          <t xml:space="preserve">
Je potrebné vybrať pozície, ktoré sa na danej aktivite budú podieľať. Výber je z preddefinovaného číselníka pozícií.</t>
        </r>
      </text>
    </comment>
    <comment ref="J3" authorId="0" shapeId="0">
      <text>
        <r>
          <rPr>
            <b/>
            <sz val="9"/>
            <color indexed="81"/>
            <rFont val="Segoe UI"/>
            <family val="2"/>
          </rPr>
          <t>Autor:</t>
        </r>
        <r>
          <rPr>
            <sz val="9"/>
            <color indexed="81"/>
            <rFont val="Segoe UI"/>
            <family val="2"/>
          </rPr>
          <t xml:space="preserve">
Je potrebné stanoviť %, ktorým bude participovať daná pozícia na aktivite. Suma % za všetky pozície na danej aktivite musí byť 100%.
V opačnom prípade budú hodnoty označené červenou farbou</t>
        </r>
      </text>
    </comment>
    <comment ref="Q3" authorId="0" shapeId="0">
      <text>
        <r>
          <rPr>
            <b/>
            <sz val="9"/>
            <color rgb="FF000000"/>
            <rFont val="Segoe UI"/>
            <family val="2"/>
            <charset val="1"/>
          </rPr>
          <t>Autor:</t>
        </r>
        <r>
          <rPr>
            <sz val="9"/>
            <color rgb="FF000000"/>
            <rFont val="Segoe UI"/>
            <family val="2"/>
            <charset val="1"/>
          </rPr>
          <t xml:space="preserve">
Číselník pozícií vychádza z metodickej príručky o operačnému programu Integrovaná infraštrutkúra</t>
        </r>
      </text>
    </comment>
    <comment ref="R3" authorId="0" shapeId="0">
      <text>
        <r>
          <rPr>
            <b/>
            <sz val="9"/>
            <color rgb="FF000000"/>
            <rFont val="Segoe UI"/>
            <family val="2"/>
            <charset val="1"/>
          </rPr>
          <t>Autor:</t>
        </r>
        <r>
          <rPr>
            <sz val="9"/>
            <color rgb="FF000000"/>
            <rFont val="Segoe UI"/>
            <family val="2"/>
            <charset val="1"/>
          </rPr>
          <t xml:space="preserve">
Je potrebné stanoviť predpokladanú hodnotu sadzby pre danú pozíciu. Hodnota nesmie prekročiť hranicu stanovanú metodickou príručkou. 
Zároveň by mala byť aj pod hranicou sadzby, ktorá vyplýva z revízie výdavkou pre niektoré pozície. V opačnom prípade je zvýrazená oranžovou farbou.</t>
        </r>
      </text>
    </comment>
    <comment ref="W3" authorId="0" shapeId="0">
      <text>
        <r>
          <rPr>
            <b/>
            <sz val="9"/>
            <color indexed="81"/>
            <rFont val="Segoe UI"/>
            <family val="2"/>
          </rPr>
          <t>Autor:</t>
        </r>
        <r>
          <rPr>
            <sz val="9"/>
            <color indexed="81"/>
            <rFont val="Segoe UI"/>
            <family val="2"/>
          </rPr>
          <t xml:space="preserve">
V tajto časti možno vidieť podiel pozície na celkovm počte MDs pre daný projekt. 
V prípade, ak je hodnota vyššia ako hodnota satanovená príručkou je tejto fakt zvýrazený ako NAD.
V opačnom prípade, je súlad označný ako OK.</t>
        </r>
      </text>
    </comment>
    <comment ref="B4" authorId="0" shapeId="0">
      <text>
        <r>
          <rPr>
            <b/>
            <sz val="9"/>
            <color indexed="81"/>
            <rFont val="Segoe UI"/>
            <family val="2"/>
          </rPr>
          <t>Autor:</t>
        </r>
        <r>
          <rPr>
            <sz val="9"/>
            <color indexed="81"/>
            <rFont val="Segoe UI"/>
            <family val="2"/>
          </rPr>
          <t xml:space="preserve">
10% - 35%</t>
        </r>
      </text>
    </comment>
    <comment ref="B16" authorId="0" shapeId="0">
      <text>
        <r>
          <rPr>
            <b/>
            <sz val="9"/>
            <color rgb="FF000000"/>
            <rFont val="Segoe UI"/>
            <family val="2"/>
            <charset val="1"/>
          </rPr>
          <t>Autor:</t>
        </r>
        <r>
          <rPr>
            <sz val="9"/>
            <color rgb="FF000000"/>
            <rFont val="Segoe UI"/>
            <family val="2"/>
            <charset val="1"/>
          </rPr>
          <t xml:space="preserve">
30% - 80%</t>
        </r>
      </text>
    </comment>
    <comment ref="B28" authorId="0" shapeId="0">
      <text>
        <r>
          <rPr>
            <b/>
            <sz val="9"/>
            <color indexed="81"/>
            <rFont val="Segoe UI"/>
            <family val="2"/>
          </rPr>
          <t>Autor:</t>
        </r>
        <r>
          <rPr>
            <sz val="9"/>
            <color indexed="81"/>
            <rFont val="Segoe UI"/>
            <family val="2"/>
          </rPr>
          <t xml:space="preserve">
15% - 30%</t>
        </r>
      </text>
    </comment>
    <comment ref="B40" authorId="0" shapeId="0">
      <text>
        <r>
          <rPr>
            <b/>
            <sz val="9"/>
            <color indexed="81"/>
            <rFont val="Segoe UI"/>
            <family val="2"/>
          </rPr>
          <t>Autor:</t>
        </r>
        <r>
          <rPr>
            <sz val="9"/>
            <color indexed="81"/>
            <rFont val="Segoe UI"/>
            <family val="2"/>
          </rPr>
          <t xml:space="preserve">
Je potrebné stanoviť dĺžku trvania danej fázy projektu, pričom následne sa táto hodnota využije na definovanie počtu MDs pre danú pozíciu na aktivite.</t>
        </r>
      </text>
    </comment>
    <comment ref="F40" authorId="0" shapeId="0">
      <text>
        <r>
          <rPr>
            <b/>
            <sz val="9"/>
            <color indexed="81"/>
            <rFont val="Segoe UI"/>
            <family val="2"/>
          </rPr>
          <t>Autor:</t>
        </r>
        <r>
          <rPr>
            <sz val="9"/>
            <color indexed="81"/>
            <rFont val="Segoe UI"/>
            <family val="2"/>
          </rPr>
          <t xml:space="preserve">
Je potrebné vybrať pozície, ktoré sa na danej aktivite budú podieľať. Výber je z preddefinovaného číselníka pozícií.</t>
        </r>
      </text>
    </comment>
    <comment ref="J40" authorId="0" shapeId="0">
      <text>
        <r>
          <rPr>
            <b/>
            <sz val="9"/>
            <color indexed="81"/>
            <rFont val="Segoe UI"/>
            <family val="2"/>
          </rPr>
          <t>Autor:</t>
        </r>
        <r>
          <rPr>
            <sz val="9"/>
            <color indexed="81"/>
            <rFont val="Segoe UI"/>
            <family val="2"/>
          </rPr>
          <t xml:space="preserve">
Jedná sa o stanovenie alokácie danej pozície na aktivite vyjadrenej FTE (full time equvivalent)
Ak požadujem napr.:
 - 1 PM IT projektu aby sa venoval riadeniu na 50%, tak v bunke sa uvedie hodnota 0,5.
 - 2 Finančnych manažérov, pričom jeden bude FULL TIME a druhy na 50%, počas trvania aktivity, uvedie sa hodnota 1,5 
a pod.</t>
        </r>
      </text>
    </comment>
  </commentList>
</comments>
</file>

<file path=xl/comments12.xml><?xml version="1.0" encoding="utf-8"?>
<comments xmlns="http://schemas.openxmlformats.org/spreadsheetml/2006/main">
  <authors>
    <author>Autor</author>
  </authors>
  <commentList>
    <comment ref="Q1" authorId="0" shapeId="0">
      <text>
        <r>
          <rPr>
            <b/>
            <sz val="9"/>
            <color indexed="81"/>
            <rFont val="Segoe UI"/>
            <family val="2"/>
          </rPr>
          <t>Autor:</t>
        </r>
        <r>
          <rPr>
            <sz val="9"/>
            <color indexed="81"/>
            <rFont val="Segoe UI"/>
            <family val="2"/>
          </rPr>
          <t xml:space="preserve">
Potrebne urcit hodnotu odvodoveho koeficienta - napr. 0,3495, alebo 0,352 podla typu zamestnaneckeho pomeru</t>
        </r>
      </text>
    </comment>
    <comment ref="Q2" authorId="0" shapeId="0">
      <text>
        <r>
          <rPr>
            <b/>
            <sz val="9"/>
            <color rgb="FF000000"/>
            <rFont val="Segoe UI"/>
            <family val="2"/>
            <charset val="1"/>
          </rPr>
          <t>Autor:</t>
        </r>
        <r>
          <rPr>
            <sz val="9"/>
            <color rgb="FF000000"/>
            <rFont val="Segoe UI"/>
            <family val="2"/>
            <charset val="1"/>
          </rPr>
          <t xml:space="preserve">
Je možné stanoviť % odmeny z hrubej mzdy.
V prépade projektov z OP II je maximálna sadzba 20%</t>
        </r>
      </text>
    </comment>
    <comment ref="A3" authorId="0" shapeId="0">
      <text>
        <r>
          <rPr>
            <b/>
            <sz val="9"/>
            <color indexed="81"/>
            <rFont val="Segoe UI"/>
            <family val="2"/>
          </rPr>
          <t>Autor:</t>
        </r>
        <r>
          <rPr>
            <sz val="9"/>
            <color indexed="81"/>
            <rFont val="Segoe UI"/>
            <family val="2"/>
          </rPr>
          <t xml:space="preserve">
V tejto záložke má možnosť klient naplánovať interné zdroje na projekt, pričom sa jedná o pridelenie pozícií k danej fáze projektu a stanovenie ich utilizácie na danej aktivite.</t>
        </r>
      </text>
    </comment>
    <comment ref="B3" authorId="0" shapeId="0">
      <text>
        <r>
          <rPr>
            <b/>
            <sz val="9"/>
            <color rgb="FF000000"/>
            <rFont val="Segoe UI"/>
            <family val="2"/>
            <charset val="1"/>
          </rPr>
          <t>Autor:</t>
        </r>
        <r>
          <rPr>
            <sz val="9"/>
            <color rgb="FF000000"/>
            <rFont val="Segoe UI"/>
            <family val="2"/>
            <charset val="1"/>
          </rPr>
          <t xml:space="preserve">
Je potrebné stanoviť dĺžku trvania danej fázy projektu, pričom následne sa táto hodnota využije na definovanie počtu MDs pre danú pozíciu na aktivite.</t>
        </r>
      </text>
    </comment>
    <comment ref="C3" authorId="0" shapeId="0">
      <text>
        <r>
          <rPr>
            <b/>
            <sz val="9"/>
            <color rgb="FF000000"/>
            <rFont val="Segoe UI"/>
            <family val="2"/>
            <charset val="1"/>
          </rPr>
          <t>Autor:</t>
        </r>
        <r>
          <rPr>
            <sz val="9"/>
            <color rgb="FF000000"/>
            <rFont val="Segoe UI"/>
            <family val="2"/>
            <charset val="1"/>
          </rPr>
          <t xml:space="preserve">
Ide o sumár počtu MDs pre danú aktivitu za všetky pozície</t>
        </r>
      </text>
    </comment>
    <comment ref="D3" authorId="0" shapeId="0">
      <text>
        <r>
          <rPr>
            <b/>
            <sz val="9"/>
            <color rgb="FF000000"/>
            <rFont val="Segoe UI"/>
            <family val="2"/>
            <charset val="1"/>
          </rPr>
          <t>Autor:</t>
        </r>
        <r>
          <rPr>
            <sz val="9"/>
            <color rgb="FF000000"/>
            <rFont val="Segoe UI"/>
            <family val="2"/>
            <charset val="1"/>
          </rPr>
          <t xml:space="preserve">
Táto hodnota sa použie na rozloženie nákladov na moduly v záložke Rozpočet - vyvoj aplikácie</t>
        </r>
      </text>
    </comment>
    <comment ref="E3" authorId="0" shapeId="0">
      <text>
        <r>
          <rPr>
            <b/>
            <sz val="9"/>
            <color rgb="FF000000"/>
            <rFont val="Segoe UI"/>
            <family val="2"/>
            <charset val="1"/>
          </rPr>
          <t>Autor:</t>
        </r>
        <r>
          <rPr>
            <sz val="9"/>
            <color rgb="FF000000"/>
            <rFont val="Segoe UI"/>
            <family val="2"/>
            <charset val="1"/>
          </rPr>
          <t xml:space="preserve">
Je potrebné vybrať pozície, ktoré sa na danej aktivite budú podieľať. Výber je z preddefinovaného číselníka pozícií, ktorý je možné dopĺňať podľa potreby o pozície, ktoré nie sú štandardizovane pomenované.</t>
        </r>
      </text>
    </comment>
    <comment ref="F3" authorId="0" shapeId="0">
      <text>
        <r>
          <rPr>
            <b/>
            <sz val="9"/>
            <color rgb="FF000000"/>
            <rFont val="Segoe UI"/>
            <family val="2"/>
            <charset val="1"/>
          </rPr>
          <t>Autor:</t>
        </r>
        <r>
          <rPr>
            <sz val="9"/>
            <color rgb="FF000000"/>
            <rFont val="Segoe UI"/>
            <family val="2"/>
            <charset val="1"/>
          </rPr>
          <t xml:space="preserve">
Jedná sa o stanovenie alokácie danej pozície na aktivite vyjadrenej v honote % z jej 100% pravocnej náplne.
Ak mám napr. IT architekta a chcem aby sa podieľal na analýze svojimi 30 % tak uvedená hodnota bude 30%</t>
        </r>
      </text>
    </comment>
    <comment ref="G3" authorId="0" shapeId="0">
      <text>
        <r>
          <rPr>
            <b/>
            <sz val="9"/>
            <color indexed="81"/>
            <rFont val="Segoe UI"/>
            <family val="2"/>
          </rPr>
          <t>Autor:</t>
        </r>
        <r>
          <rPr>
            <sz val="9"/>
            <color indexed="81"/>
            <rFont val="Segoe UI"/>
            <family val="2"/>
          </rPr>
          <t xml:space="preserve">
Jedná sa o počet MDs danej pozície na aktivite, vypočítanej ako počet pozícií * trvanie aktivity * % utilizácie na projekte * 20 dní v mesiaci</t>
        </r>
      </text>
    </comment>
    <comment ref="M3" authorId="0" shapeId="0">
      <text>
        <r>
          <rPr>
            <b/>
            <sz val="9"/>
            <color indexed="81"/>
            <rFont val="Segoe UI"/>
            <family val="2"/>
          </rPr>
          <t>Autor:</t>
        </r>
        <r>
          <rPr>
            <sz val="9"/>
            <color indexed="81"/>
            <rFont val="Segoe UI"/>
            <family val="2"/>
          </rPr>
          <t xml:space="preserve">
edná sa o preddefinovaný číselník pozícií, ktorý je možné doplniť v prípade potreby o špecifické pozície</t>
        </r>
      </text>
    </comment>
    <comment ref="O3" authorId="0" shapeId="0">
      <text>
        <r>
          <rPr>
            <b/>
            <sz val="9"/>
            <color indexed="81"/>
            <rFont val="Segoe UI"/>
            <family val="2"/>
          </rPr>
          <t>Autor:</t>
        </r>
        <r>
          <rPr>
            <sz val="9"/>
            <color indexed="81"/>
            <rFont val="Segoe UI"/>
            <family val="2"/>
          </rPr>
          <t xml:space="preserve">
Jedná sa o stanovenie početu pozícii, ktoré na projekte budú participovať. Napr. budeme mať 2 Analytikov a 1 IT Architekta</t>
        </r>
      </text>
    </comment>
    <comment ref="P3" authorId="0" shapeId="0">
      <text>
        <r>
          <rPr>
            <b/>
            <sz val="9"/>
            <color indexed="81"/>
            <rFont val="Segoe UI"/>
            <family val="2"/>
          </rPr>
          <t>Autor:</t>
        </r>
        <r>
          <rPr>
            <sz val="9"/>
            <color indexed="81"/>
            <rFont val="Segoe UI"/>
            <family val="2"/>
          </rPr>
          <t xml:space="preserve">
Jedná sa o stanovenie osobných hodinových nákladov na danú pozíciu. Teda o tzv. suberhrubú mzdu, ktorá zohľadňuje aj náklady na strane zamestanávateľa.
Hodnota by nemala vybočovať so štandardizovaných osobných nákladov v danej organizácií pre obdobené pozície. 
Rovnako by nemala presiahnúť stanovené limity v zmysle metodickej príručky, ak sa jedná o OPII projekty.</t>
        </r>
      </text>
    </comment>
    <comment ref="U3" authorId="0" shapeId="0">
      <text>
        <r>
          <rPr>
            <b/>
            <sz val="9"/>
            <color indexed="81"/>
            <rFont val="Segoe UI"/>
            <family val="2"/>
          </rPr>
          <t>Autor:</t>
        </r>
        <r>
          <rPr>
            <sz val="9"/>
            <color indexed="81"/>
            <rFont val="Segoe UI"/>
            <family val="2"/>
          </rPr>
          <t xml:space="preserve">
Jedná sa o maximálnu možnú sadzbu v zmysle príručky pre žiadateľov OP II, ktorá je nasledovná:
 - hlavné aktivity
     - junior - 15€/hodina - hrubá mzda
     - senior - 25€/hodina - hrubá mzda
 - podporne aktivity - max 15 €/hodina - hrubá mzda</t>
        </r>
      </text>
    </comment>
  </commentList>
</comments>
</file>

<file path=xl/comments13.xml><?xml version="1.0" encoding="utf-8"?>
<comments xmlns="http://schemas.openxmlformats.org/spreadsheetml/2006/main">
  <authors>
    <author>Autor</author>
  </authors>
  <commentList>
    <comment ref="A2" authorId="0" shapeId="0">
      <text>
        <r>
          <rPr>
            <b/>
            <sz val="9"/>
            <color indexed="81"/>
            <rFont val="Segoe UI"/>
            <family val="2"/>
          </rPr>
          <t>Autor:</t>
        </r>
        <r>
          <rPr>
            <sz val="9"/>
            <color indexed="81"/>
            <rFont val="Segoe UI"/>
            <family val="2"/>
          </rPr>
          <t xml:space="preserve">
Pre každú zadefinovanú položku je potrebné stanoviť aj modul, pre ktorý je daná položka plánovaná.</t>
        </r>
      </text>
    </comment>
    <comment ref="B2" authorId="0" shapeId="0">
      <text>
        <r>
          <rPr>
            <b/>
            <sz val="9"/>
            <color indexed="81"/>
            <rFont val="Segoe UI"/>
            <family val="2"/>
          </rPr>
          <t>Autor:</t>
        </r>
        <r>
          <rPr>
            <sz val="9"/>
            <color indexed="81"/>
            <rFont val="Segoe UI"/>
            <family val="2"/>
          </rPr>
          <t xml:space="preserve">
Potrebné pomenovať položku, ktorá bude predmetom dodávky</t>
        </r>
      </text>
    </comment>
    <comment ref="C2" authorId="0" shapeId="0">
      <text>
        <r>
          <rPr>
            <b/>
            <sz val="9"/>
            <color indexed="81"/>
            <rFont val="Segoe UI"/>
            <family val="2"/>
          </rPr>
          <t>Autor:</t>
        </r>
        <r>
          <rPr>
            <sz val="9"/>
            <color indexed="81"/>
            <rFont val="Segoe UI"/>
            <family val="2"/>
          </rPr>
          <t xml:space="preserve">
Je potrebné vybrať z nasledovných možností, aby sa dali náklady transformovať následne do príslušných zošitov:
 - HW - TCO TO BE - HW
 - SW pre HW - TCO TO BE - HW
 - SW - TCO TO BE - SW</t>
        </r>
      </text>
    </comment>
    <comment ref="D2" authorId="0" shapeId="0">
      <text>
        <r>
          <rPr>
            <b/>
            <sz val="9"/>
            <color indexed="81"/>
            <rFont val="Segoe UI"/>
            <family val="2"/>
          </rPr>
          <t>Autor:</t>
        </r>
        <r>
          <rPr>
            <sz val="9"/>
            <color indexed="81"/>
            <rFont val="Segoe UI"/>
            <family val="2"/>
          </rPr>
          <t xml:space="preserve">
Účtovná položka slúži na správne zaradenie nákladov podľa účtových položiek to TCO TO BE - SW alebo TCO TO BE - HW.
Pre TCO TO BE - HW použite položky 022 a 112
Pre TCO TO BE - SW použitie položku 013</t>
        </r>
      </text>
    </comment>
    <comment ref="E2" authorId="0" shapeId="0">
      <text>
        <r>
          <rPr>
            <b/>
            <sz val="9"/>
            <color indexed="81"/>
            <rFont val="Segoe UI"/>
            <family val="2"/>
          </rPr>
          <t>Autor:</t>
        </r>
        <r>
          <rPr>
            <sz val="9"/>
            <color indexed="81"/>
            <rFont val="Segoe UI"/>
            <family val="2"/>
          </rPr>
          <t xml:space="preserve">
Predstavuje mernú jednotku pre danú položku - väčšinou sa jedná o takú jednotku na ktorú je viazaná cenotvorba</t>
        </r>
      </text>
    </comment>
    <comment ref="F2" authorId="0" shapeId="0">
      <text>
        <r>
          <rPr>
            <b/>
            <sz val="9"/>
            <color indexed="81"/>
            <rFont val="Segoe UI"/>
            <family val="2"/>
          </rPr>
          <t>Autor:</t>
        </r>
        <r>
          <rPr>
            <sz val="9"/>
            <color indexed="81"/>
            <rFont val="Segoe UI"/>
            <family val="2"/>
          </rPr>
          <t xml:space="preserve">
Stanovíte počet jednotiek danej položky</t>
        </r>
      </text>
    </comment>
    <comment ref="G2" authorId="0" shapeId="0">
      <text>
        <r>
          <rPr>
            <b/>
            <sz val="9"/>
            <color indexed="81"/>
            <rFont val="Segoe UI"/>
            <family val="2"/>
          </rPr>
          <t>Autor:</t>
        </r>
        <r>
          <rPr>
            <sz val="9"/>
            <color indexed="81"/>
            <rFont val="Segoe UI"/>
            <family val="2"/>
          </rPr>
          <t xml:space="preserve">
Predstavuje rok, v ktorom by mali byť položky dodané. 
Na základe stanoveného roku sa naplánujú aj predmetné náklady do daného roku.
Jedná sa o stanovenie císelnej hodnoty od 1 - 10, ktora predstavuje rok trvania projektu v ktoriom sa doda predmetná položka - viď. metodika</t>
        </r>
      </text>
    </comment>
    <comment ref="H2" authorId="0" shapeId="0">
      <text>
        <r>
          <rPr>
            <b/>
            <sz val="9"/>
            <color indexed="81"/>
            <rFont val="Segoe UI"/>
            <family val="2"/>
          </rPr>
          <t>Autor:</t>
        </r>
        <r>
          <rPr>
            <sz val="9"/>
            <color indexed="81"/>
            <rFont val="Segoe UI"/>
            <family val="2"/>
          </rPr>
          <t xml:space="preserve">
Jedná sa o stanovenie jednotkovej ceny danej položky, ktorá vstupuje do celkových nákladov danej položky</t>
        </r>
      </text>
    </comment>
    <comment ref="J2" authorId="0" shapeId="0">
      <text>
        <r>
          <rPr>
            <b/>
            <sz val="9"/>
            <color indexed="81"/>
            <rFont val="Segoe UI"/>
            <family val="2"/>
          </rPr>
          <t>Autor:</t>
        </r>
        <r>
          <rPr>
            <sz val="9"/>
            <color indexed="81"/>
            <rFont val="Segoe UI"/>
            <family val="2"/>
          </rPr>
          <t xml:space="preserve">
Je potrebné jasne stanoviť z akého zdroja boli ceny prebraté. Väčšinou sa jedná či už o existujúce zmluvy alebo o prieskum trhu alebo o cenníkové ceny potenciálneho dodávateľa a pod.</t>
        </r>
      </text>
    </comment>
  </commentList>
</comments>
</file>

<file path=xl/comments14.xml><?xml version="1.0" encoding="utf-8"?>
<comments xmlns="http://schemas.openxmlformats.org/spreadsheetml/2006/main">
  <authors>
    <author>Autor</author>
  </authors>
  <commentList>
    <comment ref="B2" authorId="0" shapeId="0">
      <text>
        <r>
          <rPr>
            <b/>
            <sz val="9"/>
            <color indexed="81"/>
            <rFont val="Segoe UI"/>
            <family val="2"/>
          </rPr>
          <t>Autor:</t>
        </r>
        <r>
          <rPr>
            <sz val="9"/>
            <color indexed="81"/>
            <rFont val="Segoe UI"/>
            <family val="2"/>
          </rPr>
          <t xml:space="preserve">
Táto záložka slúži na vytvorenie relatívne rýchleho harmonogramu projektu cez mesiace trvania aktivít a jeho ganttovej podoby.
V prvom momente je potrebné vybrať moduly pre ktoré sa harmonogram tvorí.</t>
        </r>
      </text>
    </comment>
    <comment ref="D2" authorId="0" shapeId="0">
      <text>
        <r>
          <rPr>
            <b/>
            <sz val="9"/>
            <color indexed="81"/>
            <rFont val="Segoe UI"/>
            <family val="2"/>
          </rPr>
          <t>Autor:</t>
        </r>
        <r>
          <rPr>
            <sz val="9"/>
            <color indexed="81"/>
            <rFont val="Segoe UI"/>
            <family val="2"/>
          </rPr>
          <t xml:space="preserve">
Po výbere modulu sa dotiahne príslušný inkrement, v ktorom má byť modul dodaný aj s dátumom začiatku a konca daného inkrementu.</t>
        </r>
      </text>
    </comment>
    <comment ref="G2" authorId="0" shapeId="0">
      <text>
        <r>
          <rPr>
            <b/>
            <sz val="9"/>
            <color indexed="81"/>
            <rFont val="Segoe UI"/>
            <family val="2"/>
          </rPr>
          <t>Autor:</t>
        </r>
        <r>
          <rPr>
            <sz val="9"/>
            <color indexed="81"/>
            <rFont val="Segoe UI"/>
            <family val="2"/>
          </rPr>
          <t xml:space="preserve">
Pre každý inkrement sa stanoví začiatočný mesiac inkrementu z pohľadu celého projektu.
Pre daľšie fázy projektu je potrebné zvoliť ich začiatočný mesiac (od začiatku projektu)</t>
        </r>
      </text>
    </comment>
    <comment ref="H2" authorId="0" shapeId="0">
      <text>
        <r>
          <rPr>
            <b/>
            <sz val="9"/>
            <color indexed="81"/>
            <rFont val="Segoe UI"/>
            <family val="2"/>
          </rPr>
          <t>Autor:</t>
        </r>
        <r>
          <rPr>
            <sz val="9"/>
            <color indexed="81"/>
            <rFont val="Segoe UI"/>
            <family val="2"/>
          </rPr>
          <t xml:space="preserve">
Jedná sa o technický parameter pre potreby Gant Chartu</t>
        </r>
      </text>
    </comment>
    <comment ref="I2" authorId="0" shapeId="0">
      <text>
        <r>
          <rPr>
            <b/>
            <sz val="9"/>
            <color indexed="81"/>
            <rFont val="Segoe UI"/>
            <family val="2"/>
          </rPr>
          <t>Autor:</t>
        </r>
        <r>
          <rPr>
            <sz val="9"/>
            <color indexed="81"/>
            <rFont val="Segoe UI"/>
            <family val="2"/>
          </rPr>
          <t xml:space="preserve">
Pre každú fázu projektu (orekm poslednej - ta je dopočítaná automaticky) je ptorebné stanoviť dobu trvania v mesiacoch.</t>
        </r>
      </text>
    </comment>
    <comment ref="J2" authorId="0" shapeId="0">
      <text>
        <r>
          <rPr>
            <b/>
            <sz val="9"/>
            <color indexed="81"/>
            <rFont val="Segoe UI"/>
            <family val="2"/>
          </rPr>
          <t>Autor:</t>
        </r>
        <r>
          <rPr>
            <sz val="9"/>
            <color indexed="81"/>
            <rFont val="Segoe UI"/>
            <family val="2"/>
          </rPr>
          <t xml:space="preserve">
Koniec danej fázy je prepočítaný na základe hodnoty Start a Trvanie.</t>
        </r>
      </text>
    </comment>
  </commentList>
</comments>
</file>

<file path=xl/comments15.xml><?xml version="1.0" encoding="utf-8"?>
<comments xmlns="http://schemas.openxmlformats.org/spreadsheetml/2006/main">
  <authors>
    <author>Autor</author>
  </authors>
  <commentList>
    <comment ref="A6" authorId="0" shapeId="0">
      <text>
        <r>
          <rPr>
            <b/>
            <sz val="9"/>
            <color indexed="81"/>
            <rFont val="Segoe UI"/>
            <family val="2"/>
          </rPr>
          <t>Autor:</t>
        </r>
        <r>
          <rPr>
            <sz val="9"/>
            <color indexed="81"/>
            <rFont val="Segoe UI"/>
            <family val="2"/>
          </rPr>
          <t xml:space="preserve">
Do tejto často sa transformujú náklady zo záložky Rozpočet - HW a licencie označené ako SW.
Pričom sú kalkulované v roku dodania danej položky.</t>
        </r>
      </text>
    </comment>
    <comment ref="A16" authorId="0" shapeId="0">
      <text>
        <r>
          <rPr>
            <b/>
            <sz val="9"/>
            <color indexed="81"/>
            <rFont val="Segoe UI"/>
            <family val="2"/>
          </rPr>
          <t>Autor:</t>
        </r>
        <r>
          <rPr>
            <sz val="9"/>
            <color indexed="81"/>
            <rFont val="Segoe UI"/>
            <family val="2"/>
          </rPr>
          <t xml:space="preserve">
Túto sekciu je potrebné vyplniť v prípade potreby manuálne</t>
        </r>
      </text>
    </comment>
    <comment ref="A26" authorId="0" shapeId="0">
      <text>
        <r>
          <rPr>
            <b/>
            <sz val="9"/>
            <color indexed="81"/>
            <rFont val="Segoe UI"/>
            <family val="2"/>
          </rPr>
          <t>Autor:</t>
        </r>
        <r>
          <rPr>
            <sz val="9"/>
            <color indexed="81"/>
            <rFont val="Segoe UI"/>
            <family val="2"/>
          </rPr>
          <t xml:space="preserve">
Túto sekciu je potrebné vyplniť v prípade potreby manuálne</t>
        </r>
      </text>
    </comment>
    <comment ref="A37" authorId="0" shapeId="0">
      <text>
        <r>
          <rPr>
            <b/>
            <sz val="9"/>
            <color indexed="81"/>
            <rFont val="Segoe UI"/>
            <family val="2"/>
          </rPr>
          <t>Autor:</t>
        </r>
        <r>
          <rPr>
            <sz val="9"/>
            <color indexed="81"/>
            <rFont val="Segoe UI"/>
            <family val="2"/>
          </rPr>
          <t xml:space="preserve">
Do tejto sekcie sa pre jednotlivé moduly transformujú náklady z Rozpocet - Vyvoj aplikacii, pricom su kalkulovane v roku, kedy končí inkrement, do ktorého je modul zaradený</t>
        </r>
      </text>
    </comment>
    <comment ref="A47" authorId="0" shapeId="0">
      <text>
        <r>
          <rPr>
            <b/>
            <sz val="9"/>
            <color rgb="FF000000"/>
            <rFont val="Segoe UI"/>
            <family val="2"/>
            <charset val="1"/>
          </rPr>
          <t>Autor:</t>
        </r>
        <r>
          <rPr>
            <sz val="9"/>
            <color rgb="FF000000"/>
            <rFont val="Segoe UI"/>
            <family val="2"/>
            <charset val="1"/>
          </rPr>
          <t xml:space="preserve">
Túto sekciu je potrebné vyplniť v prípade potreby manuálne</t>
        </r>
      </text>
    </comment>
    <comment ref="A57" authorId="0" shapeId="0">
      <text>
        <r>
          <rPr>
            <b/>
            <sz val="9"/>
            <color indexed="81"/>
            <rFont val="Segoe UI"/>
            <family val="2"/>
          </rPr>
          <t>Autor:</t>
        </r>
        <r>
          <rPr>
            <sz val="9"/>
            <color indexed="81"/>
            <rFont val="Segoe UI"/>
            <family val="2"/>
          </rPr>
          <t xml:space="preserve">
Do tejto seckcie sa transformujú náklady definované v časti POZICIE_INTERNE a to z hlavných aktivít (Analýa a dizajn, Implementácia, Nasadenie, Testovanie).
Rovnako sú kalkulované do roku ukončenia príslušného inkrementu.</t>
        </r>
      </text>
    </comment>
    <comment ref="A67" authorId="0" shapeId="0">
      <text>
        <r>
          <rPr>
            <b/>
            <sz val="9"/>
            <color indexed="81"/>
            <rFont val="Segoe UI"/>
            <family val="2"/>
          </rPr>
          <t>Autor:</t>
        </r>
        <r>
          <rPr>
            <sz val="9"/>
            <color indexed="81"/>
            <rFont val="Segoe UI"/>
            <family val="2"/>
          </rPr>
          <t xml:space="preserve">
Túto sekciu je potrebné vyplniť v prípade potreby manuálne</t>
        </r>
      </text>
    </comment>
    <comment ref="A79" authorId="0" shapeId="0">
      <text>
        <r>
          <rPr>
            <b/>
            <sz val="9"/>
            <color indexed="81"/>
            <rFont val="Segoe UI"/>
            <family val="2"/>
          </rPr>
          <t>Autor:</t>
        </r>
        <r>
          <rPr>
            <sz val="9"/>
            <color indexed="81"/>
            <rFont val="Segoe UI"/>
            <family val="2"/>
          </rPr>
          <t xml:space="preserve">
Táto sekcia počíta náklady ako obstarávacia hodnota SW produktov (013 Softvér) * hodnota supportov pre daný modul stanovená v záložke MODULY
Kalkulácia začína rokom uvedeným ako začiatok podpory / supportu pre daný modul  v záložke MODULY
Náklady sú rozložené podľa váhy modulov.</t>
        </r>
      </text>
    </comment>
    <comment ref="A89" authorId="0" shapeId="0">
      <text>
        <r>
          <rPr>
            <b/>
            <sz val="9"/>
            <color indexed="81"/>
            <rFont val="Segoe UI"/>
            <family val="2"/>
          </rPr>
          <t>Autor:</t>
        </r>
        <r>
          <rPr>
            <sz val="9"/>
            <color indexed="81"/>
            <rFont val="Segoe UI"/>
            <family val="2"/>
          </rPr>
          <t xml:space="preserve">
Táto sekcia počíta náklady ako obstarávacia hodnota SW produktov (013 Softvér) * hodnota Rovzoja pre daný modul stanovená v záložke MODULY
Kalkulácia začína rokom uvedeným ako začiatok podpory / supportu pre daný modul  v záložke MODULY
Náklady sú rozložené podľa váhy modulov.</t>
        </r>
      </text>
    </comment>
    <comment ref="A100" authorId="0" shapeId="0">
      <text>
        <r>
          <rPr>
            <b/>
            <sz val="9"/>
            <color indexed="81"/>
            <rFont val="Segoe UI"/>
            <family val="2"/>
          </rPr>
          <t>Autor:</t>
        </r>
        <r>
          <rPr>
            <sz val="9"/>
            <color indexed="81"/>
            <rFont val="Segoe UI"/>
            <family val="2"/>
          </rPr>
          <t xml:space="preserve">
Táto sekcia počíta náklady ako obstarávacia hodnota Aplikácií (013 Softvér) * hodnota Aplikačnej podpory pre daný modul stanovená v záložke MODULY
Kalkulácia začína rokom uvedeným ako začiatok podpory / supportu pre daný modul  v záložke MODULY
Náklady sú rozložené podľa váhy modulov.</t>
        </r>
      </text>
    </comment>
    <comment ref="A110" authorId="0" shapeId="0">
      <text>
        <r>
          <rPr>
            <b/>
            <sz val="9"/>
            <color indexed="81"/>
            <rFont val="Segoe UI"/>
            <family val="2"/>
          </rPr>
          <t>Autor:</t>
        </r>
        <r>
          <rPr>
            <sz val="9"/>
            <color indexed="81"/>
            <rFont val="Segoe UI"/>
            <family val="2"/>
          </rPr>
          <t xml:space="preserve">
Túto sekciu je potrebné vyplniť v prípade potreby manuálne</t>
        </r>
      </text>
    </comment>
    <comment ref="A120" authorId="0" shapeId="0">
      <text>
        <r>
          <rPr>
            <b/>
            <sz val="9"/>
            <color indexed="81"/>
            <rFont val="Segoe UI"/>
            <family val="2"/>
          </rPr>
          <t>Autor:</t>
        </r>
        <r>
          <rPr>
            <sz val="9"/>
            <color indexed="81"/>
            <rFont val="Segoe UI"/>
            <family val="2"/>
          </rPr>
          <t xml:space="preserve">
Táto sekcia počíta náklady ako obstarávacia hodnota Aplikácií (013 Softvér) * hodnota Rozvoja pre daný modul stanovená v záložke MODULY
Kalkulácia začína rokom uvedeným ako začiatok podpory / supportu pre daný modul  v záložke MODULY
Náklady sú rozložené podľa váhy modulov.</t>
        </r>
      </text>
    </comment>
    <comment ref="A130" authorId="0" shapeId="0">
      <text>
        <r>
          <rPr>
            <b/>
            <sz val="9"/>
            <color indexed="81"/>
            <rFont val="Segoe UI"/>
            <family val="2"/>
          </rPr>
          <t>Autor:</t>
        </r>
        <r>
          <rPr>
            <sz val="9"/>
            <color indexed="81"/>
            <rFont val="Segoe UI"/>
            <family val="2"/>
          </rPr>
          <t xml:space="preserve">
Túto sekciu je potrebné vyplniť v prípade potreby manuálne</t>
        </r>
      </text>
    </comment>
    <comment ref="A140" authorId="0" shapeId="0">
      <text>
        <r>
          <rPr>
            <b/>
            <sz val="9"/>
            <color indexed="81"/>
            <rFont val="Segoe UI"/>
            <family val="2"/>
          </rPr>
          <t>Autor:</t>
        </r>
        <r>
          <rPr>
            <sz val="9"/>
            <color indexed="81"/>
            <rFont val="Segoe UI"/>
            <family val="2"/>
          </rPr>
          <t xml:space="preserve">
Túto sekciu je potrebné vyplniť v prípade potreby manuálne</t>
        </r>
      </text>
    </comment>
    <comment ref="A151" authorId="0" shapeId="0">
      <text>
        <r>
          <rPr>
            <b/>
            <sz val="9"/>
            <color indexed="81"/>
            <rFont val="Segoe UI"/>
            <family val="2"/>
          </rPr>
          <t>Autor:</t>
        </r>
        <r>
          <rPr>
            <sz val="9"/>
            <color indexed="81"/>
            <rFont val="Segoe UI"/>
            <family val="2"/>
          </rPr>
          <t xml:space="preserve">
Táto sekcia je predvyplnená na základe údajov uvedených v záložke POZICIE_INTERNE z aktivity projektové riadenie.
Náklady sú kalkulované na základe váh jednotlivých modulov ako aj dĺžky trvanai projektu v jednotlivých rokoch.
V prípade, ak by bolo projektové riadenie zabezpečované externými zdrojmi, je potrebné manuálne doplniť tieto údaje</t>
        </r>
      </text>
    </comment>
    <comment ref="A161" authorId="0" shapeId="0">
      <text>
        <r>
          <rPr>
            <b/>
            <sz val="9"/>
            <color rgb="FF000000"/>
            <rFont val="Segoe UI"/>
            <family val="2"/>
            <charset val="1"/>
          </rPr>
          <t>Autor:</t>
        </r>
        <r>
          <rPr>
            <sz val="9"/>
            <color rgb="FF000000"/>
            <rFont val="Segoe UI"/>
            <family val="2"/>
            <charset val="1"/>
          </rPr>
          <t xml:space="preserve">
Túto sekciu je potrebné vyplniť v prípade potreby manuálne</t>
        </r>
      </text>
    </comment>
    <comment ref="A172" authorId="0" shapeId="0">
      <text>
        <r>
          <rPr>
            <b/>
            <sz val="9"/>
            <color rgb="FF000000"/>
            <rFont val="Segoe UI"/>
            <family val="2"/>
            <charset val="1"/>
          </rPr>
          <t>Autor:</t>
        </r>
        <r>
          <rPr>
            <sz val="9"/>
            <color rgb="FF000000"/>
            <rFont val="Segoe UI"/>
            <family val="2"/>
            <charset val="1"/>
          </rPr>
          <t xml:space="preserve">
Túto sekciu je potrebné vyplniť v prípade potreby manuálne</t>
        </r>
      </text>
    </comment>
    <comment ref="A182" authorId="0" shapeId="0">
      <text>
        <r>
          <rPr>
            <b/>
            <sz val="9"/>
            <color rgb="FF000000"/>
            <rFont val="Segoe UI"/>
            <family val="2"/>
            <charset val="1"/>
          </rPr>
          <t>Autor:</t>
        </r>
        <r>
          <rPr>
            <sz val="9"/>
            <color rgb="FF000000"/>
            <rFont val="Segoe UI"/>
            <family val="2"/>
            <charset val="1"/>
          </rPr>
          <t xml:space="preserve">
Túto sekciu je potrebné vyplniť v prípade potreby manuálne</t>
        </r>
      </text>
    </comment>
  </commentList>
</comments>
</file>

<file path=xl/comments16.xml><?xml version="1.0" encoding="utf-8"?>
<comments xmlns="http://schemas.openxmlformats.org/spreadsheetml/2006/main">
  <authors>
    <author>Autor</author>
  </authors>
  <commentList>
    <comment ref="A5" authorId="0" shapeId="0">
      <text>
        <r>
          <rPr>
            <b/>
            <sz val="9"/>
            <color indexed="81"/>
            <rFont val="Segoe UI"/>
            <family val="2"/>
          </rPr>
          <t>Autor:</t>
        </r>
        <r>
          <rPr>
            <sz val="9"/>
            <color indexed="81"/>
            <rFont val="Segoe UI"/>
            <family val="2"/>
          </rPr>
          <t xml:space="preserve">
Náklady do tejto sekcie sú transformované zo záložky Rozpočet - HW a licencie a to ako suma položiek označných ako:
 - HW 
 - SW pre HW
zaradených do nákladovej triedy 022 Samostatné hnuteľné veci a súbory hnuteľných vecí
Rok kalkulácie nákladu závisí od roku uvedeného ako rok dodávky daného komponentu</t>
        </r>
      </text>
    </comment>
    <comment ref="A15" authorId="0" shapeId="0">
      <text>
        <r>
          <rPr>
            <b/>
            <sz val="9"/>
            <color indexed="81"/>
            <rFont val="Segoe UI"/>
            <family val="2"/>
          </rPr>
          <t>Autor:</t>
        </r>
        <r>
          <rPr>
            <sz val="9"/>
            <color indexed="81"/>
            <rFont val="Segoe UI"/>
            <family val="2"/>
          </rPr>
          <t xml:space="preserve">
Náklady do tejto sekcie sú transformované zo záložky Rozpočet - HW a licencie a to ako suma položiek označných ako:
 - HW 
 - SW pre HW
zaradených do nákladovej triedy 112 Zásoby
Rok kalkulácie nákladu závisí od roku uvedeného ako rok dodávky daného komponentu</t>
        </r>
      </text>
    </comment>
    <comment ref="A25" authorId="0" shapeId="0">
      <text>
        <r>
          <rPr>
            <b/>
            <sz val="9"/>
            <color indexed="81"/>
            <rFont val="Segoe UI"/>
            <family val="2"/>
          </rPr>
          <t>Autor:</t>
        </r>
        <r>
          <rPr>
            <sz val="9"/>
            <color indexed="81"/>
            <rFont val="Segoe UI"/>
            <family val="2"/>
          </rPr>
          <t xml:space="preserve">
Túto sekciu je potrebné v prípade potreby vyplniť manuálne</t>
        </r>
      </text>
    </comment>
    <comment ref="A35" authorId="0" shapeId="0">
      <text>
        <r>
          <rPr>
            <b/>
            <sz val="9"/>
            <color indexed="81"/>
            <rFont val="Segoe UI"/>
            <family val="2"/>
          </rPr>
          <t>Autor:</t>
        </r>
        <r>
          <rPr>
            <sz val="9"/>
            <color indexed="81"/>
            <rFont val="Segoe UI"/>
            <family val="2"/>
          </rPr>
          <t xml:space="preserve">
Túto sekciu je potrebné v prípade potreby vyplniť manuálne
Jedná sa o mzdové výdavky interných pracovíkov, ktoré sú využité na inštalačné práce a pod.</t>
        </r>
      </text>
    </comment>
    <comment ref="A45" authorId="0" shapeId="0">
      <text>
        <r>
          <rPr>
            <b/>
            <sz val="9"/>
            <color indexed="81"/>
            <rFont val="Segoe UI"/>
            <family val="2"/>
          </rPr>
          <t>Autor:</t>
        </r>
        <r>
          <rPr>
            <sz val="9"/>
            <color indexed="81"/>
            <rFont val="Segoe UI"/>
            <family val="2"/>
          </rPr>
          <t xml:space="preserve">
Túto sekciu je potrebné v prípade potreby vyplniť manuálne</t>
        </r>
      </text>
    </comment>
    <comment ref="A56" authorId="0" shapeId="0">
      <text>
        <r>
          <rPr>
            <b/>
            <sz val="9"/>
            <color indexed="81"/>
            <rFont val="Segoe UI"/>
            <family val="2"/>
          </rPr>
          <t>Autor:</t>
        </r>
        <r>
          <rPr>
            <sz val="9"/>
            <color indexed="81"/>
            <rFont val="Segoe UI"/>
            <family val="2"/>
          </rPr>
          <t xml:space="preserve">
Táto sekcia počíta náklady ako obstarávacia hodnota Nákup, inštalácia a sprevádzkovanie HW 
vrátane systémového SW (022) * hodnota supportov pre daný modul stanovená v záložke MODULY
Kalkulácia začína rokom uvedeným ako začiatok podpory / supportu pre daný modul  v záložke MODULY
Náklady sú rozložené podľa váhy modulov.</t>
        </r>
      </text>
    </comment>
    <comment ref="A66" authorId="0" shapeId="0">
      <text>
        <r>
          <rPr>
            <b/>
            <sz val="9"/>
            <color indexed="81"/>
            <rFont val="Segoe UI"/>
            <family val="2"/>
          </rPr>
          <t>Autor:</t>
        </r>
        <r>
          <rPr>
            <sz val="9"/>
            <color indexed="81"/>
            <rFont val="Segoe UI"/>
            <family val="2"/>
          </rPr>
          <t xml:space="preserve">
Túto sekciu je potrebné v prípade potreby vyplniť manuálne</t>
        </r>
      </text>
    </comment>
    <comment ref="A76" authorId="0" shapeId="0">
      <text>
        <r>
          <rPr>
            <b/>
            <sz val="9"/>
            <color indexed="81"/>
            <rFont val="Segoe UI"/>
            <family val="2"/>
          </rPr>
          <t>Autor:</t>
        </r>
        <r>
          <rPr>
            <sz val="9"/>
            <color indexed="81"/>
            <rFont val="Segoe UI"/>
            <family val="2"/>
          </rPr>
          <t xml:space="preserve">
Túto sekciu je potrebné v prípade potreby vyplniť manuálne</t>
        </r>
      </text>
    </comment>
    <comment ref="A86" authorId="0" shapeId="0">
      <text>
        <r>
          <rPr>
            <b/>
            <sz val="9"/>
            <color indexed="81"/>
            <rFont val="Segoe UI"/>
            <family val="2"/>
          </rPr>
          <t>Autor:</t>
        </r>
        <r>
          <rPr>
            <sz val="9"/>
            <color indexed="81"/>
            <rFont val="Segoe UI"/>
            <family val="2"/>
          </rPr>
          <t xml:space="preserve">
Túto sekciu je potrebné v prípade potreby vyplniť manuálne</t>
        </r>
      </text>
    </comment>
    <comment ref="A96" authorId="0" shapeId="0">
      <text>
        <r>
          <rPr>
            <b/>
            <sz val="9"/>
            <color indexed="81"/>
            <rFont val="Segoe UI"/>
            <family val="2"/>
          </rPr>
          <t>Autor:</t>
        </r>
        <r>
          <rPr>
            <sz val="9"/>
            <color indexed="81"/>
            <rFont val="Segoe UI"/>
            <family val="2"/>
          </rPr>
          <t xml:space="preserve">
Túto sekciu je potrebné v prípade potreby vyplniť manuálne</t>
        </r>
      </text>
    </comment>
  </commentList>
</comments>
</file>

<file path=xl/comments17.xml><?xml version="1.0" encoding="utf-8"?>
<comments xmlns="http://schemas.openxmlformats.org/spreadsheetml/2006/main">
  <authors>
    <author>Autor</author>
  </authors>
  <commentList>
    <comment ref="A7" authorId="0" shapeId="0">
      <text>
        <r>
          <rPr>
            <b/>
            <sz val="9"/>
            <color indexed="81"/>
            <rFont val="Segoe UI"/>
            <family val="2"/>
          </rPr>
          <t>Autor:</t>
        </r>
        <r>
          <rPr>
            <sz val="9"/>
            <color indexed="81"/>
            <rFont val="Segoe UI"/>
            <family val="2"/>
          </rPr>
          <t xml:space="preserve">
Potrebné aktualizovať podľa informácii zo SU SR</t>
        </r>
      </text>
    </comment>
    <comment ref="A10" authorId="0" shapeId="0">
      <text>
        <r>
          <rPr>
            <b/>
            <sz val="9"/>
            <color indexed="81"/>
            <rFont val="Segoe UI"/>
            <family val="2"/>
          </rPr>
          <t>Autor:</t>
        </r>
        <r>
          <rPr>
            <sz val="9"/>
            <color indexed="81"/>
            <rFont val="Segoe UI"/>
            <family val="2"/>
          </rPr>
          <t xml:space="preserve">
Potrebné aktualizovať podľa informácii zo SU SR</t>
        </r>
      </text>
    </comment>
    <comment ref="A12" authorId="0" shapeId="0">
      <text>
        <r>
          <rPr>
            <b/>
            <sz val="9"/>
            <color indexed="81"/>
            <rFont val="Segoe UI"/>
            <family val="2"/>
          </rPr>
          <t>Autor:</t>
        </r>
        <r>
          <rPr>
            <sz val="9"/>
            <color indexed="81"/>
            <rFont val="Segoe UI"/>
            <family val="2"/>
          </rPr>
          <t xml:space="preserve">
Potrebne aktualizovať pre daný rok, v ktorom sa plánuje pojekt realizovať</t>
        </r>
      </text>
    </comment>
    <comment ref="A13" authorId="0" shapeId="0">
      <text>
        <r>
          <rPr>
            <b/>
            <sz val="9"/>
            <color indexed="81"/>
            <rFont val="Segoe UI"/>
            <family val="2"/>
          </rPr>
          <t>Autor:</t>
        </r>
        <r>
          <rPr>
            <sz val="9"/>
            <color indexed="81"/>
            <rFont val="Segoe UI"/>
            <family val="2"/>
          </rPr>
          <t xml:space="preserve">
Potrebne aktualizovať pre daný rok, v ktorom sa plánuje pojekt realizovať</t>
        </r>
      </text>
    </comment>
  </commentList>
</comments>
</file>

<file path=xl/sharedStrings.xml><?xml version="1.0" encoding="utf-8"?>
<sst xmlns="http://schemas.openxmlformats.org/spreadsheetml/2006/main" count="6408" uniqueCount="2546">
  <si>
    <t>Názov</t>
  </si>
  <si>
    <t>Popis</t>
  </si>
  <si>
    <t>Hodnota</t>
  </si>
  <si>
    <t>Životnosť projektu (t)</t>
  </si>
  <si>
    <t>Referenčné obdobie je počet rokov, na ktorý sa vo finančnej analýze (analýze nákladov a výnosov) uvádzajú predpovede. Predpovede týkajúce sa budúceho trendu projektu by sa mali formulovať na obdobie, ktoré je primerané jeho ekonomicky užitočnému trvaniu a ktoré je dosť dlhé na to, aby zahŕňalo jeho pravdepodobné dlhodobejšie dosahy. Ide o časové obdobie, kedy je možné overiť úspešnosť investície. Trvanie sa mení podľa povahy investície. Referenčný časový horizont v rokoch podľa sektorov je uvedený podľa prílohy 1 Delegovaného nariadenia Komisie (EÚ) 480/2014 z 3. marca 2014, ktorým sa dopĺňa všeobecné nariadenie.</t>
  </si>
  <si>
    <t>Referenčná diskontná sadzba (i)</t>
  </si>
  <si>
    <t>Sociálna diskontná sadzba (r)</t>
  </si>
  <si>
    <t>Cieľom CBA je preukázať pri štrukturálne významných investíciách, že ekonomická čistá súčasná hodnota za dané obdobie a pri stanovenej sociálnej diskontnej sadzbe je kladná.</t>
  </si>
  <si>
    <t>Diskontovanie odhadovaných nákladov a prínosov: keď sa odhadne tok ekonomických nákladov a prínosov, mala by sa uplatniť štandardná diskontovaná metodika peňažného toku pomocou sociálnej diskontnej sadzby</t>
  </si>
  <si>
    <t>Osobné náklady (Cper)</t>
  </si>
  <si>
    <t>Jednotka</t>
  </si>
  <si>
    <t>rok</t>
  </si>
  <si>
    <t>%</t>
  </si>
  <si>
    <t>EUR</t>
  </si>
  <si>
    <t xml:space="preserve">Diskontná sadzba, ktorá sa má používať vo finančnej analýze má informovať investora o alternatívnych kapitálových nákladoch. Môže sa za ňu považovať ušlý výnos najlepšieho alternatívneho projektu.
V prípade verejných investičných projektov spolufinancovaných z fondov sa stanovuje 4 % finančná diskontná sadzbu pre výpočet čistej súčasnej hodnoty investície v stálych cenách roku predloženia žiadosti o NFP.
</t>
  </si>
  <si>
    <t>EUR/hod</t>
  </si>
  <si>
    <t>Čistá súčasná hodnota z projektu</t>
  </si>
  <si>
    <t>Finančné prínosy</t>
  </si>
  <si>
    <t>Ekonomické prínosy</t>
  </si>
  <si>
    <t>koeficient obdobia</t>
  </si>
  <si>
    <t>Finančná (FNPV)</t>
  </si>
  <si>
    <t>Ekonomická (ENPV)</t>
  </si>
  <si>
    <t>Kumulovaná diskont. návratnosť ENPV</t>
  </si>
  <si>
    <t>Obdobie</t>
  </si>
  <si>
    <t>rozdiel</t>
  </si>
  <si>
    <t>t1</t>
  </si>
  <si>
    <t>t2</t>
  </si>
  <si>
    <t>t3</t>
  </si>
  <si>
    <t>t4</t>
  </si>
  <si>
    <t>t5</t>
  </si>
  <si>
    <t>t6</t>
  </si>
  <si>
    <t>t7</t>
  </si>
  <si>
    <t>t8</t>
  </si>
  <si>
    <t>t9</t>
  </si>
  <si>
    <t>t10</t>
  </si>
  <si>
    <t>SPOLU</t>
  </si>
  <si>
    <t>Cashflow projektu</t>
  </si>
  <si>
    <t>počet / rok</t>
  </si>
  <si>
    <t>hod.</t>
  </si>
  <si>
    <t>Kvalitatívne prínosy</t>
  </si>
  <si>
    <t>Parameter</t>
  </si>
  <si>
    <t>Počet podaní</t>
  </si>
  <si>
    <t>Výška administratívneho poplatku</t>
  </si>
  <si>
    <t>Počet zamestnancov vybavujúcich agendu</t>
  </si>
  <si>
    <t>Priame prínosy</t>
  </si>
  <si>
    <t>Nepriame prínosy</t>
  </si>
  <si>
    <t>Prínosy spolu</t>
  </si>
  <si>
    <t>Administratívne poplatky</t>
  </si>
  <si>
    <t>Ostatné daňové a nedaňové príjmy</t>
  </si>
  <si>
    <t>Cena ušetreného času používateľa</t>
  </si>
  <si>
    <t>Kvalitatívne prínosy vo finančnom vyjadrení</t>
  </si>
  <si>
    <t>Organizácia</t>
  </si>
  <si>
    <t>Ulica</t>
  </si>
  <si>
    <t>PSČ</t>
  </si>
  <si>
    <t>Web</t>
  </si>
  <si>
    <t>IČO</t>
  </si>
  <si>
    <t>Spracovateľ</t>
  </si>
  <si>
    <t xml:space="preserve">Kontakt na spracovateľa    </t>
  </si>
  <si>
    <t>Hlavička tabuľky</t>
  </si>
  <si>
    <t>Popisná informácia</t>
  </si>
  <si>
    <t>Jednotlivé informácie sú farebne odlíšené nasledovne:</t>
  </si>
  <si>
    <t>Automaticky vypočitavané hodnoty</t>
  </si>
  <si>
    <t>Miesto na vpisovanie vlastných hodnôt</t>
  </si>
  <si>
    <t>Preddefinované konštanty</t>
  </si>
  <si>
    <t>HW</t>
  </si>
  <si>
    <t>SW</t>
  </si>
  <si>
    <t>Všeobecný materiál</t>
  </si>
  <si>
    <t>Variabilné výdavky</t>
  </si>
  <si>
    <t>Výdavky spolu</t>
  </si>
  <si>
    <t>ENPV</t>
  </si>
  <si>
    <t>Obstaranie, inštalácia SW produktu vrátane licencie k SW</t>
  </si>
  <si>
    <t>013 Softvér</t>
  </si>
  <si>
    <t>Kód EKO klasifikácie</t>
  </si>
  <si>
    <t>Účet/skupina výdavkov</t>
  </si>
  <si>
    <t>Vytvorenie aplikácie</t>
  </si>
  <si>
    <t>Školenia spojené so SW a aplikáciou</t>
  </si>
  <si>
    <t>518 Ostatné služby</t>
  </si>
  <si>
    <t>Prevádzka vytvoreného riešenia</t>
  </si>
  <si>
    <t>Poplatky vlastníkovi SW produktu - údržba / support k licenciám</t>
  </si>
  <si>
    <t>511 Opravy a udržiavanie</t>
  </si>
  <si>
    <t>Upgrade SW produktu</t>
  </si>
  <si>
    <t>Poplatky za udržanie funkčnosti / dostupnosti aplikácie / update</t>
  </si>
  <si>
    <t>Aplikačná podpora / helpdesk</t>
  </si>
  <si>
    <t>Rozvoj - doplnenie funkcionality aplikácie / upgrade</t>
  </si>
  <si>
    <t>Personálne náklady spojené s prevádzkou SW produktu a aplikácie</t>
  </si>
  <si>
    <t>Obstaranie</t>
  </si>
  <si>
    <t>Prevádzka riešenia</t>
  </si>
  <si>
    <t>Nákup, inštalácia a sprevádzkovanie HW 
vrátane systémového SW</t>
  </si>
  <si>
    <t>Nákup, inštalácia a sprevádzkovanie HW
 vrátane systémového SW</t>
  </si>
  <si>
    <t>Školenia spojené s HW</t>
  </si>
  <si>
    <t>022 Samostatné hnuteľné veci
 a súbory hnuteľných vecí</t>
  </si>
  <si>
    <t>Poplatky dodávateľovi podpory HW - údržba/maintenance</t>
  </si>
  <si>
    <t>Upgrade HW</t>
  </si>
  <si>
    <t>Náklady na priestory, energie</t>
  </si>
  <si>
    <t>Personálne náklady spojené s prevádzkou HW</t>
  </si>
  <si>
    <t>Náklady na obstaranie a prevádzku HW</t>
  </si>
  <si>
    <t>Náklady na obstaranie a prevádzku SW</t>
  </si>
  <si>
    <t>Celkové náklady na vlastníctvo (TCO)</t>
  </si>
  <si>
    <t>Rok</t>
  </si>
  <si>
    <t>HW sumár obstaranie</t>
  </si>
  <si>
    <t>HW sumár prevádzka</t>
  </si>
  <si>
    <t xml:space="preserve">Spolu </t>
  </si>
  <si>
    <t>Spolu</t>
  </si>
  <si>
    <t>SW produkty</t>
  </si>
  <si>
    <t>Aplikácie</t>
  </si>
  <si>
    <t>SW produkty - sumár obstaranie</t>
  </si>
  <si>
    <t>SW produkty - sumár prevádzka</t>
  </si>
  <si>
    <t>Aplikácie - sumár obstaranie</t>
  </si>
  <si>
    <t>Aplikácie - sumár prevádzka</t>
  </si>
  <si>
    <t xml:space="preserve">Prvý rok, ktorým výpočet CBA a TCO začína, rok začatia projektu </t>
  </si>
  <si>
    <t>Názov riešenia</t>
  </si>
  <si>
    <t>112 Zásoby</t>
  </si>
  <si>
    <t>Náklady na existujúce riešenie
(pôvodné riešenie pred realizáciou projektu OP II), ktoré bolo nahradené</t>
  </si>
  <si>
    <t>Číslo projektu ITMS</t>
  </si>
  <si>
    <t>Vytvorenie riešenia - obstaranie</t>
  </si>
  <si>
    <t>BCR</t>
  </si>
  <si>
    <t>Publicita a informovanosť</t>
  </si>
  <si>
    <t>INDIKATÍVNY ROZPOČET SPOLU</t>
  </si>
  <si>
    <t>Rozdiel</t>
  </si>
  <si>
    <t>NPV</t>
  </si>
  <si>
    <t>HW (aj systémový SW) sumár obstaranie</t>
  </si>
  <si>
    <t>HW (aj systémový SW) sumár prevádzka</t>
  </si>
  <si>
    <t>organizácia A</t>
  </si>
  <si>
    <t>organizácia B</t>
  </si>
  <si>
    <t>organizácia C</t>
  </si>
  <si>
    <t>TO BE</t>
  </si>
  <si>
    <t>organizácia ...</t>
  </si>
  <si>
    <t>Výsledná hodnota</t>
  </si>
  <si>
    <t>Všetky prínosové položky sú automaticky vypočítané na základe údajov uvedených v záložkách TCO, spotrebované cloudové služby a Parametre - Agendové IS</t>
  </si>
  <si>
    <t>Všetky výdavkové položky sú automaticky vypočítané na základe údajov uvedených v záložkách TCO a Parametre - Agendové IS</t>
  </si>
  <si>
    <t>FIRR</t>
  </si>
  <si>
    <t>EIRR</t>
  </si>
  <si>
    <t>FNPV</t>
  </si>
  <si>
    <t>pomer prínosov a nákladov</t>
  </si>
  <si>
    <t>finančná vnútorná výnosová miera (%)</t>
  </si>
  <si>
    <t>ekonomická vnútorná výnosová miera (%)</t>
  </si>
  <si>
    <t>Minimálna hodnota</t>
  </si>
  <si>
    <t>-</t>
  </si>
  <si>
    <t>Výsledok CBA</t>
  </si>
  <si>
    <t>Priemerná mzda vo verejnej správe (aktuálna, W_ps)</t>
  </si>
  <si>
    <t xml:space="preserve">Priemerná mzda v NH (Cperc) </t>
  </si>
  <si>
    <t>Náklady IT systém</t>
  </si>
  <si>
    <t>FTE úradník</t>
  </si>
  <si>
    <t>FTE</t>
  </si>
  <si>
    <t>Administrtívny poplatok</t>
  </si>
  <si>
    <t>človeko-hod.</t>
  </si>
  <si>
    <t>Cena ušetreného času používateľa
(S pravidlom polovice)</t>
  </si>
  <si>
    <t>Cena ušetreného času úradníka</t>
  </si>
  <si>
    <r>
      <t xml:space="preserve">Materiálové náklady na 1 podanie </t>
    </r>
    <r>
      <rPr>
        <i/>
        <sz val="11"/>
        <color theme="1"/>
        <rFont val="Calibri"/>
        <family val="2"/>
        <charset val="238"/>
        <scheme val="minor"/>
      </rPr>
      <t xml:space="preserve">(napr. Poštovné (0,83 EUR)+Tlač (0,02 EUR)+Papier (0,01 EUR)+Obálka (0,03 EUR). Zhotoviteľ štúdie doplní skutočné náklady)
</t>
    </r>
  </si>
  <si>
    <t>Materiálové náklady</t>
  </si>
  <si>
    <t>Náklady na budúce riešenie</t>
  </si>
  <si>
    <t>Čas potrebný na vypracovanie a doručenie podania (ušetrený čas používateľa)</t>
  </si>
  <si>
    <t>Trvanie spracovania podania (ušetrený čas úradníka)</t>
  </si>
  <si>
    <t>Zníženie kvalitatívnych prínosov</t>
  </si>
  <si>
    <t>Zníženie očakávaného ušetreného času úradníka</t>
  </si>
  <si>
    <t>Zníženie očakávaného ušetreného času používateľa</t>
  </si>
  <si>
    <t>Zníženie počtu podaní v budúcom stave</t>
  </si>
  <si>
    <t>Zvýšenie nákladov - TCO celkovo</t>
  </si>
  <si>
    <t>Zvýšenie CAPEX</t>
  </si>
  <si>
    <t>Rozdiel v nákladoch medzi existujúcim a navrhovaným riešením</t>
  </si>
  <si>
    <t>Prínosy</t>
  </si>
  <si>
    <t xml:space="preserve">Úradníci (€) </t>
  </si>
  <si>
    <t>Občania (€)</t>
  </si>
  <si>
    <t>Úradníci (FTE)</t>
  </si>
  <si>
    <t>IT - CAPEX</t>
  </si>
  <si>
    <t>IT - OPEX</t>
  </si>
  <si>
    <t>N/A</t>
  </si>
  <si>
    <t>Nevyčíslené spoločenské prínosy</t>
  </si>
  <si>
    <t>...</t>
  </si>
  <si>
    <t>(prosíme doplniť)...</t>
  </si>
  <si>
    <r>
      <t xml:space="preserve">Sem prosím vložte procesnú mapu stavu </t>
    </r>
    <r>
      <rPr>
        <b/>
        <sz val="11"/>
        <color theme="1"/>
        <rFont val="Calibri"/>
        <family val="2"/>
        <charset val="238"/>
        <scheme val="minor"/>
      </rPr>
      <t>AS IS</t>
    </r>
    <r>
      <rPr>
        <sz val="11"/>
        <color theme="1"/>
        <rFont val="Calibri"/>
        <family val="2"/>
        <charset val="238"/>
        <scheme val="minor"/>
      </rPr>
      <t xml:space="preserve"> a stavu </t>
    </r>
    <r>
      <rPr>
        <b/>
        <sz val="11"/>
        <color theme="1"/>
        <rFont val="Calibri"/>
        <family val="2"/>
        <charset val="238"/>
        <scheme val="minor"/>
      </rPr>
      <t>TO BE</t>
    </r>
  </si>
  <si>
    <t>napr.</t>
  </si>
  <si>
    <t>AS IS</t>
  </si>
  <si>
    <t>Procesy na strane úradníka (časové hodnoty)</t>
  </si>
  <si>
    <t>Proces č. 1</t>
  </si>
  <si>
    <t>Procesný krok č. 1</t>
  </si>
  <si>
    <t>Procesný krok č. 2</t>
  </si>
  <si>
    <t>Procesný krok č. 3</t>
  </si>
  <si>
    <t>Proces č. 2</t>
  </si>
  <si>
    <t>Zdroj</t>
  </si>
  <si>
    <t>prosím uveďte zdroj, v prípade vzorového prieskumu prosím vyplňte hodnoty za jednotlivé merania</t>
  </si>
  <si>
    <t>Meranie č. 1</t>
  </si>
  <si>
    <t>Meranie č. 2</t>
  </si>
  <si>
    <t>Meranie č. 3</t>
  </si>
  <si>
    <t>Meranie č. 4</t>
  </si>
  <si>
    <t>Meranie č. 5</t>
  </si>
  <si>
    <t>Meranie č. 6</t>
  </si>
  <si>
    <t>Meranie č. 7</t>
  </si>
  <si>
    <t>Meranie č. 8</t>
  </si>
  <si>
    <t>Meranie č. 9</t>
  </si>
  <si>
    <t>Meranie č. 10</t>
  </si>
  <si>
    <t>Meranie č. 11</t>
  </si>
  <si>
    <t>Meranie č. 12</t>
  </si>
  <si>
    <t>Meranie č. 13</t>
  </si>
  <si>
    <t>Meranie č. 14</t>
  </si>
  <si>
    <t>Meranie č. 15</t>
  </si>
  <si>
    <t>Meranie č. 16</t>
  </si>
  <si>
    <t>Meranie č. 17</t>
  </si>
  <si>
    <t>Meranie č. 18</t>
  </si>
  <si>
    <t>Meranie č. 19</t>
  </si>
  <si>
    <t>Meranie č. 20</t>
  </si>
  <si>
    <t>Meranie č. 21</t>
  </si>
  <si>
    <t>Meranie č. 22</t>
  </si>
  <si>
    <t>Meranie č. 23</t>
  </si>
  <si>
    <t>Meranie č. 24</t>
  </si>
  <si>
    <t>Meranie č. 25</t>
  </si>
  <si>
    <t>Meranie č. 26</t>
  </si>
  <si>
    <t>Meranie č. 27</t>
  </si>
  <si>
    <t>Meranie č. 28</t>
  </si>
  <si>
    <t>Meranie č. 29</t>
  </si>
  <si>
    <t>Meranie č. 30</t>
  </si>
  <si>
    <t>Procesy na strane občana (časové hodnoty)</t>
  </si>
  <si>
    <t>Zoznam hárkov s vysvetlením a pokynmi</t>
  </si>
  <si>
    <t>Sumarizácia</t>
  </si>
  <si>
    <t>TCO</t>
  </si>
  <si>
    <t>Faktory</t>
  </si>
  <si>
    <t>Hárok</t>
  </si>
  <si>
    <t>Účel hárku</t>
  </si>
  <si>
    <t>Vymenovanie a popísanie nevyčíslených spoločenských prínosov</t>
  </si>
  <si>
    <t>Sumarizácia výsledkov CBA podľa prínosov a modulov</t>
  </si>
  <si>
    <t>Výsledky CBA na agregátnej úrovni, výpočet BCR</t>
  </si>
  <si>
    <t>Žiadne</t>
  </si>
  <si>
    <t>Vstupy od zhotoviteľa (žlté polia)</t>
  </si>
  <si>
    <t>Automatický výpočet citlivosti výsledkov CBA na zmeny parametrov</t>
  </si>
  <si>
    <t>Vstupné parametre pre jednotlivé moduly/životné situácie: počty podaní, trvania času</t>
  </si>
  <si>
    <t>Všetky relevantné žlté polia</t>
  </si>
  <si>
    <t>Zhrnutie celkových nákladov na vlastníctvo oboch alternatív projektu</t>
  </si>
  <si>
    <t xml:space="preserve">Náklady na vlastníctvo softvéru alternatívy 1 (AS IS) </t>
  </si>
  <si>
    <t xml:space="preserve">Náklady na vlastníctvo hardvéru alternatívy 1 (AS IS) </t>
  </si>
  <si>
    <t xml:space="preserve">Náklady na vlastníctvo softvéru alternatívy 2 (TO BE) </t>
  </si>
  <si>
    <t>Náklady na vlastníctvo hardvéru alternatívy 2 (TO BE)</t>
  </si>
  <si>
    <t>Spoločné vstupné parametre pre ocenenie prínosov a výpočet CBA</t>
  </si>
  <si>
    <t>Aktuálne priemerné mzdy v hospodárstve podľa ŠÚ SR, rok začiatku projektu</t>
  </si>
  <si>
    <t>Riadenie projektu</t>
  </si>
  <si>
    <t>Riadenie a publicita</t>
  </si>
  <si>
    <t>Projektové riadenie</t>
  </si>
  <si>
    <t>Počet podaní / volaní</t>
  </si>
  <si>
    <t>Fond pracovnej doby - VS (FPDvs)</t>
  </si>
  <si>
    <t>hod/rok</t>
  </si>
  <si>
    <t>Fond pracovnej doby - NH (FPDnh)</t>
  </si>
  <si>
    <t xml:space="preserve">Cper = (W_ps * Odvody) / Fond pracovnej doby. Odvody (SP, ZP, DP) sú 35,2%“. Osobné náklady sú faktorom prevádzkových variabilných nákladov.
</t>
  </si>
  <si>
    <t>Položka</t>
  </si>
  <si>
    <t>Merná jednotka</t>
  </si>
  <si>
    <t>Počet</t>
  </si>
  <si>
    <t>Detailný rozpočet pre vývoj navrhovaného riešenia (TO BE)</t>
  </si>
  <si>
    <t>Položkový rozpočet pre nákup licencií a HW (TO BE)</t>
  </si>
  <si>
    <t>Výstupné náklady</t>
  </si>
  <si>
    <t>Technologické požiadavky</t>
  </si>
  <si>
    <t>SW a Aplikácie - výstupné náklady</t>
  </si>
  <si>
    <t>SW a Aplikácie - Výstupné náklady</t>
  </si>
  <si>
    <t>Popis
(Vrátane zdôvodnenia zvoleného technologického variantu - IaaS, PaaS, vývoj vlastnej aplikácie, COTS riešenie)</t>
  </si>
  <si>
    <t>Koncová služba</t>
  </si>
  <si>
    <t>TO BE - AS IS (€, NPV)</t>
  </si>
  <si>
    <t>TO BE - AS IS (€, SUM)</t>
  </si>
  <si>
    <t>Kontrola TO BE</t>
  </si>
  <si>
    <t>Finančný cashflow (s DPH)</t>
  </si>
  <si>
    <t>Ekonomický cashflow (bez DPH)</t>
  </si>
  <si>
    <t>Náklady s DPH</t>
  </si>
  <si>
    <t>ekonomická čistá súčasná hodnota (eur bez DPH)</t>
  </si>
  <si>
    <t>finančná čistá súčasná hodnota (eur s DPH)</t>
  </si>
  <si>
    <t>Modul</t>
  </si>
  <si>
    <t>Fáza projektu</t>
  </si>
  <si>
    <t>Analýza a dizajn</t>
  </si>
  <si>
    <t>Nasadenie</t>
  </si>
  <si>
    <t>Faza projektu</t>
  </si>
  <si>
    <t>% dotácia</t>
  </si>
  <si>
    <t>Počet MDs</t>
  </si>
  <si>
    <t>Inkrement</t>
  </si>
  <si>
    <t>Start</t>
  </si>
  <si>
    <t>Koniec</t>
  </si>
  <si>
    <t>Trvanie</t>
  </si>
  <si>
    <t>#</t>
  </si>
  <si>
    <t>MOD_01</t>
  </si>
  <si>
    <t>MOD_02</t>
  </si>
  <si>
    <t>MOD_03</t>
  </si>
  <si>
    <t>MOD_04</t>
  </si>
  <si>
    <t>MOD_05</t>
  </si>
  <si>
    <t>MOD_06</t>
  </si>
  <si>
    <t>MOD_07</t>
  </si>
  <si>
    <t>MOD_08</t>
  </si>
  <si>
    <t>MOD_09</t>
  </si>
  <si>
    <t>MOD_10</t>
  </si>
  <si>
    <t>MOD_11</t>
  </si>
  <si>
    <t>MOD_12</t>
  </si>
  <si>
    <t>MOD_13</t>
  </si>
  <si>
    <t>MOD_14</t>
  </si>
  <si>
    <t>MOD_15</t>
  </si>
  <si>
    <t>MOD_16</t>
  </si>
  <si>
    <t>MOD_17</t>
  </si>
  <si>
    <t>MOD_18</t>
  </si>
  <si>
    <t>MOD_19</t>
  </si>
  <si>
    <t>MOD_20</t>
  </si>
  <si>
    <t>MOD_21</t>
  </si>
  <si>
    <t>Rok dodania</t>
  </si>
  <si>
    <t>Moduly</t>
  </si>
  <si>
    <t>Rozvoj</t>
  </si>
  <si>
    <t>Inkrement 1</t>
  </si>
  <si>
    <t>Inkrement 2</t>
  </si>
  <si>
    <t>Inkrement 3</t>
  </si>
  <si>
    <t>INK START</t>
  </si>
  <si>
    <t>INK END</t>
  </si>
  <si>
    <t>Začiatok</t>
  </si>
  <si>
    <t>Harmonogram v mesiacoch od spustenia</t>
  </si>
  <si>
    <t>Participácia na vývoju SW (analýzy, testovanie a pod.)</t>
  </si>
  <si>
    <t>Participácia na vývoji Aplikácie (analýzy, testovanie a pod.)</t>
  </si>
  <si>
    <t>SW / HW</t>
  </si>
  <si>
    <t>Jednotková cena €</t>
  </si>
  <si>
    <t>Celková suma €</t>
  </si>
  <si>
    <t>Účtovná položka</t>
  </si>
  <si>
    <t>022 Samostatné hnuteľné veci a súbory hnuteľných vecí</t>
  </si>
  <si>
    <t>Zdroj ceny (odkazy na cenníky, prieskumy a pod.)</t>
  </si>
  <si>
    <t>POZNÁMKA</t>
  </si>
  <si>
    <r>
      <t xml:space="preserve">VÝSLEDKY TESTOV
</t>
    </r>
    <r>
      <rPr>
        <sz val="10"/>
        <rFont val="Calibri Light"/>
        <family val="2"/>
        <scheme val="major"/>
      </rPr>
      <t>(status)</t>
    </r>
  </si>
  <si>
    <r>
      <t xml:space="preserve">Použité 
PROSTREDIE
</t>
    </r>
    <r>
      <rPr>
        <sz val="10"/>
        <rFont val="Calibri Light"/>
        <family val="2"/>
        <scheme val="major"/>
      </rPr>
      <t>pre test
(overenie funkčnosti)</t>
    </r>
  </si>
  <si>
    <r>
      <t xml:space="preserve">Použité 
TESTOVACIE DÁTA
</t>
    </r>
    <r>
      <rPr>
        <sz val="10"/>
        <rFont val="Calibri Light"/>
        <family val="2"/>
        <scheme val="major"/>
      </rPr>
      <t>pri teste</t>
    </r>
  </si>
  <si>
    <t>Identifikácia 
TEST CASE</t>
  </si>
  <si>
    <t>Identifikácia
USE CASE</t>
  </si>
  <si>
    <r>
      <t xml:space="preserve">SPôSOB DODANIA
</t>
    </r>
    <r>
      <rPr>
        <sz val="10"/>
        <rFont val="Calibri Light"/>
        <family val="2"/>
        <scheme val="major"/>
      </rPr>
      <t xml:space="preserve"> (implementácia dodávateľom)</t>
    </r>
  </si>
  <si>
    <t>ID návrhu riešenia z 
detailný návrh riešenia (DNR)</t>
  </si>
  <si>
    <r>
      <t>Poznámka</t>
    </r>
    <r>
      <rPr>
        <sz val="10"/>
        <rFont val="Calibri Light"/>
        <family val="2"/>
        <scheme val="major"/>
      </rPr>
      <t xml:space="preserve">
(doplňujúci popis; príp. ODKAZ na popis v ponuke)</t>
    </r>
  </si>
  <si>
    <t>Kde je vo Vašej PONUKE popísané riešenie ?</t>
  </si>
  <si>
    <r>
      <t>Odpoveď UCHÁDZAČA 
v procese VO</t>
    </r>
    <r>
      <rPr>
        <b/>
        <sz val="10"/>
        <rFont val="Tahoma"/>
        <family val="2"/>
      </rPr>
      <t/>
    </r>
  </si>
  <si>
    <r>
      <t xml:space="preserve">POZNÁMKA
</t>
    </r>
    <r>
      <rPr>
        <sz val="10"/>
        <rFont val="Calibri Light"/>
        <family val="2"/>
        <scheme val="major"/>
      </rPr>
      <t>(napr. legislatívne východiská)</t>
    </r>
  </si>
  <si>
    <t>ZÁVISLOSŤ
RIZIKO
EXTERNÁ INTEGRÁCIA</t>
  </si>
  <si>
    <t>UCP</t>
  </si>
  <si>
    <t>TCF</t>
  </si>
  <si>
    <t>ECF</t>
  </si>
  <si>
    <t>UAW</t>
  </si>
  <si>
    <t>POCET UC</t>
  </si>
  <si>
    <t>VLASTNÍK 
POŽIADAVKY</t>
  </si>
  <si>
    <t>DETAILNÝ POPIS POŽIADAVKY</t>
  </si>
  <si>
    <t>NÁZOV
POŽIADAVKY</t>
  </si>
  <si>
    <t>OBLASŤ POŽIADAVKY</t>
  </si>
  <si>
    <r>
      <t xml:space="preserve">KATEGÓRIA POŽIADAVKY
</t>
    </r>
    <r>
      <rPr>
        <sz val="10"/>
        <rFont val="Calibri Light"/>
        <family val="2"/>
        <scheme val="major"/>
      </rPr>
      <t>_funkčná požiadavka
_nefunkčná požiadavka
_technická požiadavka</t>
    </r>
  </si>
  <si>
    <r>
      <t xml:space="preserve">ID 
POŽIADAVKY
</t>
    </r>
    <r>
      <rPr>
        <sz val="10"/>
        <rFont val="Calibri Light"/>
        <family val="2"/>
        <scheme val="major"/>
      </rPr>
      <t>(zvoľte si konvenciu označovania)</t>
    </r>
  </si>
  <si>
    <r>
      <t xml:space="preserve">KROK 4)
OVERENIE DODANIA
</t>
    </r>
    <r>
      <rPr>
        <sz val="10"/>
        <rFont val="Calibri Light"/>
        <family val="2"/>
        <scheme val="major"/>
      </rPr>
      <t>OBJEDNÁVATEĽOM</t>
    </r>
  </si>
  <si>
    <r>
      <t xml:space="preserve">KROK 3) 
REALIZAČNÁ FÁZA
</t>
    </r>
    <r>
      <rPr>
        <sz val="10"/>
        <rFont val="Calibri Light"/>
        <family val="2"/>
        <scheme val="major"/>
      </rPr>
      <t xml:space="preserve">(obsah tvorí </t>
    </r>
    <r>
      <rPr>
        <b/>
        <sz val="10"/>
        <rFont val="Calibri Light"/>
        <family val="2"/>
        <scheme val="major"/>
      </rPr>
      <t>DODÁVATEĽ</t>
    </r>
    <r>
      <rPr>
        <sz val="10"/>
        <rFont val="Calibri Light"/>
        <family val="2"/>
        <scheme val="major"/>
      </rPr>
      <t xml:space="preserve"> - po dokončení VO a podpise Zmluvy)</t>
    </r>
  </si>
  <si>
    <r>
      <t xml:space="preserve">KROK 2)
</t>
    </r>
    <r>
      <rPr>
        <sz val="10"/>
        <rFont val="Calibri Light"/>
        <family val="2"/>
        <scheme val="major"/>
      </rPr>
      <t>VEREJNÉ OBSTARÁVANIE</t>
    </r>
    <r>
      <rPr>
        <b/>
        <sz val="10"/>
        <rFont val="Calibri Light"/>
        <family val="2"/>
        <scheme val="major"/>
      </rPr>
      <t xml:space="preserve">
VYJADRENIE UCHÁDZAČA / ZÁUJEMCU
</t>
    </r>
    <r>
      <rPr>
        <sz val="10"/>
        <rFont val="Calibri Light"/>
        <family val="2"/>
        <scheme val="major"/>
      </rPr>
      <t xml:space="preserve">(PROCES VO - odpovede </t>
    </r>
    <r>
      <rPr>
        <b/>
        <sz val="10"/>
        <rFont val="Calibri Light"/>
        <family val="2"/>
        <scheme val="major"/>
      </rPr>
      <t>UCHÁDZAČA</t>
    </r>
    <r>
      <rPr>
        <sz val="10"/>
        <rFont val="Calibri Light"/>
        <family val="2"/>
        <scheme val="major"/>
      </rPr>
      <t xml:space="preserve"> - potrebné vyplniť za každú požiadavku)</t>
    </r>
  </si>
  <si>
    <r>
      <rPr>
        <b/>
        <sz val="10"/>
        <rFont val="Calibri Light"/>
        <family val="2"/>
        <scheme val="major"/>
      </rPr>
      <t>KROK 1)
INICIAČNÁ FÁZA</t>
    </r>
    <r>
      <rPr>
        <sz val="10"/>
        <rFont val="Calibri Light"/>
        <family val="2"/>
        <scheme val="major"/>
      </rPr>
      <t xml:space="preserve">
(obsah tvorí </t>
    </r>
    <r>
      <rPr>
        <b/>
        <sz val="10"/>
        <rFont val="Calibri Light"/>
        <family val="2"/>
        <scheme val="major"/>
      </rPr>
      <t>OBJEDNÁVATEĽ -</t>
    </r>
    <r>
      <rPr>
        <sz val="10"/>
        <rFont val="Calibri Light"/>
        <family val="2"/>
        <scheme val="major"/>
      </rPr>
      <t xml:space="preserve"> PRED spustením VO)</t>
    </r>
  </si>
  <si>
    <t># roku</t>
  </si>
  <si>
    <t>PF</t>
  </si>
  <si>
    <t>Špeciálne znalosti a zručnosti používateľov</t>
  </si>
  <si>
    <t>Poskytuje priamy prístup k tretím systémom</t>
  </si>
  <si>
    <t>Osobitné bezpečnostné prvky</t>
  </si>
  <si>
    <t>Súbežnosť</t>
  </si>
  <si>
    <t>Jednoduchosť zmeny</t>
  </si>
  <si>
    <t>Prenosnosť</t>
  </si>
  <si>
    <t>Jednoduchosť používania</t>
  </si>
  <si>
    <t>Jednoduchosť inštalácie</t>
  </si>
  <si>
    <t>Znovapoužiteľnosť</t>
  </si>
  <si>
    <t>Komplexnosť vnútorných procesov</t>
  </si>
  <si>
    <t>Efektívnosť pre používateľa</t>
  </si>
  <si>
    <t>Výkon</t>
  </si>
  <si>
    <t>Distribuovaný systém</t>
  </si>
  <si>
    <t>Total Factor</t>
  </si>
  <si>
    <t>T13</t>
  </si>
  <si>
    <t>T12</t>
  </si>
  <si>
    <t>T11</t>
  </si>
  <si>
    <t>T10</t>
  </si>
  <si>
    <t>T9</t>
  </si>
  <si>
    <t>T8</t>
  </si>
  <si>
    <t>T7</t>
  </si>
  <si>
    <t>T6</t>
  </si>
  <si>
    <t>T5</t>
  </si>
  <si>
    <t>T4</t>
  </si>
  <si>
    <t>T3</t>
  </si>
  <si>
    <t>T2</t>
  </si>
  <si>
    <t>T1</t>
  </si>
  <si>
    <t>Zložitý programovací jazyk</t>
  </si>
  <si>
    <t>Zamestnanci na čiastočný úväzok</t>
  </si>
  <si>
    <t>Stabilita požiadaviek</t>
  </si>
  <si>
    <t>Motivácia</t>
  </si>
  <si>
    <t>Schopnosť vedúcich analytikov</t>
  </si>
  <si>
    <t>Skúsenosti s objektovo orientovaným prístupom</t>
  </si>
  <si>
    <t>Skúsenosti s implementáciou</t>
  </si>
  <si>
    <t>Celkom</t>
  </si>
  <si>
    <t>Zložitosť</t>
  </si>
  <si>
    <t>Podnikateľ (G2B)</t>
  </si>
  <si>
    <t>Typ používateľa</t>
  </si>
  <si>
    <t>Používateľ</t>
  </si>
  <si>
    <t>Inkrement 20</t>
  </si>
  <si>
    <t>Inkrement 19</t>
  </si>
  <si>
    <t>Inkrement 18</t>
  </si>
  <si>
    <t>Inkrement 17</t>
  </si>
  <si>
    <t>Inkrement 16</t>
  </si>
  <si>
    <t>Inkrement 15</t>
  </si>
  <si>
    <t>Inkrement 14</t>
  </si>
  <si>
    <t>Inkrement 13</t>
  </si>
  <si>
    <t>Inkrement 12</t>
  </si>
  <si>
    <t>Inkrement 11</t>
  </si>
  <si>
    <t>Inkrement 10</t>
  </si>
  <si>
    <t>Inkrement 9</t>
  </si>
  <si>
    <t>Inkrement 8</t>
  </si>
  <si>
    <t>Inkrement 7</t>
  </si>
  <si>
    <t>Inkrement 6</t>
  </si>
  <si>
    <t>Inkrement 5</t>
  </si>
  <si>
    <t>Inkrement 4</t>
  </si>
  <si>
    <t>Trvanie v mesiacoch</t>
  </si>
  <si>
    <t># Inkrementu</t>
  </si>
  <si>
    <t>Pozícia</t>
  </si>
  <si>
    <t>IT architekt</t>
  </si>
  <si>
    <t>IT tester</t>
  </si>
  <si>
    <t>IT programátor/vývojár</t>
  </si>
  <si>
    <t>Projektový manažér IT projektu</t>
  </si>
  <si>
    <t>IT analytik</t>
  </si>
  <si>
    <t>Odborník pre IT dohľad/Quality Assurance</t>
  </si>
  <si>
    <t>Špecialista pre bezpečnosť IT</t>
  </si>
  <si>
    <t>Špecialista pre infraštruktúrny/HW špecialista</t>
  </si>
  <si>
    <t>Špecialista pre databázy</t>
  </si>
  <si>
    <t>Školiteľ pre IT systémy</t>
  </si>
  <si>
    <t>IT/IS konzultant (napr. SAP)</t>
  </si>
  <si>
    <t xml:space="preserve">Iné </t>
  </si>
  <si>
    <t>Poznámka</t>
  </si>
  <si>
    <t>V projekte</t>
  </si>
  <si>
    <t>Pocet MDs</t>
  </si>
  <si>
    <t>% akivit</t>
  </si>
  <si>
    <t>Suma</t>
  </si>
  <si>
    <t>Priemerná vážená sadzba</t>
  </si>
  <si>
    <t>Počet MD</t>
  </si>
  <si>
    <t>% v projekte</t>
  </si>
  <si>
    <t>MOD_#</t>
  </si>
  <si>
    <t>Inštalačné práce súvisiace s nakupovaným HW</t>
  </si>
  <si>
    <t>Aplikačná podpora</t>
  </si>
  <si>
    <t>Supporty</t>
  </si>
  <si>
    <t>IT Architekt</t>
  </si>
  <si>
    <t>Vlastník procesov</t>
  </si>
  <si>
    <t>Dátový špecialista</t>
  </si>
  <si>
    <t>Dátový kurátor</t>
  </si>
  <si>
    <t>Špecialista na bezpečnosť</t>
  </si>
  <si>
    <t>Počet pozícií</t>
  </si>
  <si>
    <t>Projektový manažér</t>
  </si>
  <si>
    <t>Finančný manažér</t>
  </si>
  <si>
    <t>Trvanie aktivity</t>
  </si>
  <si>
    <t>Počet hodín</t>
  </si>
  <si>
    <t>Tester</t>
  </si>
  <si>
    <t>Manažér kvality</t>
  </si>
  <si>
    <t>Administratívny pracovník</t>
  </si>
  <si>
    <t>Vazena sadzba - externe</t>
  </si>
  <si>
    <t>Vazena sadzba interné</t>
  </si>
  <si>
    <t>Pocet MDs - interne</t>
  </si>
  <si>
    <t>Suma internych prac</t>
  </si>
  <si>
    <t>Suma Externych prac</t>
  </si>
  <si>
    <t>Náklady na pozíciu</t>
  </si>
  <si>
    <t>Pocet MDs - externe</t>
  </si>
  <si>
    <r>
      <t xml:space="preserve">NÁZOV MODULU
</t>
    </r>
    <r>
      <rPr>
        <sz val="10"/>
        <rFont val="Calibri Light"/>
        <family val="2"/>
        <scheme val="major"/>
      </rPr>
      <t>(príslušnosť požiadavky k modulu)</t>
    </r>
  </si>
  <si>
    <t>Občan (G2C)</t>
  </si>
  <si>
    <t>Zahraničná osoba (G2A)</t>
  </si>
  <si>
    <t>Zamestnanec inštitúcie verejnej správy (G2E)</t>
  </si>
  <si>
    <t>Inštitúcia verejnej správy (G2G)</t>
  </si>
  <si>
    <t>ISVS verejnej správy (G2IS G)</t>
  </si>
  <si>
    <t>ISVS mimo verejnej správy (G2IS B)</t>
  </si>
  <si>
    <t>Iné</t>
  </si>
  <si>
    <t>Subjekt / Objekt</t>
  </si>
  <si>
    <t>Váha</t>
  </si>
  <si>
    <t>Index</t>
  </si>
  <si>
    <t>Priemerná mesačná hrubá mzda vo verejnej správe za 1. - 3. Q./2020 (obdobie aktualizovať k času predloženia dokumentu), podľa ŠÚ SR</t>
  </si>
  <si>
    <t>Priemerná mesačná hrubá mzda v národnom hospodárstve SR za 1. - 3. Q./2020 (obdobie aktualizovať k času predloženia dokumentu), podľa ŠÚ SR</t>
  </si>
  <si>
    <t xml:space="preserve">Rok 2021 má dokopy 251 pracovných dní, t.j. 1882,5 pracovných hodín. S platenými sviatkami má rok 261 pracovných dní, t.j. 1957.5 pracovných hodín. 7,5 hodinový pracovný čas (obdobie aktualizovať k času predloženia dokumentu), podľa https://calendar.zoznam.sk/worktime-sksk.php </t>
  </si>
  <si>
    <t>Rok 2021 má dokopy 251 pracovných dní, t.j. 2008 pracovných hodín. S platenými sviatkami má rok 261 pracovných dní, t.j. 2088 pracovných hodín.. 8 hodinový pracovný čas (obdobie aktualizovať k času predloženia dokumentu), podľa https://calendar.zoznam.sk/worktime-sksk.php</t>
  </si>
  <si>
    <t>Znalosť vývojového procesu</t>
  </si>
  <si>
    <t xml:space="preserve"> - </t>
  </si>
  <si>
    <t>HW a SW</t>
  </si>
  <si>
    <t>Typ aktivity</t>
  </si>
  <si>
    <t>Hlavné aktivity</t>
  </si>
  <si>
    <t>Podporné aktivity</t>
  </si>
  <si>
    <t>Oblasť výdavku</t>
  </si>
  <si>
    <t>Vývoj aplikácií</t>
  </si>
  <si>
    <t>Int / ext</t>
  </si>
  <si>
    <t>Projekový manažment</t>
  </si>
  <si>
    <t>Publicita</t>
  </si>
  <si>
    <t>Prevádzka</t>
  </si>
  <si>
    <t>Nákup HW a SW</t>
  </si>
  <si>
    <t>Externé</t>
  </si>
  <si>
    <t>Interné</t>
  </si>
  <si>
    <t>Zdroj finacovania - %</t>
  </si>
  <si>
    <t>Zdroje financovania - SUMA</t>
  </si>
  <si>
    <t>Suma %</t>
  </si>
  <si>
    <t>CBA - Agendové IS</t>
  </si>
  <si>
    <t>Zdroje Financovania</t>
  </si>
  <si>
    <t>Výdavky - Agendové IS</t>
  </si>
  <si>
    <t>Parametre - Agendové IS</t>
  </si>
  <si>
    <t>MODULY_CBA</t>
  </si>
  <si>
    <t>INKREMENTY</t>
  </si>
  <si>
    <t>KATALOG_POZIADAVKY</t>
  </si>
  <si>
    <t>TCF_v02</t>
  </si>
  <si>
    <t>ECF_v02</t>
  </si>
  <si>
    <t>UAW_v02</t>
  </si>
  <si>
    <t>AKTIVITY_POZICIE</t>
  </si>
  <si>
    <t>POZICIE_INTERNE</t>
  </si>
  <si>
    <t>Rozpocet - Vyvoj aplikacii</t>
  </si>
  <si>
    <t>Rozpocet - HW a licencie</t>
  </si>
  <si>
    <t>Harmonogram</t>
  </si>
  <si>
    <t>TCO AS IS - SW</t>
  </si>
  <si>
    <t>TCO AS IS - HW</t>
  </si>
  <si>
    <t>TCO TO BE - SW</t>
  </si>
  <si>
    <t>TCO TO BE - HW</t>
  </si>
  <si>
    <t>Relevantné moduly, ktoré budú v rámci projektu realizované</t>
  </si>
  <si>
    <t>Definované inkrementy, v ktorých budú realizované čiastkové dodávky</t>
  </si>
  <si>
    <t>Detailne definované požiadavky projektu</t>
  </si>
  <si>
    <t>Komplexný technický faktor pre projekt v zmysle metodiky UCP</t>
  </si>
  <si>
    <t>Komplexný environmentálny faktor pre projekt v zmysle metodiky UCP</t>
  </si>
  <si>
    <t>Definované pozície a role, ktoré budú projektom dotknuté</t>
  </si>
  <si>
    <t>Detailné rozdelenie rozpočtu projektu na externé pozície a ich miera zapojenia v aktivitách</t>
  </si>
  <si>
    <t>Detailné definovanie potreby interných kapacít a ich rozdelenie v aktivitách</t>
  </si>
  <si>
    <t>Rámcový harmonogram pre jednotlivé moduly a ich dodávku</t>
  </si>
  <si>
    <t>Rozdelenie zdrojov financovania jendotlivých nákladových položiek projektu</t>
  </si>
  <si>
    <t>Úvod</t>
  </si>
  <si>
    <t>Základné sumarizačné údaje o projekte a klientovi</t>
  </si>
  <si>
    <t>Farba sekcie</t>
  </si>
  <si>
    <t>Doplnenie % rozdelenia zdrojov</t>
  </si>
  <si>
    <t>E1</t>
  </si>
  <si>
    <t>E2</t>
  </si>
  <si>
    <t>E3</t>
  </si>
  <si>
    <t>E4</t>
  </si>
  <si>
    <t>E5</t>
  </si>
  <si>
    <t>E6</t>
  </si>
  <si>
    <t>E7</t>
  </si>
  <si>
    <t>E8</t>
  </si>
  <si>
    <t>Preddpočítaná hodnota s možnosťou zmeny</t>
  </si>
  <si>
    <t>Prínosy agendové</t>
  </si>
  <si>
    <t>Výpočet prínosov projektu na základe vstupných parametrov</t>
  </si>
  <si>
    <t>Polia "Ostatné daňové a nedaňové príjmy" (ak projekt také generuje)</t>
  </si>
  <si>
    <t>Analýza citlivosti</t>
  </si>
  <si>
    <t>Procesné mapy</t>
  </si>
  <si>
    <t>Procesné mapy súčasného a budúceho stavu biznis procesov.</t>
  </si>
  <si>
    <t>Procesy AS IS</t>
  </si>
  <si>
    <t xml:space="preserve">Zdroj dát pre odhad časovej náročnosti súčasných procesov. </t>
  </si>
  <si>
    <t>Procesy TO BE</t>
  </si>
  <si>
    <t xml:space="preserve">Zdroj dát pre odhad časovej náročnosti budúcich procesov. </t>
  </si>
  <si>
    <t>Procesné mapy ako obrázky.</t>
  </si>
  <si>
    <t>Relevantné merania podľa procesov a procesných krokov.</t>
  </si>
  <si>
    <t>Zmluvné poplatky</t>
  </si>
  <si>
    <t>521 Mzdové náklady</t>
  </si>
  <si>
    <t>Príloha pre spracovanie biznis case a cost benefit analýzy informačných technológií verejnej správy</t>
  </si>
  <si>
    <t>Kód Projektu a ISVS z MetaIS</t>
  </si>
  <si>
    <t>Hlavná</t>
  </si>
  <si>
    <t>Podporná</t>
  </si>
  <si>
    <t>Spolu za interné kapacity</t>
  </si>
  <si>
    <t>Hodinová sadzba - Hrubá mzda</t>
  </si>
  <si>
    <t>Koeficient odvodov</t>
  </si>
  <si>
    <t>MD Rate s odvodmi</t>
  </si>
  <si>
    <t>Hodinový náklad (superhrubý)</t>
  </si>
  <si>
    <t>Maximálna hod. sadzba (Hruba mzda)</t>
  </si>
  <si>
    <t>Odvody zamestnávateľ</t>
  </si>
  <si>
    <t>Implementácia a testovanie</t>
  </si>
  <si>
    <t>Aplikačné procesy musia byť vykonávané v najvhodnejšom procesore alebo počítači, ktorý je dynamicky určený.</t>
  </si>
  <si>
    <t>Aplikácia ignoruje akýkoľvek aspekt súvisiaci s distribuovaným spracovaním.</t>
  </si>
  <si>
    <t>Aplikácia generuje údaje, ktoré spracujú iné počítače s ľudským zásahom (napríklad tabuľky alebo predformátované súbory odoslané médiom alebo e-mailom).</t>
  </si>
  <si>
    <t>Údaje aplikácie sa pripravujú a automaticky prenášajú na spracovanie do iných počítačov.</t>
  </si>
  <si>
    <t>Aplikačné spracovanie je distribuované a údaje sa prenášajú iba jedným smerom.</t>
  </si>
  <si>
    <t>Aplikačné spracovanie je distribuované a údaje sa prenášajú oboma smermi.</t>
  </si>
  <si>
    <t>Klient nezadefinoval žiadne špeciálne požiadavky na výkon.</t>
  </si>
  <si>
    <t>Požiadavky na výkon boli stanovené a revidované, nie je však potrebné prijímať nijaké zvláštne opatrenia.</t>
  </si>
  <si>
    <t>Čas odozvy a prenosové rýchlosti sú kritické počas špičkových hodín. Nie je potrebný žiadny špeciálny dizajn pre použitie jadra procesora. Termín pre väčšinu procesov je nasledujúci deň.</t>
  </si>
  <si>
    <t>Čas odozvy a prenosové rýchlosti sú kritické počas komerčných hodín. Nie je potrebný žiadny špeciálny dizajn pre použitie jadra procesora. Požiadavky týkajúce sa lehôt na komunikáciu s prepojenými systémami sú obmedzujúce.</t>
  </si>
  <si>
    <t>Súčin</t>
  </si>
  <si>
    <t>Čas odozvy a prenosové rýchlosti sú kritické počas komerčných hodín. Nie je potrebný žiadny špeciálny dizajn pre použitie jadra procesora. Požiadavky týkajúce sa lehôt na komunikáciu s prepojenými systémami sú obmedzujúce. 
Zároveň sú výkonnostné požiadavky dostatočne obmedzujúce na to, aby sa pri ich návrhu vyžadovali úlohy spojené s analýzou výkonu.</t>
  </si>
  <si>
    <t>Čas odozvy a prenosové rýchlosti sú kritické počas komerčných hodín. Nie je potrebný žiadny špeciálny dizajn pre použitie jadra procesora. Požiadavky týkajúce sa lehôt na komunikáciu s prepojenými systémami sú obmedzujúce. 
Pričom výkonnostné požiadavky sú dostatočne obmedzujúce na to, aby sa pri ich návrhu vyžadovali úlohy spojené s analýzou výkonu.
Zároveň  musia byť počas návrhu, vývoja a / alebo implementácie použité nástroje na analýzu výkonu, aby boli splnené výkonnostné požiadavky klienta.</t>
  </si>
  <si>
    <t>Poradie</t>
  </si>
  <si>
    <t>Aplikácia nepotrebuje žiadnu špeciálne požiadavky na efektivitu koncového užívateľa.</t>
  </si>
  <si>
    <t>Aplikácia vyžaduje 1 až 3 z nižšie uvedených položiek:
-	Navigačná pomoc (napríklad dynamicky generované ponuky, adaptívne hypermédiá atď.).
-	Online pomoc a dokumentácia.
-	Automatizovaný pohyb kurzora.
-	Preddefinované funkčné klávesy.
-	Dávkové úlohy odoslané z online transakcií. 
-	Vysoké využitie farieb a vizuálneho zvýraznenia na obrazovkách.
-	Minimalizácia počtu obrazoviek na dosiahnutie obchodných cieľov. 
-	Dvojjazyčná podpora (počíta sa ako štyri položky).
-	Viacjazyčná podpora (počíta sa ako šesť položiek)</t>
  </si>
  <si>
    <t>Aplikácia vyžaduje 4 až 5 z nižšie uvedených položiek:
-	Navigačná pomoc (napríklad dynamicky generované ponuky, adaptívne hypermédiá atď.).
-	Online pomoc a dokumentácia.
-	Automatizovaný pohyb kurzora.
-	Preddefinované funkčné klávesy.
-	Dávkové úlohy odoslané z online transakcií. 
-	Vysoké využitie farieb a vizuálneho zvýraznenia na obrazovkách.
-	Minimalizácia počtu obrazoviek na dosiahnutie obchodných cieľov. 
-	Dvojjazyčná podpora (počíta sa ako štyri položky).
-	Viacjazyčná podpora (počíta sa ako šesť položiek)</t>
  </si>
  <si>
    <t>Aplikácia vyžaduje 6 alebo viac z nižšie uvedených položiek, neexistujú však žiadne požiadavky týkajúce sa efektívnosti používateľov.
-	Navigačná pomoc (napríklad dynamicky generované ponuky, adaptívne hypermédiá atď.).
-	Online pomoc a dokumentácia.
-	Automatizovaný pohyb kurzora.
-	Preddefinované funkčné klávesy.
-	Dávkové úlohy odoslané z online transakcií. 
-	Vysoké využitie farieb a vizuálneho zvýraznenia na obrazovkách.
-	Minimalizácia počtu obrazoviek na dosiahnutie obchodných cieľov. 
-	Dvojjazyčná podpora (počíta sa ako štyri položky).
-	Viacjazyčná podpora (počíta sa ako šesť položiek)</t>
  </si>
  <si>
    <t>Aplikácia vyžaduje 6 alebo viac z nižšie uvedených položiek a požiadavky na efektivitu používateľa sú také silné, že dizajn musí obsahovať funkcie na minimalizáciu písania, maximalizáciu predvolených nastavení, použitie šablón atď.
-	Navigačná pomoc (napríklad dynamicky generované ponuky, adaptívne hypermédiá atď.).
-	Online pomoc a dokumentácia.
-	Automatizovaný pohyb kurzora.
-	Preddefinované funkčné klávesy.
-	Dávkové úlohy odoslané z online transakcií. 
-	Vysoké využitie farieb a vizuálneho zvýraznenia na obrazovkách.
-	Minimalizácia počtu obrazoviek na dosiahnutie obchodných cieľov. 
-	Dvojjazyčná podpora (počíta sa ako štyri položky).
-	Viacjazyčná podpora (počíta sa ako šesť položiek)</t>
  </si>
  <si>
    <t>Aplikácia vyžaduje 6 alebo viac z týchto položiek nižšie a požiadavky na efektivitu používateľa sú také silné, že návrhové činnosti musia obsahovať nástroje a špeciálne procesy, ktoré preukazujú splnenie výkonnostných cieľov.
-	Navigačná pomoc (napríklad dynamicky generované ponuky, adaptívne hypermédiá atď.).
-	Online pomoc a dokumentácia.
-	Automatizovaný pohyb kurzora.
-	Preddefinované funkčné klávesy.
-	Dávkové úlohy odoslané z online transakcií. 
-	Vysoké využitie farieb a vizuálneho zvýraznenia na obrazovkách.
-	Minimalizácia počtu obrazoviek na dosiahnutie obchodných cieľov. 
-	Dvojjazyčná podpora (počíta sa ako štyri položky).
-	Viacjazyčná podpora (počíta sa ako šesť položiek)</t>
  </si>
  <si>
    <t>Nie sú potrebné žiadne špeciálne požiadavky</t>
  </si>
  <si>
    <t>Z možností uvedených nižsie je potrebná 1:
-	Starostlivá kontrola (napríklad špeciálne spracovanie auditu) a / alebo bezpečné spracovanie špecifické pre danú aplikáciu.
-	Rozsiahle logické spracovanie.
-	Rozsiahle matematické spracovanie.
-	Veľa spracovania výnimiek vyplývajúcich z neúplných transakcií, ktoré je potrebné znovu spracovať, ako napríklad neúplné transakcie bankomatu spôsobené prerušením komunikácie, chýbajúcimi hodnotami údajov alebo neúspešnou zmenou údajov.
-	Komplexné spracovanie na správu viacerých vstupných a výstupných možností, napríklad multimédií alebo nezávislosti od zariadenia</t>
  </si>
  <si>
    <t>Z možností uvedených nižsie sú potrebné 2:
-	Starostlivá kontrola (napríklad špeciálne spracovanie auditu) a / alebo bezpečné spracovanie špecifické pre danú aplikáciu.
-	Rozsiahle logické spracovanie.
-	Rozsiahle matematické spracovanie.
-	Veľa spracovania výnimiek vyplývajúcich z neúplných transakcií, ktoré je potrebné znovu spracovať, ako napríklad neúplné transakcie bankomatu spôsobené prerušením komunikácie, chýbajúcimi hodnotami údajov alebo neúspešnou zmenou údajov.
-	Komplexné spracovanie na správu viacerých vstupných a výstupných možností, napríklad multimédií alebo nezávislosti od zariadenia</t>
  </si>
  <si>
    <t>Z možností uvedených nižsie sú potrebné 3:
-	Starostlivá kontrola (napríklad špeciálne spracovanie auditu) a / alebo bezpečné spracovanie špecifické pre danú aplikáciu.
-	Rozsiahle logické spracovanie.
-	Rozsiahle matematické spracovanie.
-	Veľa spracovania výnimiek vyplývajúcich z neúplných transakcií, ktoré je potrebné znovu spracovať, ako napríklad neúplné transakcie bankomatu spôsobené prerušením komunikácie, chýbajúcimi hodnotami údajov alebo neúspešnou zmenou údajov.
-	Komplexné spracovanie na správu viacerých vstupných a výstupných možností, napríklad multimédií alebo nezávislosti od zariadenia</t>
  </si>
  <si>
    <t>Z možností uvedených nižsie sú potrebné 4:
-	Starostlivá kontrola (napríklad špeciálne spracovanie auditu) a / alebo bezpečné spracovanie špecifické pre danú aplikáciu.
-	Rozsiahle logické spracovanie.
-	Rozsiahle matematické spracovanie.
-	Veľa spracovania výnimiek vyplývajúcich z neúplných transakcií, ktoré je potrebné znovu spracovať, ako napríklad neúplné transakcie bankomatu spôsobené prerušením komunikácie, chýbajúcimi hodnotami údajov alebo neúspešnou zmenou údajov.
-	Komplexné spracovanie na správu viacerých vstupných a výstupných možností, napríklad multimédií alebo nezávislosti od zariadenia</t>
  </si>
  <si>
    <t>Z možností uvedených nižsie je potrebných 5:
-	Starostlivá kontrola (napríklad špeciálne spracovanie auditu) a / alebo bezpečné spracovanie špecifické pre danú aplikáciu.
-	Rozsiahle logické spracovanie.
-	Rozsiahle matematické spracovanie.
-	Veľa spracovania výnimiek vyplývajúcich z neúplných transakcií, ktoré je potrebné znovu spracovať, ako napríklad neúplné transakcie bankomatu spôsobené prerušením komunikácie, chýbajúcimi hodnotami údajov alebo neúspešnou zmenou údajov.
-	Komplexné spracovanie na správu viacerých vstupných a výstupných možností, napríklad multimédií alebo nezávislosti od zariadenia</t>
  </si>
  <si>
    <t>Aplikácia musí byť špeciálne zabalená a / alebo zdokumentovaná, aby sa uľahčilo jej opätovné použitie, a musí byť prispôsobená používateľom pomocou parametrov.</t>
  </si>
  <si>
    <t>Neexistujú obavy z výroby opakovane použiteľného kódu.</t>
  </si>
  <si>
    <t>Generuje sa opakovane použiteľný kód na použitie v rámci toho istého projektu.</t>
  </si>
  <si>
    <t>Menej ako 10% aplikácie musí brať do úvahy viac, ako potrebuje používateľ.</t>
  </si>
  <si>
    <t>10% alebo viac aplikácie musí brať do úvahy viac, ako potrebuje používateľ.</t>
  </si>
  <si>
    <t>Aplikácia musí byť špeciálne zabalená a / alebo zdokumentovaná, aby sa uľahčilo jej opätovné použitie, a musí byť prispôsobená používateľom na úrovni zdrojového kódu.</t>
  </si>
  <si>
    <t>Klient nezadal nijaké zvláštne ohľady a na inštaláciu nie je potrebné žiadne špeciálne nastavenie.</t>
  </si>
  <si>
    <t>Klient nezaviedol nijaké zvláštne požiadavky, ale na inštaláciu je potrebné špeciálne nastavenie.</t>
  </si>
  <si>
    <t>Musia byť poskytnuté a otestované požiadavky stanovené klientom na prevod a inštaláciu údajov a príručky na prevod a inštaláciu. Dopad konverzie v projekte sa nepovažuje za dôležitý</t>
  </si>
  <si>
    <t>Musia byť poskytnuté a otestované požiadavky stanovené klientom na prevod a inštaláciu údajov a príručky na prevod a inštaláciu. Dopad konverzie na projekt je značný.</t>
  </si>
  <si>
    <t>Musia byť poskytnuté a otestované požiadavky stanovené klientom na prevod a inštaláciu údajov a príručky na prevod a inštaláciu. Dopad konverzie v projekte sa nepovažuje za dôležitý.
Zároveň musia byť poskytnuté a vyskúšané nástroje na automatickú konverziu a inštaláciu.</t>
  </si>
  <si>
    <t>Musia byť poskytnuté a otestované požiadavky stanovené klientom na prevod a inštaláciu údajov a príručky na prevod a inštaláciu. Dopad konverzie na projekt je značný.
Zároveň musia byť poskytnuté a vyskúšané nástroje na automatickú konverziu a inštaláciu.</t>
  </si>
  <si>
    <t>Užívateľ neurčil okrem bežného zálohovania žiadne špeciálne požiadavky na fungovanie systému</t>
  </si>
  <si>
    <t>Aplikácia je navrhnutá tak, aby fungovala bez dozoru.</t>
  </si>
  <si>
    <t>Pre systém platí 1 z nasledujúcich položiek:
-	Musia byť poskytnuté efektívne procesy pre inicializáciu, zálohovanie a obnovu, ale zásah obsluhy je stále nevyhnutný.
-	Musia byť poskytnuté efektívne procesy pre inicializáciu, zálohovanie a obnovu a nie je potrebný žiadny zásah operátora (počíta sa ako dve položky).
-	Aplikácia musí minimalizovať potrebu ukladania dát v offline médiách (napríklad pásky).
-	Aplikácia musí minimalizovať potrebu zaobchádzania s papierom.</t>
  </si>
  <si>
    <t>Pre systém platia 2 z nasledujúcich položiek:
-	Musia byť poskytnuté efektívne procesy pre inicializáciu, zálohovanie a obnovu, ale zásah obsluhy je stále nevyhnutný.
-	Musia byť poskytnuté efektívne procesy pre inicializáciu, zálohovanie a obnovu a nie je potrebný žiadny zásah operátora (počíta sa ako dve položky).
-	Aplikácia musí minimalizovať potrebu ukladania dát v offline médiách (napríklad pásky).
-	Aplikácia musí minimalizovať potrebu zaobchádzania s papierom.</t>
  </si>
  <si>
    <t>Pre systém platia 3 z nasledujúcich položiek:
-	Musia byť poskytnuté efektívne procesy pre inicializáciu, zálohovanie a obnovu, ale zásah obsluhy je stále nevyhnutný.
-	Musia byť poskytnuté efektívne procesy pre inicializáciu, zálohovanie a obnovu a nie je potrebný žiadny zásah operátora (počíta sa ako dve položky).
-	Aplikácia musí minimalizovať potrebu ukladania dát v offline médiách (napríklad pásky).
-	Aplikácia musí minimalizovať potrebu zaobchádzania s papierom.</t>
  </si>
  <si>
    <t>Pre systém platia 4 z nasledujúcich položiek:
-	Musia byť poskytnuté efektívne procesy pre inicializáciu, zálohovanie a obnovu, ale zásah obsluhy je stále nevyhnutný.
-	Musia byť poskytnuté efektívne procesy pre inicializáciu, zálohovanie a obnovu a nie je potrebný žiadny zásah operátora (počíta sa ako dve položky).
-	Aplikácia musí minimalizovať potrebu ukladania dát v offline médiách (napríklad pásky).
-	Aplikácia musí minimalizovať potrebu zaobchádzania s papierom.</t>
  </si>
  <si>
    <t>Neexistuje žiadna požiadavka používateľa, aby sa zvážila potreba inštalácie aplikácie na viac ako jednu platformu</t>
  </si>
  <si>
    <t>Návrh musí brať do úvahy potrebu fungovania systému na rôznych platformách, ale aplikácia musí byť navrhnutá tak, aby fungovala iba v identických hardvérových a softvérových prostrediach.</t>
  </si>
  <si>
    <t>Návrh musí zohľadňovať potrebu systému pracovať na rôznych platformách, ale aplikácia musí byť navrhnutá tak, aby fungovala iba v podobných hardvérových a softvérových prostrediach.</t>
  </si>
  <si>
    <t>Návrh musí brať do úvahy potrebu systému pracovať na rôznych platformách, ale aplikácia musí byť navrhnutá tak, aby fungovala v heterogénnych hardvérových a softvérových prostrediach.</t>
  </si>
  <si>
    <t>Návrh musí brať do úvahy potrebu systému pracovať na rôznych platformách, ale aplikácia musí byť navrhnutá tak, aby fungovala v heterogénnych hardvérových a softvérových prostrediach.
Zároveň je je potrebné vypracovať a otestovať plán dokumentácie a údržby na podporu prevádzky na viacerých platformách.</t>
  </si>
  <si>
    <t>Návrh musí:
 - brať do úvahy potrebu fungovania systému na rôznych platformách, ale aplikácia musí byť navrhnutá tak, aby fungovala iba v identických hardvérových a softvérových prostrediach.
Zároveň musí byť vypracovaná a otestovaná dokumentácia a plán údržby na podporu prevádzky na viacerých platformách
 - ALEBO zohľadňovať potrebu systému pracovať na rôznych platformách, ale aplikácia musí byť navrhnutá tak, aby fungovala iba v podobných hardvérových a softvérových prostrediach
Zároveň 2 musí byť vypracovaná a otestovaná dokumentácia a plán údržby na podporu prevádzky na viacerých platformách</t>
  </si>
  <si>
    <t>Z nasledovných možností musí byť splnená 1:
-	Musí byť poskytnutá flexibilná štruktúra hlásenia pre prácu s jednoduchými dotazmi, ako sú logické binárne operátory aplikované iba na jeden logický archív (počítať ako jedna položka).
-	Musí byť poskytnutá flexibilná štruktúra hlásenia, aby sa dalo zvládnuť stredne zložité dotazy, ako napríklad logické binárne operátory aplikované na viac ako jeden logický archív (počítať ako dve položky).
-	Musí byť poskytnutá flexibilná štruktúra hlásenia, aby sa dalo zvládnuť vysoko zložité dotazy, ako sú kombinácie logických binárnych operátorov aplikované na jeden alebo viac logických archívov (počíta sa ako tri položky).
-	Údaje o podnikovej kontrole sa uchovávajú v tabuľkách spravovaných používateľom s interaktívnym online prístupom, zmeny však musia byť účinné až nasledujúci deň (počítajú sa ako jedna položka).
-	Obchodné kontrolné údaje sa uchovávajú v tabuľkách spravovaných používateľom s interaktívnym online prístupom a zmeny sú účinné okamžite (počítajú sa ako dve položky)</t>
  </si>
  <si>
    <t>Z nasledovných možností musia byť splnené 2:
-	Musí byť poskytnutá flexibilná štruktúra hlásenia pre prácu s jednoduchými dotazmi, ako sú logické binárne operátory aplikované iba na jeden logický archív (počítať ako jedna položka).
-	Musí byť poskytnutá flexibilná štruktúra hlásenia, aby sa dalo zvládnuť stredne zložité dotazy, ako napríklad logické binárne operátory aplikované na viac ako jeden logický archív (počítať ako dve položky).
-	Musí byť poskytnutá flexibilná štruktúra hlásenia, aby sa dalo zvládnuť vysoko zložité dotazy, ako sú kombinácie logických binárnych operátorov aplikované na jeden alebo viac logických archívov (počíta sa ako tri položky).
-	Údaje o podnikovej kontrole sa uchovávajú v tabuľkách spravovaných používateľom s interaktívnym online prístupom, zmeny však musia byť účinné až nasledujúci deň (počítajú sa ako jedna položka).
-	Obchodné kontrolné údaje sa uchovávajú v tabuľkách spravovaných používateľom s interaktívnym online prístupom a zmeny sú účinné okamžite (počítajú sa ako dve položky)</t>
  </si>
  <si>
    <t>Z nasledovných možností musia byť splnené 3:
-	Musí byť poskytnutá flexibilná štruktúra hlásenia pre prácu s jednoduchými dotazmi, ako sú logické binárne operátory aplikované iba na jeden logický archív (počítať ako jedna položka).
-	Musí byť poskytnutá flexibilná štruktúra hlásenia, aby sa dalo zvládnuť stredne zložité dotazy, ako napríklad logické binárne operátory aplikované na viac ako jeden logický archív (počítať ako dve položky).
-	Musí byť poskytnutá flexibilná štruktúra hlásenia, aby sa dalo zvládnuť vysoko zložité dotazy, ako sú kombinácie logických binárnych operátorov aplikované na jeden alebo viac logických archívov (počíta sa ako tri položky).
-	Údaje o podnikovej kontrole sa uchovávajú v tabuľkách spravovaných používateľom s interaktívnym online prístupom, zmeny však musia byť účinné až nasledujúci deň (počítajú sa ako jedna položka).
-	Obchodné kontrolné údaje sa uchovávajú v tabuľkách spravovaných používateľom s interaktívnym online prístupom a zmeny sú účinné okamžite (počítajú sa ako dve položky)</t>
  </si>
  <si>
    <t>Z nasledovných možností musia byť splnené 4:
-	Musí byť poskytnutá flexibilná štruktúra hlásenia pre prácu s jednoduchými dotazmi, ako sú logické binárne operátory aplikované iba na jeden logický archív (počítať ako jedna položka).
-	Musí byť poskytnutá flexibilná štruktúra hlásenia, aby sa dalo zvládnuť stredne zložité dotazy, ako napríklad logické binárne operátory aplikované na viac ako jeden logický archív (počítať ako dve položky).
-	Musí byť poskytnutá flexibilná štruktúra hlásenia, aby sa dalo zvládnuť vysoko zložité dotazy, ako sú kombinácie logických binárnych operátorov aplikované na jeden alebo viac logických archívov (počíta sa ako tri položky).
-	Údaje o podnikovej kontrole sa uchovávajú v tabuľkách spravovaných používateľom s interaktívnym online prístupom, zmeny však musia byť účinné až nasledujúci deň (počítajú sa ako jedna položka).
-	Obchodné kontrolné údaje sa uchovávajú v tabuľkách spravovaných používateľom s interaktívnym online prístupom a zmeny sú účinné okamžite (počítajú sa ako dve položky)</t>
  </si>
  <si>
    <t>Z nasledovných možností musia byť splnených 5 alebo viac:
-	Musí byť poskytnutá flexibilná štruktúra hlásenia pre prácu s jednoduchými dotazmi, ako sú logické binárne operátory aplikované iba na jeden logický archív (počítať ako jedna položka).
-	Musí byť poskytnutá flexibilná štruktúra hlásenia, aby sa dalo zvládnuť stredne zložité dotazy, ako napríklad logické binárne operátory aplikované na viac ako jeden logický archív (počítať ako dve položky).
-	Musí byť poskytnutá flexibilná štruktúra hlásenia, aby sa dalo zvládnuť vysoko zložité dotazy, ako sú kombinácie logických binárnych operátorov aplikované na jeden alebo viac logických archívov (počíta sa ako tri položky).
-	Údaje o podnikovej kontrole sa uchovávajú v tabuľkách spravovaných používateľom s interaktívnym online prístupom, zmeny však musia byť účinné až nasledujúci deň (počítajú sa ako jedna položka).
-	Obchodné kontrolné údaje sa uchovávajú v tabuľkách spravovaných používateľom s interaktívnym online prístupom a zmeny sú účinné okamžite (počítajú sa ako dve položky)</t>
  </si>
  <si>
    <t>Neočakáva sa žiadny súbežný prístup k údajom</t>
  </si>
  <si>
    <t>Niekedy sa očakáva súbežný prístup k údajom</t>
  </si>
  <si>
    <t>Súčasný prístup k údajom sa očakáva často</t>
  </si>
  <si>
    <t>Súčasný prístup k údajom sa očakáva neustále</t>
  </si>
  <si>
    <t>Súčasný prístup k údajom sa očakáva neustále a zároveň, si táto situácia vynúti úlohy analýzy výkonu a zablokovanie riešenia počas návrhu</t>
  </si>
  <si>
    <t>Súčasný prístup k údajom sa očakáva neustále a zároveň, si táto situácia vynúti úlohy analýzy výkonu a zablokovanie riešenia počas návrhu.
Pričom budú potrebné na kontrolu prístupu aj špeciálne nástroje.</t>
  </si>
  <si>
    <t>Neexistujú žiadne špeciálne požiadavky týkajúce sa bezpečnosti.</t>
  </si>
  <si>
    <t>Pri návrhu sa musí brať do úvahy potreba bezpečnosti.</t>
  </si>
  <si>
    <t>Pri návrhu sa musí brať do úvahy potreba bezpečnosti.
Aplikácia musí byť navrhnutá tak, aby k nej mali prístup iba autorizovaní používatelia.</t>
  </si>
  <si>
    <t>Pri návrhu sa musí brať do úvahy potreba bezpečnosti.
Aplikácia musí byť navrhnutá tak, aby k nej mali prístup iba autorizovaní používatelia.
Zároveň bude kontrolovaný a kontrolovaný prístup do systému</t>
  </si>
  <si>
    <t>Pri návrhu sa musí brať do úvahy potreba bezpečnosti.
Aplikácia musí byť navrhnutá tak, aby k nej mali prístup iba autorizovaní používatelia.
Zároveň bude kontrolovaný a kontrolovaný prístup do systému.
Rovnako bude potrebné vypracovať a otestovať bezpečnostný plán na podporu riadenia prístupu k aplikácii</t>
  </si>
  <si>
    <t>Pri návrhu sa musí brať do úvahy potreba bezpečnosti.
Aplikácia musí byť navrhnutá tak, aby k nej mali prístup iba autorizovaní používatelia.
Zároveň bude kontrolovaný a kontrolovaný prístup do systému.
Rovnako bude potrebné vypracovať a otestovať bezpečnostný plán na podporu riadenia prístupu k aplikácii ako aj vypracovať a otestovať bezpečnostný plán, ktorý podporí sluch.</t>
  </si>
  <si>
    <t>Na vývoj aplikácie sa vo veľkej miere použije vysoko spoľahlivý už existujúci kód.</t>
  </si>
  <si>
    <t>V malých častiach aplikácie sa použije vysoko spoľahlivý už existujúci kód.</t>
  </si>
  <si>
    <t>Pre aplikáciu sa vo veľkej miere použije predbežný kód, ktorý je nakoniec potrebné upraviť.</t>
  </si>
  <si>
    <t>Predbežný kód, ktorý je nakoniec potrebné upraviť, sa použije v malých častiach aplikácie.</t>
  </si>
  <si>
    <t>V aplikácii sa použije pôvodný kód, ktorý je potrebné opraviť alebo je mu ťažko porozumieť.</t>
  </si>
  <si>
    <t>V aplikácii sa nepoužije žiadny predtým existujúci kód alebo sa v aplikácii použije pochybný kód kvality</t>
  </si>
  <si>
    <t>Neexistujú žiadne špecifické požiadavky na školenie používateľov.</t>
  </si>
  <si>
    <t>Boli spomenuté konkrétne požiadavky na školenie používateľov.</t>
  </si>
  <si>
    <t>Existujú formálne špecifické požiadavky na školenie používateľov a aplikácia musí byť navrhnutá tak, aby uľahčila školenie.</t>
  </si>
  <si>
    <t>Existujú formálne špecifické požiadavky na školenie používateľov a aplikácia musí byť navrhnutá na podporu používateľov s rôznymi úrovňami školenia.</t>
  </si>
  <si>
    <t>Pre prechodnú fázu musí byť vypracovaný a vykonaný podrobný plán výcviku.</t>
  </si>
  <si>
    <t>Pre prechodnú fázu musí byť vypracovaný a vykonaný podrobný plán výcviku a používatelia sú geograficky rozdelení.</t>
  </si>
  <si>
    <t>Tím nemá skúsenosti s vývojovým procesom alebo nepoužíva žiadny proces.</t>
  </si>
  <si>
    <t>Tím má teoretické vedomosti o vývojovom procese, ale nemá skúsenosti.</t>
  </si>
  <si>
    <t>Niekoľko členov tímu už použilo postup v jednom projekte.</t>
  </si>
  <si>
    <t>Niekoľko členov tímu využilo postup vo viac ako jednom projekte.</t>
  </si>
  <si>
    <t>Až polovica tímu použila postup v mnohých projektoch.</t>
  </si>
  <si>
    <t>Viac ako polovica tímu použila postup v mnohých projektoch.</t>
  </si>
  <si>
    <t>Žiadny člen tímu nemá skúsenosti s projektmi v rovnakej oblasti.</t>
  </si>
  <si>
    <t>Niektorí členovia tímu majú 6 až 12 mesiacov skúseností s projektmi v rovnakej oblasti.</t>
  </si>
  <si>
    <t>Niektorí členovia tímu majú 12 až 18 mesiacov skúseností s projektmi v rovnakej oblasti.</t>
  </si>
  <si>
    <t>Väčšina členov tímu má 18 až 24 mesiacov skúseností s projektmi v rovnakej oblasti.</t>
  </si>
  <si>
    <t>Väčšina členov tímu má viac ako dvojročné skúsenosti v rovnakej oblasti.</t>
  </si>
  <si>
    <t>Všetci členovia tímu majú viac ako dvojročné skúsenosti v rovnakej oblasti.</t>
  </si>
  <si>
    <t>Tím nemá skúsenosti s objektovo orientovanými technikami.</t>
  </si>
  <si>
    <t>Všetci členovia tímu majú určité skúsenosti s objektovo orientovanými technikami (až do jedného roka).</t>
  </si>
  <si>
    <t>Väčšina členov tímu má 12 až 18 mesiacov skúseností s objektovo orientovanými technikami.</t>
  </si>
  <si>
    <t>Všetci členovia tímu majú 12 až 18 mesiacov skúseností alebo väčšina členov tímu má 18 až 24 mesiacov skúseností v oblasti objektovo orientovaných techník</t>
  </si>
  <si>
    <t>Väčšina členov tímu má viac ako dvojročné skúsenosti s objektovo orientovanými technikami.</t>
  </si>
  <si>
    <t>Všetci členovia tímu majú viac ako dvojročné skúsenosti s objektovo orientovanými technikami.</t>
  </si>
  <si>
    <t>Vedúci analytik nemá skúsenosti.</t>
  </si>
  <si>
    <t>Vedúci analytik má predchádzajúce skúsenosti s jedným podobným projektom.</t>
  </si>
  <si>
    <t>Vedúci analytik má asi rok skúseností s viac ako jedným podobným projektom</t>
  </si>
  <si>
    <t>Vedúci analytik má asi dvojročné skúsenosti s podobnými projektmi.</t>
  </si>
  <si>
    <t>Vedúci analytik má viac ako dvojročné skúsenosti s podobnými projektmi.</t>
  </si>
  <si>
    <t>Vedúci analytik má viac ako tri roky skúseností v rôznych projektoch.</t>
  </si>
  <si>
    <t>Tím nemá vôbec žiadnu motiváciu. Bez neustáleho dohľadu sa tím stáva neproduktívnym. Tím robí iba to, na čo sa prísne žiada.</t>
  </si>
  <si>
    <t>Tím má veľmi malú motiváciu. Na udržanie produktivity na prijateľnej úrovni je nevyhnutný stály dohľad.</t>
  </si>
  <si>
    <t>Tím má malú motiváciu. Na udržanie produktivity sú z času na čas potrebné zásahy manažmentu.</t>
  </si>
  <si>
    <t>Tím má určitú motiváciu. Tím má zvyčajne iniciatívu, ale na udržanie produktivity je stále nevyhnutný zásah manažmentu.</t>
  </si>
  <si>
    <t>Tím je dobre motivovaný. Tím zvyčajne riadi sám, ale existencia dohľadu je stále nevyhnutná, pretože bez neho je možné stratiť produktivitu</t>
  </si>
  <si>
    <t>Tím je vysoko motivovaný. Aj bez dozoru každý vie, čo treba urobiť, a tempo sa udržuje donekonečna.</t>
  </si>
  <si>
    <t>Neexistujú historické údaje o stabilite požiadaviek alebo v minulosti zlá analýza spôsobila veľké zmeny v požiadavkách po začiatku projektu</t>
  </si>
  <si>
    <t>Požiadavky boli v minulosti prevažne nestabilné. Klienti požiadali o veľa zmien spôsobených hlavne neúplnými alebo nesprávnymi požiadavkami</t>
  </si>
  <si>
    <t>Požiadavky boli v minulosti nestabilné. Klienti požiadali o zmeny spôsobené neúplnými alebo nesprávnymi požiadavkami.</t>
  </si>
  <si>
    <t>Požiadavky boli v minulosti pomerne stabilné. Klienti požiadali o zmeny sekundárnych funkcionalít s určitou pravidelnosťou. Zmeny hlavných funkcií boli žiadané zriedka.</t>
  </si>
  <si>
    <t>Požiadavky boli v minulosti väčšinou stabilné. Používatelia požadovali malé zmeny, najmä tie kozmetické. Zmeny hlavných alebo vedľajších funkcií boli neobvyklé.</t>
  </si>
  <si>
    <t>Požiadavky boli v minulosti úplne stabilné. Malé zmeny, ak nejaké boli, nemali žiadny vplyv na projekty</t>
  </si>
  <si>
    <t>Žiadny člen tímu nie je na čiastočný úväzok na projekte.</t>
  </si>
  <si>
    <t>Až 10% tímu je na čiastočný úväzok.</t>
  </si>
  <si>
    <t>Až 20% tímu je na čiastočný úväzok.</t>
  </si>
  <si>
    <t>Až 40% tímu je na čiastočný úväzok.</t>
  </si>
  <si>
    <t>Až 60% tímu je na čiastočný úväzok.</t>
  </si>
  <si>
    <t>Viac ako 60% tímu je na čiastočný úväzok.</t>
  </si>
  <si>
    <t>Všetci členovia tímu sú veľmi skúsení programátori.</t>
  </si>
  <si>
    <t>Väčšina členov tímu má minimálne dvojročné skúsenosti s programovaním.</t>
  </si>
  <si>
    <t>Všetci členovia tímu majú najmenej 18 mesiacov skúseností s programovaním.</t>
  </si>
  <si>
    <t>Väčšina členov tímu má najmenej 18 mesiacov skúseností s programovaním.</t>
  </si>
  <si>
    <t>Niekoľko členov tímu má skúsenosti s programovaním (nie viac ako jeden rok).</t>
  </si>
  <si>
    <t>Všetci členovia tímu sú neskúsení programátori.</t>
  </si>
  <si>
    <t>Nápoveda pre danú hodnotu</t>
  </si>
  <si>
    <t>Vlastné OPEX</t>
  </si>
  <si>
    <t>Vlastné CAPEX</t>
  </si>
  <si>
    <t>Externé projetkové riadenie</t>
  </si>
  <si>
    <t>% v aktivite</t>
  </si>
  <si>
    <t>Počet FTE v aktivite</t>
  </si>
  <si>
    <t>Počet MDs Hlavné aktivity</t>
  </si>
  <si>
    <t>Počet MDs Podporné aktivity</t>
  </si>
  <si>
    <t>Špecialista na publicitu</t>
  </si>
  <si>
    <t>Externá publicita a informovanosť</t>
  </si>
  <si>
    <t>Manažér pre publicitu</t>
  </si>
  <si>
    <t>Z toho rozpočtové opatrenie</t>
  </si>
  <si>
    <t>Rozpočtové opatrenie %</t>
  </si>
  <si>
    <t>Sadzba v projekte bez DPH</t>
  </si>
  <si>
    <t>Max % v projekte na HA</t>
  </si>
  <si>
    <t xml:space="preserve">Pozície z OPII opravnenosti výdavkov </t>
  </si>
  <si>
    <t>IT programátor /vývojár</t>
  </si>
  <si>
    <t>Manažér kybernetickej a informačnej bezpečnosti</t>
  </si>
  <si>
    <t>Špecialista infrašktuktúry/HW špecialista</t>
  </si>
  <si>
    <t>IT konzultant</t>
  </si>
  <si>
    <t>Špecialista pre IT bezpečnosť</t>
  </si>
  <si>
    <t>Riadiaci pracovník (manažér) riešení IT</t>
  </si>
  <si>
    <t>Systémový programátor</t>
  </si>
  <si>
    <t>Softvérový architekt, dizajnér</t>
  </si>
  <si>
    <t>Analytik IKT</t>
  </si>
  <si>
    <t>IT architekt, projektant</t>
  </si>
  <si>
    <t>Databázový dizajnér</t>
  </si>
  <si>
    <t>Špecialista riadenia systému kvality</t>
  </si>
  <si>
    <t>Špecialista v oblasti počítačových sietí</t>
  </si>
  <si>
    <t>Databázový analytik</t>
  </si>
  <si>
    <t>Špecialista informačnej a kybernetickej bezpečnosti</t>
  </si>
  <si>
    <t>Riadiaci pracovník (manažér) informačnej a kybernetickej bezpečnosti</t>
  </si>
  <si>
    <t>ISCO pozícia</t>
  </si>
  <si>
    <t>ISCO kód</t>
  </si>
  <si>
    <t>Mechanik počítačových sietí</t>
  </si>
  <si>
    <t>Správca digitálneho obsahu (Digital Content Manager)</t>
  </si>
  <si>
    <t>Operátor klientskej podpory IKT</t>
  </si>
  <si>
    <t>Technik užívateľskej podpory IKT</t>
  </si>
  <si>
    <t>Aplikačný programátor</t>
  </si>
  <si>
    <t>Špecialista prevádzky mobilných a pevných technológií</t>
  </si>
  <si>
    <t>Pracovníci informačných služieb inde neuvedení</t>
  </si>
  <si>
    <t>Pozicia Vyber</t>
  </si>
  <si>
    <t>Projektovy_manazer</t>
  </si>
  <si>
    <t>IT_programator</t>
  </si>
  <si>
    <t>IT_analytik</t>
  </si>
  <si>
    <t>IT_architekt</t>
  </si>
  <si>
    <t>Kvalita</t>
  </si>
  <si>
    <t>IT_tester</t>
  </si>
  <si>
    <t>Infrastrutkura</t>
  </si>
  <si>
    <t>Databazy</t>
  </si>
  <si>
    <t>IT_konzultant</t>
  </si>
  <si>
    <t>Bezpecnost</t>
  </si>
  <si>
    <t>Skolenie</t>
  </si>
  <si>
    <t>Ine</t>
  </si>
  <si>
    <t>Iná špecifická rola</t>
  </si>
  <si>
    <t>OPII</t>
  </si>
  <si>
    <t>Nazov vyberu</t>
  </si>
  <si>
    <t>ISCO pozicie</t>
  </si>
  <si>
    <t>ISCO kod</t>
  </si>
  <si>
    <r>
      <rPr>
        <b/>
        <sz val="11"/>
        <color theme="0"/>
        <rFont val="Calibri Light"/>
        <family val="2"/>
        <scheme val="major"/>
      </rPr>
      <t>Sadzba - revízia výdavkov</t>
    </r>
    <r>
      <rPr>
        <b/>
        <sz val="11"/>
        <color theme="0"/>
        <rFont val="Calibri Light"/>
        <family val="1"/>
        <charset val="2"/>
        <scheme val="major"/>
      </rPr>
      <t xml:space="preserve"> bez DPH</t>
    </r>
  </si>
  <si>
    <t>Manažér pre monitoring</t>
  </si>
  <si>
    <t>Špecialista na Verejné obstarávanie</t>
  </si>
  <si>
    <t>MD Rate bez DPH</t>
  </si>
  <si>
    <t>Suma bez DPH</t>
  </si>
  <si>
    <t>Odmeny v %</t>
  </si>
  <si>
    <t>MDs interné / Suma hlavné</t>
  </si>
  <si>
    <t xml:space="preserve">Suma </t>
  </si>
  <si>
    <t>Počet MDs z UCP</t>
  </si>
  <si>
    <t>% dotácie / pomocne</t>
  </si>
  <si>
    <t>IT Analytik</t>
  </si>
  <si>
    <t>Vlastník údajov</t>
  </si>
  <si>
    <t>Kľúčový používateľ</t>
  </si>
  <si>
    <t>Účtovník</t>
  </si>
  <si>
    <t>Biznis analytik</t>
  </si>
  <si>
    <t>Aktivita</t>
  </si>
  <si>
    <t>Pracovník v administratíve</t>
  </si>
  <si>
    <t>MODULY</t>
  </si>
  <si>
    <t>Funkcna poziadavka</t>
  </si>
  <si>
    <t>OPEX / CAPEX</t>
  </si>
  <si>
    <t>ESIF OPEX</t>
  </si>
  <si>
    <t>ESIF CAPEX</t>
  </si>
  <si>
    <t>OPEX</t>
  </si>
  <si>
    <t>CAPEX</t>
  </si>
  <si>
    <t>Ušetrené náklady IT a náklady na materiál</t>
  </si>
  <si>
    <t>Materiál</t>
  </si>
  <si>
    <t>Verzia dokumentu: v1.5</t>
  </si>
  <si>
    <t>Mesiacov od začiatku</t>
  </si>
  <si>
    <t>POČET PRÍSTUPOVÝCH KANÁLOV / POCET UC</t>
  </si>
  <si>
    <t>ZLOŽITOSŤ POŽIADAVKY</t>
  </si>
  <si>
    <t>VÝSLEDOK ZLOŽITOSTI</t>
  </si>
  <si>
    <t>ODHADNUTÁ PRÁCNOSŤ</t>
  </si>
  <si>
    <t>ČÍSLO
INKREMENTU</t>
  </si>
  <si>
    <t>SPÔSOB OVERENIA
ODBERATEĽOM</t>
  </si>
  <si>
    <t>Počet MDs z rozpočtu</t>
  </si>
  <si>
    <t>Používateľ x</t>
  </si>
  <si>
    <t>Číselník pozícií</t>
  </si>
  <si>
    <t>Súlad s max</t>
  </si>
  <si>
    <t>Korigovaný štart</t>
  </si>
  <si>
    <t>POO OPEX</t>
  </si>
  <si>
    <t>POO CAPEX</t>
  </si>
  <si>
    <t>Ostatné výdavky</t>
  </si>
  <si>
    <t>Ostatné zmiešané výdavky</t>
  </si>
  <si>
    <t>Publicita,  informovanosť, ostatné výdavky</t>
  </si>
  <si>
    <t>637003/637004/...</t>
  </si>
  <si>
    <t>Verzia dokumentu: v1.9</t>
  </si>
  <si>
    <t>Elektronický národný register informácií dopravy (eNRI DOP)</t>
  </si>
  <si>
    <t>projekt_2234</t>
  </si>
  <si>
    <t>isvs_11775</t>
  </si>
  <si>
    <t>Ministerstvo dopravy a  Slovenskej republiky</t>
  </si>
  <si>
    <t>Námestie slobody č. 6</t>
  </si>
  <si>
    <t xml:space="preserve">810 05 </t>
  </si>
  <si>
    <t>https://www.mindop.sk/</t>
  </si>
  <si>
    <t>Portál eNRI DOP</t>
  </si>
  <si>
    <t xml:space="preserve">Intranet </t>
  </si>
  <si>
    <t>API Gateway eNRI</t>
  </si>
  <si>
    <t>Transformačný modul</t>
  </si>
  <si>
    <t>Modul GIS</t>
  </si>
  <si>
    <t>Správa dopravných grafikonov</t>
  </si>
  <si>
    <t>Agendový modul bezpečných a chránených parkovacích miest pre nákladné a úžitkové vozidlá</t>
  </si>
  <si>
    <t>Rezervačný a plánovací modul pre vybrané agendy</t>
  </si>
  <si>
    <t>Modul optimalizácie osobnej verejnej dopravy a rezervácie kapacít</t>
  </si>
  <si>
    <t>Agendový modul licencovania hromadnej dopravy</t>
  </si>
  <si>
    <t>Správa licencovaných dopravných prostriedkov vo verejnej osobnej doprave</t>
  </si>
  <si>
    <t>Agendový modul dopravných povolení</t>
  </si>
  <si>
    <t>Žurnál a log server</t>
  </si>
  <si>
    <t>Objektové úložisko dopravných informácii</t>
  </si>
  <si>
    <t>Monitoring</t>
  </si>
  <si>
    <t>IAM</t>
  </si>
  <si>
    <t>DMS</t>
  </si>
  <si>
    <t>CMS</t>
  </si>
  <si>
    <t>Správa registratúry</t>
  </si>
  <si>
    <t>ID_001</t>
  </si>
  <si>
    <t>Doplnenie / aktualizácia údajov</t>
  </si>
  <si>
    <t xml:space="preserve">Systém umožní autorizovanému používateľovi doplniť a aktualizovať k infraštruktúre informácie o využití. </t>
  </si>
  <si>
    <t>MinDop SR</t>
  </si>
  <si>
    <t>ID_002</t>
  </si>
  <si>
    <t>Vloženie / zmena info</t>
  </si>
  <si>
    <t>Upload datasetu</t>
  </si>
  <si>
    <t>ID_003</t>
  </si>
  <si>
    <t>Aktualizácia podkladovej mapy</t>
  </si>
  <si>
    <t>Systém bude preberať podkladovú mapu do GIS vrstvy pre zobrazovanie a zakresľovanie údajov z Informačného systému geodézie, kartografie a katastra</t>
  </si>
  <si>
    <t>ID_004</t>
  </si>
  <si>
    <t>Registrovanie poskytovateľa údajov fyzickej infraštruktúry</t>
  </si>
  <si>
    <t>Registrovanie poskytovateľa dopravy</t>
  </si>
  <si>
    <t>ID_005</t>
  </si>
  <si>
    <t>Správa údajov používateľa fyzickej infraštruktúry</t>
  </si>
  <si>
    <t>Spravovanie nahraných geopriestorových súborov používateľa dopravcu</t>
  </si>
  <si>
    <t>ID_006</t>
  </si>
  <si>
    <t>Identifikácia poskytovateľa informácie</t>
  </si>
  <si>
    <t xml:space="preserve">Systém identifikuje na základe prihlasovacích údajov fyzickú osobu a prevádzkovateľa v mene ktorého FO vystupuje </t>
  </si>
  <si>
    <t>ID_007</t>
  </si>
  <si>
    <t>Správa a autorizácia používateľov</t>
  </si>
  <si>
    <t xml:space="preserve">Služba bude poskytovať funkcionalitu správy a autorizácie jednotlivých používateľov systému – prístup k funkcionalite a typu údajov </t>
  </si>
  <si>
    <t>ID_008</t>
  </si>
  <si>
    <t>Spravovanie služieb API a podporovanie prevádzky</t>
  </si>
  <si>
    <t>Spravovanie služieb eNRI DOP a podporovanie prevádzky</t>
  </si>
  <si>
    <t>ID_009</t>
  </si>
  <si>
    <t>Nahratie súboru</t>
  </si>
  <si>
    <t>Systém umožní autorizovanému používateľovi nahrať cez dostupné kanály súbor v dohodnutom formáte</t>
  </si>
  <si>
    <t>ID_010</t>
  </si>
  <si>
    <t>Odoslanie notifikácie používateľom eNRI DOP</t>
  </si>
  <si>
    <t>Služba bude cez integračnú platformu odosielať notifikácie do elektronickej  schránky, prípadne na sekundárnu adresu</t>
  </si>
  <si>
    <t>ID_011</t>
  </si>
  <si>
    <t>Spracovanie správy</t>
  </si>
  <si>
    <t>Systém vytvorí a zaarchivuje správu  podľa žiadosti</t>
  </si>
  <si>
    <t>ID_012</t>
  </si>
  <si>
    <t>Odoslanie odpovede vo zvolenom formáte</t>
  </si>
  <si>
    <t>Služba bude cez integračnú platformu odosielať vytvorené reporty ako odpovede na požiadavky do elektronickej  schránky, prípadne na sekundárnu adresu</t>
  </si>
  <si>
    <t>ID_013</t>
  </si>
  <si>
    <t xml:space="preserve">Registratúrne spracovanie a odoslanie správy o konaní </t>
  </si>
  <si>
    <t>Systém spracuje pripravenú správu o konaní formálnym registratúrnym postupom a pripraví ju na odoslanie</t>
  </si>
  <si>
    <t>ID_014</t>
  </si>
  <si>
    <t>Vytvorenie zoznamu notifikovaných subscriberov</t>
  </si>
  <si>
    <t>Systém vyhodnotí zoznam prekrytia s evidovanými záujmovými oblasťami používateľov systému, skontroluje ich oprávnenia na špecifický druh informácie  a pripraví zoznam subjektov na notifikácie</t>
  </si>
  <si>
    <t>ID_015</t>
  </si>
  <si>
    <t>Vytvorenie notifikačnej správy</t>
  </si>
  <si>
    <t>Systém vygeneruje špecifickú notifikačnú správu o pripravovanej investícií pre oprávnených používateľov</t>
  </si>
  <si>
    <t>ID_016</t>
  </si>
  <si>
    <t>Vizualizácia cestovných poriadkov</t>
  </si>
  <si>
    <t>Systém musí umožniť vizualizáciu cestovných poriadkov</t>
  </si>
  <si>
    <t>ID_017</t>
  </si>
  <si>
    <t>Vizualizácia taríf a poplatkov</t>
  </si>
  <si>
    <t>Systém musí umožniť vizualizáciu prepravné taríf a poplatkov</t>
  </si>
  <si>
    <t>ID_018</t>
  </si>
  <si>
    <t>Vizualizácia informácií o meškaniach</t>
  </si>
  <si>
    <t>Systém musí umožniť vizualizáciu informáciu o meškaniach</t>
  </si>
  <si>
    <t>ID_019</t>
  </si>
  <si>
    <t>Vizualizácia informácií o nadväznostiach</t>
  </si>
  <si>
    <t>Systém musí umožniť vizualizáciu informáciu o nadväznostiach</t>
  </si>
  <si>
    <t>ID_020</t>
  </si>
  <si>
    <t>Vyhľadávanie vlakových spojení</t>
  </si>
  <si>
    <t>Systém musí umožniť vyhľadávanie vlakových spojení</t>
  </si>
  <si>
    <t>ID_021</t>
  </si>
  <si>
    <t>Vyhľadávanie autobusových spojení</t>
  </si>
  <si>
    <t>Systém musí umožniť vyhľadávanie autobusových spojení</t>
  </si>
  <si>
    <t>ID_022</t>
  </si>
  <si>
    <t>Vizualizácia cestovnej trasy linky</t>
  </si>
  <si>
    <t>Systém musí umožniť vizualizáciu cestovnej trasy linky alebo uživatetľom vybraných liniek</t>
  </si>
  <si>
    <t>ID_023</t>
  </si>
  <si>
    <t>Vizualizácia liniek prechádzajúcich cez prepravný bod</t>
  </si>
  <si>
    <t>Systém musí umožniť vizualizáciu liniek prechádzajúcich cez prepravný bod</t>
  </si>
  <si>
    <t>ID_024</t>
  </si>
  <si>
    <t>Publikovanie setov otvorených údajov</t>
  </si>
  <si>
    <t>Systém musí umožniť publikovať sety otvorených údajov</t>
  </si>
  <si>
    <t>ID_025</t>
  </si>
  <si>
    <t>Prezentácia statických informácií o sieti čerpacích staníc</t>
  </si>
  <si>
    <t>Systém musí umožniť prezentáciu statických informácií o sieti čerpacích staníc a ich metaúdajov</t>
  </si>
  <si>
    <t>ID_026</t>
  </si>
  <si>
    <t>Prezentácia statických informácií o sieti odstavných plôch</t>
  </si>
  <si>
    <t>Systém musí umožniť prezentáciu statických informácií o sieti odstavných plôch a ich metaúdajov</t>
  </si>
  <si>
    <t>ID_027</t>
  </si>
  <si>
    <t>Prezentácia statických informácií o sieti nabíjacích staníc</t>
  </si>
  <si>
    <t>Systém musí umožniť prezentáciu statických informácií o sieti nabijacích staníc a ich metaúdajov</t>
  </si>
  <si>
    <t>ID_028</t>
  </si>
  <si>
    <t>Prezentácia dynamických informácií o dostupnosti parkovacích miest</t>
  </si>
  <si>
    <t>Systém musí umožniť prezentáciu dynamických informácií o dostupnosti voľných parkovacích miest</t>
  </si>
  <si>
    <t>ID_029</t>
  </si>
  <si>
    <t>Kontrola v registri dopravcov</t>
  </si>
  <si>
    <t>Systém musí zabezpečiť kontrolu voči registru dopravcov</t>
  </si>
  <si>
    <t>ID_030</t>
  </si>
  <si>
    <t>Kontrola súbehu linky z hľadiska času</t>
  </si>
  <si>
    <t>Systém musí zabezpečiť kontrolu súbehu linky s existujúcimi linkami z hľadiska času prihliadajúc na prevádzkové režimy linky</t>
  </si>
  <si>
    <t>ID_031</t>
  </si>
  <si>
    <t>Kontrola súbehu linky z hľadiska platnosti licencie</t>
  </si>
  <si>
    <t>Systém musí zabezpečiť kontrolu súbehu linky s existujúcimi linkami z hľadiska platnosti licencie</t>
  </si>
  <si>
    <t>ID_032</t>
  </si>
  <si>
    <t>Kontrola súbehu linky z hľadiska cestovnej trasy</t>
  </si>
  <si>
    <t>Systém musí zabezpečiť kontrolu súbehu linky s existujúcimi linkami z hľadiska cestovnej trasy</t>
  </si>
  <si>
    <t>ID_033</t>
  </si>
  <si>
    <t>Stanovenie príslušnosti ku dopravnému správnemu orgánu na základe východzej/konečnej zastávky</t>
  </si>
  <si>
    <t xml:space="preserve">Systém musí stanoviť na základe východzej/konečnej zástavky príslušnosť ku dopravnému správnemu orgánu </t>
  </si>
  <si>
    <t>ID_034</t>
  </si>
  <si>
    <t>Stanovenie charakteru linky vzhľadom na trasu</t>
  </si>
  <si>
    <t>Systém musí stanoviť charakter linky vzhľadom na trasu linky</t>
  </si>
  <si>
    <t>ID_035</t>
  </si>
  <si>
    <t>Stanovenie účastníkov konania na zákalde linky</t>
  </si>
  <si>
    <t>Systém musí stanoviť účastníkov konania (ďalšie dopravné orgány) na základe linky</t>
  </si>
  <si>
    <t>ID_036</t>
  </si>
  <si>
    <t>Číselníky používané na portály budú spĺňať štandard DATEX2</t>
  </si>
  <si>
    <t>Systém musí podporovať číselníky spĺňajúce štandard DATEX2.</t>
  </si>
  <si>
    <t>ID_037</t>
  </si>
  <si>
    <t>Bude umožnený export do CSV a XML</t>
  </si>
  <si>
    <t xml:space="preserve">Systém umožní exportovať dáta v textovom CSV a XML formáte zo všetkých dostupných zoznamov. </t>
  </si>
  <si>
    <t>ID_038</t>
  </si>
  <si>
    <t>Filtrovanie záznamov na zákalde atribútov</t>
  </si>
  <si>
    <t>Systém musí umožniť filtrovanie záznamov s možnosťou voľby  filtrovacích parametrov vychádzajúcich z jednotlivých atribútov záaznamov.</t>
  </si>
  <si>
    <t>ID_039</t>
  </si>
  <si>
    <t>Mapové podklady</t>
  </si>
  <si>
    <t>Systém bude zobrazovať používateľovi pohľad na mapu s možnosťou približovania a výberu ostatných vrstiev</t>
  </si>
  <si>
    <t>ID_040</t>
  </si>
  <si>
    <t>Vyznačenie oblasti na mape</t>
  </si>
  <si>
    <t xml:space="preserve">Systém umožní zadať lokalitu udalosti ako polygón. Každým klikom do mapy sa pridá nový bod polygónu a automaticky sa vizálne spojí s predchádzajúcim zadaným bodom. </t>
  </si>
  <si>
    <t>ID_041</t>
  </si>
  <si>
    <t>Súradnice</t>
  </si>
  <si>
    <t>Systém zobrazuje geografické súradnice aktuálnej polohy a vybranej polohy</t>
  </si>
  <si>
    <t>ID_042</t>
  </si>
  <si>
    <t>Meranie vzdialenosti</t>
  </si>
  <si>
    <t xml:space="preserve">Systém umožňuje odmeranie vzdialenosti na mape medzi dvoma alebo viacerými bodmi. Každým klikom do mapy sa pridá nový bod a automaticky sa vizálne spojí s predchádzajúcim zadaným bodom. Po zadaní aspoň dvoch bodov sa zobrazuje vzdialenosť medzi nimi. </t>
  </si>
  <si>
    <t>ID_043</t>
  </si>
  <si>
    <t>Vyhľadávanie objektu na mape</t>
  </si>
  <si>
    <t xml:space="preserve">Systém umožní prostredníctvom zobrazeného vyhľadávacieho poľa vyhľadať podľa možnosti vyhľadávania - číslo cesty, názov ulice, názov kraja, okresu, názov pamiatky,... </t>
  </si>
  <si>
    <t>ID_044</t>
  </si>
  <si>
    <t>Vyhľadávanie trasy</t>
  </si>
  <si>
    <t>Systém umožní vyhľadať trasu</t>
  </si>
  <si>
    <t>ID_045</t>
  </si>
  <si>
    <t>Body záujmu</t>
  </si>
  <si>
    <t xml:space="preserve">Systém bude podporovať vizualizáciu formou ikon na mape, ktorými budú zobrazené rôzne záujmové body, ktoré sú rozdelené do kategórií. </t>
  </si>
  <si>
    <t>ID_046</t>
  </si>
  <si>
    <t>Technické zariadenia</t>
  </si>
  <si>
    <t xml:space="preserve">Systém bude formou ikon  na mape zobrazovať technické zariadenia na pozemných komunikáciách </t>
  </si>
  <si>
    <t>ID_047</t>
  </si>
  <si>
    <t>Cyklocesty</t>
  </si>
  <si>
    <t>Systém bude formou doplnkových máp zobrazovať trasy reprezentujúce cyklotrasy</t>
  </si>
  <si>
    <t>ID_048</t>
  </si>
  <si>
    <t>Počasie</t>
  </si>
  <si>
    <t xml:space="preserve">Systém bude podporovať vrstvy obsahujúce podvrstvy ako intenzita zrážok, vývoj teplôt a vetra, meteorologické výstrany, </t>
  </si>
  <si>
    <t>ID_049</t>
  </si>
  <si>
    <t>Minimálne univerzálne dopravné informácie týkajúce sa bezpečnosti premávky (dočasne klzká cesta, zvieratá/ľudia/prekážky/nečistoty na ceste, nechránená oblasť nehody, znížená viditeľnosť, vodič, ktorý ide v protismere, neriadené zablokovanie cesty, výnimočné poveternostné podmienky)</t>
  </si>
  <si>
    <t xml:space="preserve">Systém bude podporovať vizualizáciu dopravných udalostí, ktoré sa zobrazia na mape pod jednotlivými ikonami </t>
  </si>
  <si>
    <t>ID_051</t>
  </si>
  <si>
    <t>Klasifikácia ciest</t>
  </si>
  <si>
    <t xml:space="preserve">Systém bude podporovať klasifikáciu ciest v zmysle legislatívy </t>
  </si>
  <si>
    <t>ID_057</t>
  </si>
  <si>
    <t xml:space="preserve">Údaje týkajúce sa parkovísk - statické a dynamické </t>
  </si>
  <si>
    <t>Systém musíevidovať priľahle hlavné a vedľajšie cesty a ich smery k príslušnemu parkovisku</t>
  </si>
  <si>
    <t>ID_058</t>
  </si>
  <si>
    <t>Dopravné udalosti</t>
  </si>
  <si>
    <t xml:space="preserve">Systém bude podporovať vizualizáciu dopravných udalostí formou ikon na mape vrátane ich platnosti </t>
  </si>
  <si>
    <t>ID_059</t>
  </si>
  <si>
    <t>Detail objektu informácie o premávke</t>
  </si>
  <si>
    <t>Systém bude evidovať a vizualizovať informácie o udalosti, miesta udalosti, vplyvu na premávku, predpokladané zdržanie, aktuálny čas prejazdu.</t>
  </si>
  <si>
    <t>ID_060</t>
  </si>
  <si>
    <t>Detail objektu technické zariadenie (kamera/sčítač)</t>
  </si>
  <si>
    <t>Systém bude podporovať vizualizáciu a evidenciu informácie o mieste uloženia objektu, type zariadenia</t>
  </si>
  <si>
    <t>ID_061</t>
  </si>
  <si>
    <t>Evidencia dopravných udalostí</t>
  </si>
  <si>
    <t>Systém musí umožniť zaznamenať dopravné udalosti  pripsievateľom</t>
  </si>
  <si>
    <t>ID_062</t>
  </si>
  <si>
    <t>Export dát do CSV a XML</t>
  </si>
  <si>
    <t>ID_065</t>
  </si>
  <si>
    <t>Spracovanie vstupných dát do jednotného formátu</t>
  </si>
  <si>
    <t>Agregácia vstupných statických a dynamických údajov na jednotný formát.</t>
  </si>
  <si>
    <t>ID_067</t>
  </si>
  <si>
    <t>Tvorba reportov a štatistík</t>
  </si>
  <si>
    <t>Systém musí podporovať reportingové nástroje určené na vytváranie preddefinovaných reportingových zostáv, umožňujúce jednoduchý prístup k informáciam za pomoci filtrov, tabuliek a grafov.</t>
  </si>
  <si>
    <t>ID_068</t>
  </si>
  <si>
    <t>Tvorba referenčných dát a číselníkov</t>
  </si>
  <si>
    <t>Systém umožní schvaľovací cyklus s referenčnými dátami a číselníkmi - požiadavka používateľa (licencovaných spooločností), schvaľovanie (v rámci NADA) a upload do zdieľanej databázy číselníkov.</t>
  </si>
  <si>
    <t>ID_069</t>
  </si>
  <si>
    <t>Zdieľanie jednotných číseníkov</t>
  </si>
  <si>
    <t>Systém bude obsahovať zdieľanú databázu, ktorá bude okrem  referenčných súborov lokalít (jednoznačné určenie lokalít bez duplicít) obsahovať i ďalšie a číselníky. ktoré majú vplyv na funkčnosť ďalších modulov eNRI DOP.</t>
  </si>
  <si>
    <t>ID_070</t>
  </si>
  <si>
    <t>Nahrávanie cestovných poriadkov</t>
  </si>
  <si>
    <t>Systém umožní licencovanej spoločnosti (vrátane takej, ktorá o licenciu požiadal prvýkrát) nahrať dáta cestovných poriadkov.</t>
  </si>
  <si>
    <t>ID_071</t>
  </si>
  <si>
    <t>Administrácia cestovných poriadkov</t>
  </si>
  <si>
    <t>Systém bude obsahovať nástroje na správu nahraných CP (cez autentifikačný modul)</t>
  </si>
  <si>
    <t>ID_073</t>
  </si>
  <si>
    <t>Monitoring systému</t>
  </si>
  <si>
    <t>Jednotný systém na monitorovanie jednotlivých častí systému a infraštruktúry.</t>
  </si>
  <si>
    <t>ID_074</t>
  </si>
  <si>
    <t>Autentifikácia používateľa</t>
  </si>
  <si>
    <t>Systém umožní správu používateľov na zabezpečenie jednotného manažmentu používateľských opatrení.</t>
  </si>
  <si>
    <t>ID_078</t>
  </si>
  <si>
    <t>Zber a integrácia statických cestovných údajov</t>
  </si>
  <si>
    <t>Systém umožní zber a integráciu statických dát týkajúcich sa úrovne služieb 1 a 2 (v zmysle Delegovaného nariadenia EK 2017/1926)</t>
  </si>
  <si>
    <t>ID_079</t>
  </si>
  <si>
    <t>Zber a integrácia dynamických cestovných údajov</t>
  </si>
  <si>
    <t>Systém umožní zber a integráciu dynamických dát týkajúcich sa úrovne služieb 1 a 2 (v zmysle Delegovaného nariadenia EK 2017/1926)</t>
  </si>
  <si>
    <t>ID_080</t>
  </si>
  <si>
    <t>Bezpečné a chránené parkovacie miesta pre nákladné a úžitkové vozidlá</t>
  </si>
  <si>
    <t>Systém zabezpečí zber a zdieľanie statických údajov o bezpečných a chránených verejných a súkromných parkoviskách, spolu s opisom parkovacích zariadení (dáta budú dodávať verejní alebo súkromní prevádzkovatelia parkovísk a poskytovatelia služieb)</t>
  </si>
  <si>
    <t>ID_083</t>
  </si>
  <si>
    <t>Sledovanie rozsahu poskytovaných prevádzkových údajov</t>
  </si>
  <si>
    <t>Systém bude obsahovať nástroje pre tvorbu reportov a štatistík, dôležitých pre sledovanie rozsahu poskytovaných prevádzkových údajov o službách vo verejnom záujme v zmysle Vyhlášky 5/2020, ktorou sa vykonávajú niektoré ustanovenia týkajúce sa objednávania verejnej osobnej dopravy: Prevádzkové údaje o prepravených cestujúcich; Súhrnné prevádzkové údaje za kalendárny rok.</t>
  </si>
  <si>
    <t>ID_084</t>
  </si>
  <si>
    <t>Modifikácia digitálneho obsahu</t>
  </si>
  <si>
    <t xml:space="preserve">Systém pre tvorbu a modifikáciu digitálneho obsahu. </t>
  </si>
  <si>
    <t>ID_085</t>
  </si>
  <si>
    <t>Správa, publikovanie a vyhľadávanie obsahu na CMS</t>
  </si>
  <si>
    <t xml:space="preserve">CMS bude zahŕňať webové poublikovanie, správu formátov, editáciu histórie a kontrolu verzií, indexovanie a vyhľadávanie. </t>
  </si>
  <si>
    <t>ID_086</t>
  </si>
  <si>
    <t>Správa prispôsobenia programového kódu</t>
  </si>
  <si>
    <t xml:space="preserve">CMS podporí oddelenie tvorby obsahu a jeho prezentácie. Webový obsah bude zahŕňať programový kód (napr. pre aplikácie), ktorý zobrazuje obsah alebo spolupracuje s používateľom. </t>
  </si>
  <si>
    <t>ID_087</t>
  </si>
  <si>
    <t>Správa prispôsobenia textovú a vloženú grafiku</t>
  </si>
  <si>
    <t xml:space="preserve">CMS podporí oddelenie tvorby obsahu a jeho prezentácie. Webový obsah bude zahŕňať textovú a vloženú grafiku, ktorá zobrazuje obsah alebo spolupracuje s používateľom. </t>
  </si>
  <si>
    <t>ID_088</t>
  </si>
  <si>
    <t>Správa prispôsobenia mediálneho obsahu</t>
  </si>
  <si>
    <t>CMS podporí oddelenie tvorby obsahu a jeho prezentácie. Webový obsah bude mediálny obsah ako fotografie, video, zvuk, mapy.</t>
  </si>
  <si>
    <t>ID_089</t>
  </si>
  <si>
    <t>Archivácia a prepojenie dokumentov</t>
  </si>
  <si>
    <t>Archiváciu a prepojenie dokumentov k relevantným spisom bude zabezpečovať komponent DMS.</t>
  </si>
  <si>
    <t>ID_090</t>
  </si>
  <si>
    <t>Sprístupnenie viacerými cestami</t>
  </si>
  <si>
    <t>Systém musí umožniť sa dostať k obsahu viacerými cestami</t>
  </si>
  <si>
    <t>ID_091</t>
  </si>
  <si>
    <t>Úprava a zdieľanie vlastného užívateľského rozhrania</t>
  </si>
  <si>
    <t>Systém musí umožniť registrovanému používateľovi tvorbu odkazov v rámci systému a ich ďalšie použitie v rámci úpravy vlastného uzívateľského rozhrania (Dashboard).</t>
  </si>
  <si>
    <t>ID_092</t>
  </si>
  <si>
    <t>Vyhľadávanie kľúčových slov</t>
  </si>
  <si>
    <t>Systém musí poskytnúť vyhľadávanie kľúčových výrazov, ak webové sídlo obsahuje kumulatívne viac ako 100 publikovaných informačných webových stránok,</t>
  </si>
  <si>
    <t>ID_093</t>
  </si>
  <si>
    <t>Zoznam tém</t>
  </si>
  <si>
    <t>Systém musí obsahovať zoznam všetkých tém A - Z.</t>
  </si>
  <si>
    <t>ID_094</t>
  </si>
  <si>
    <t>Zobrazenie v hierarchickom a chronologickom zobrazení</t>
  </si>
  <si>
    <t>Systém bude publikovať a zobrazovať udalosti v hierarchickom a chronologickom zobrazení.</t>
  </si>
  <si>
    <t>ID_095</t>
  </si>
  <si>
    <t>Interaktívna mapa sídla</t>
  </si>
  <si>
    <t>Systém musí poskytnúť interaktívnu mapy sídla alebo jej ekvivalentu vo forme dostupnej z každej webovej stránky sídla, ak webové sídlo obsahuje viac ako 50 uverejnených informačných webových stránok,</t>
  </si>
  <si>
    <t>ID_096</t>
  </si>
  <si>
    <t>Vyhľadávanie pomocou voľného textu</t>
  </si>
  <si>
    <t>Systém musí podporovať vyhľadávanie pomocou voľného textu</t>
  </si>
  <si>
    <t>ID_097</t>
  </si>
  <si>
    <t>Podpora predčítania</t>
  </si>
  <si>
    <t>Systém musí  podporovať Text-to-speech (hlasový výstup)</t>
  </si>
  <si>
    <t>ID_098</t>
  </si>
  <si>
    <t>Limit maximálnej úrovne menu</t>
  </si>
  <si>
    <t>Systém nemôže umožniť  vytvoriť menu s viac ako 5 úrovňami.</t>
  </si>
  <si>
    <t>ID_099</t>
  </si>
  <si>
    <t>Automatické pridávanie do mapy webového sídla</t>
  </si>
  <si>
    <t>Systém musí podporovať funkcionalitu, kde sa každá položka menu automaticky zobrazí v mape webového sídla</t>
  </si>
  <si>
    <t>ID_100</t>
  </si>
  <si>
    <t>Limit maximálneho počtu znakov položky menu</t>
  </si>
  <si>
    <t>Systém nemôže umožniť vytvorenie položky menu dlhších ako 32 znakov</t>
  </si>
  <si>
    <t>ID_101</t>
  </si>
  <si>
    <t>Podpora Full textového vyhľadávania</t>
  </si>
  <si>
    <t>Systém musí podporovať Full textové vyhľadávanie nad určenými podpriestormi.</t>
  </si>
  <si>
    <t>ID_102</t>
  </si>
  <si>
    <t>Rozšírené vyhľadávanie podľa metadát</t>
  </si>
  <si>
    <t>Systém musí podporovať rozšírené vyhľadávanie prostredníctvom metadát pre jednotlivé sémantické entity (napr. oblasť, téma, typ informácie, časový rámec)</t>
  </si>
  <si>
    <t>ID_103</t>
  </si>
  <si>
    <t>Definovanie setu dát zobrazeného v používateľovej zóne</t>
  </si>
  <si>
    <t>Systém musí umožniť registrovanému používateľovi definovanie setu dát na zobrazenie v rámci jeho zóny v podobe dlaždíc (Dashboard)</t>
  </si>
  <si>
    <t>ID_104</t>
  </si>
  <si>
    <t>Vyhľadávanie pomocou základných dátových typov</t>
  </si>
  <si>
    <t>Systém musí umožniť vyhľadávať aj pomocou základných dátových typov</t>
  </si>
  <si>
    <t>ID_105</t>
  </si>
  <si>
    <t>Vyhľadávanie pomocou podreťazcov</t>
  </si>
  <si>
    <t>Systém musí podporovať vyhľadávanie pomocou podreťazcov</t>
  </si>
  <si>
    <t>ID_106</t>
  </si>
  <si>
    <t>Vyhľadávanie pomocou regulárnych výrazov</t>
  </si>
  <si>
    <t>Systém musí podporovať vyhľadávanie pomocou regulárnych výrazov.</t>
  </si>
  <si>
    <t>ID_107</t>
  </si>
  <si>
    <t>Vyhľadávanie s ignorovaním diakritiky, veľkých a malých písmen</t>
  </si>
  <si>
    <t>Systém musí implementovať vyhľadávanie s možnosťou nebrania do úvahy diakritiky, veľkých a malých písmen</t>
  </si>
  <si>
    <t>ID_108</t>
  </si>
  <si>
    <t>Vyhľadávanie pomocou presného textu</t>
  </si>
  <si>
    <t>Systém musi podporovať vyhľadávanie presného textu (uvedený v úvodzovkách)</t>
  </si>
  <si>
    <t>ID_109</t>
  </si>
  <si>
    <t>Zdieľanie nastavenia používateľovej zóny</t>
  </si>
  <si>
    <t>Systém umožní užívateľovi zdielať nastavenie jeho zóny (Dashboardu) alebo jeho časti inému uživateľovi.</t>
  </si>
  <si>
    <t>ID_110</t>
  </si>
  <si>
    <t>Upozornenie na prebiehajúce vyhľadávanie</t>
  </si>
  <si>
    <t>Systém musí vizuálizovať informáciu, že prebieha vyhľadávanie, ak to trvá dlhšie ako definovaný počet sekúnd.</t>
  </si>
  <si>
    <t>ID_111</t>
  </si>
  <si>
    <t>Minimálny počet znakov pre vyhľadávanie</t>
  </si>
  <si>
    <t>Systém podporuje vyhľadávanie reťazcov aspoň 3 znakov.</t>
  </si>
  <si>
    <t>ID_112</t>
  </si>
  <si>
    <t>Vyhľadávanie pomocou kategorizácie</t>
  </si>
  <si>
    <t>Systém musí podporovať vyhľadávanie pomocou kategorizácie.</t>
  </si>
  <si>
    <t>ID_113</t>
  </si>
  <si>
    <t>Ne-Funkcna poziadavka</t>
  </si>
  <si>
    <t>Optimalizácia vyhľadávania</t>
  </si>
  <si>
    <t>Prvé výsledky vyhľadávania sú na 95 % do 3 sekúnd</t>
  </si>
  <si>
    <t>ID_114</t>
  </si>
  <si>
    <t>Zoradenie výsledkov vyhľadávania</t>
  </si>
  <si>
    <t>Systém umožní utriediť výsledky vyhľadávania minimálne podľa abecedy, dátumu príspevku a návštevnosti.</t>
  </si>
  <si>
    <t>ID_115</t>
  </si>
  <si>
    <t>Stránkovanie výsledkov vyhľadávania</t>
  </si>
  <si>
    <t>Systém musí umožniť stránkovanie výsledkov vyhľadávania</t>
  </si>
  <si>
    <t>ID_116</t>
  </si>
  <si>
    <t>Nastavenie veľkosti strany výsledkov vyhľadávania</t>
  </si>
  <si>
    <t>Systém musí umožniť  nastaviť si 20, 50 a 100 výsledkov na stranu</t>
  </si>
  <si>
    <t>ID_117</t>
  </si>
  <si>
    <t>Presun na stránke výsledkov</t>
  </si>
  <si>
    <t>Systém musí umožniť v dolnej časti možnosť presunu po stránkach výsledkov</t>
  </si>
  <si>
    <t>ID_118</t>
  </si>
  <si>
    <t>Triedenie vyhľadaných výsledkov</t>
  </si>
  <si>
    <t>Systém musí umožniť utriedenie výsledkov  meniť aj po výsledku vyhľadávania</t>
  </si>
  <si>
    <t>ID_119</t>
  </si>
  <si>
    <t>Podpora tagovania obsahu</t>
  </si>
  <si>
    <t>Systém musí podporovať tagovanie obsahu.</t>
  </si>
  <si>
    <t>ID_120</t>
  </si>
  <si>
    <t>Automatické generovanie metadát informačného systému</t>
  </si>
  <si>
    <t>Systém musí umožniť automatické generovanie metadát informačného obsahu.</t>
  </si>
  <si>
    <t>ID_121</t>
  </si>
  <si>
    <t>Úprava podľa tématickosti</t>
  </si>
  <si>
    <t>Systém musí podporovať úpravu zaradenia podľa tématickosti.</t>
  </si>
  <si>
    <t>ID_122</t>
  </si>
  <si>
    <t>Podpora odporúčaných metadát</t>
  </si>
  <si>
    <t>Systém musí podporovať minimálne odporúčané metadáta: dátum publikácie príspevku, dátum poslednej aktualizácie, autor, tematická oblasť</t>
  </si>
  <si>
    <t>ID_123</t>
  </si>
  <si>
    <t>Ukladanie údajov o návštevnosti</t>
  </si>
  <si>
    <t>Systém bude podporovať ukladanie návštevnosti v metadátach príspevkov.</t>
  </si>
  <si>
    <t>ID_124</t>
  </si>
  <si>
    <t>Úrovne evidencie návštevnosti</t>
  </si>
  <si>
    <t>Systém bude popdporovať vedenie návštevnosti na úrovni webového sídla a určených príspevkov (tém).</t>
  </si>
  <si>
    <t>ID_125</t>
  </si>
  <si>
    <t>Frekvencie sledovanej návštevnosti</t>
  </si>
  <si>
    <t>Systém musí podporovať metadáta návštevnosti ako denná, v danom roku a celková.</t>
  </si>
  <si>
    <t>ID_126</t>
  </si>
  <si>
    <t>Zobrazovanie aktuálneho kroku procesu</t>
  </si>
  <si>
    <t>Systém bude zobrazovať aktuálny krok v procese používateľovi.</t>
  </si>
  <si>
    <t>ID_127</t>
  </si>
  <si>
    <t>Podpora korelačnej a citlivostnej analýzy</t>
  </si>
  <si>
    <t>Systém  bude schopný vykonávať korelačné a citlivostné analýzy dát.</t>
  </si>
  <si>
    <t>ID_128</t>
  </si>
  <si>
    <t>Testovanie ekonomickej replikability</t>
  </si>
  <si>
    <t xml:space="preserve">Komponent musí poskytovať možnosť testovania ekonomickej replikability. </t>
  </si>
  <si>
    <t>ID_129</t>
  </si>
  <si>
    <t>Úprava a anonymizácia vybraných dát a ich zverejnenie</t>
  </si>
  <si>
    <t>Systém bude implementovať fuknciu, ktorá bude vyberať, anonymizovať a transformovať vopred vybrané údaje z technicných a ekonomických údajov vyzbieraných prostredníctvom zberového modulu do datasetov MinDopu, ktoré môžu byť zverejňované vo formáte otvorených dát.</t>
  </si>
  <si>
    <t>ID_130</t>
  </si>
  <si>
    <t>Podporva výstupov na EK</t>
  </si>
  <si>
    <t>Systém poskytne podporu pre tvorbu výstupov smerom na EK</t>
  </si>
  <si>
    <t>ID_131</t>
  </si>
  <si>
    <t>Registrácia vozidla</t>
  </si>
  <si>
    <t>Systém umožní registráciu vozidla s jeho základným relevantným popisom</t>
  </si>
  <si>
    <t>ID_132</t>
  </si>
  <si>
    <t>Vytvorenie trasy a nastavenie času</t>
  </si>
  <si>
    <t>Systém umožní vytvorenie trasy a nastavenie času odjazdu</t>
  </si>
  <si>
    <t>ID_133</t>
  </si>
  <si>
    <t>Prepočet odhadovaného intineráru jazdy</t>
  </si>
  <si>
    <t>Systém zabezpeči prepočtom odhadovaný intinerár jazdy naprieč celou trasou</t>
  </si>
  <si>
    <t>ID_134</t>
  </si>
  <si>
    <t>Prepočet obsadenosti vozidla</t>
  </si>
  <si>
    <t>Systém zabezpečí prepočitavanie obsadenosti voziadla naprieč trasou</t>
  </si>
  <si>
    <t>ID_135</t>
  </si>
  <si>
    <t>Notifikácie viacerými kanálmi</t>
  </si>
  <si>
    <t>Systém umožní notifikovať viecerými kanálmi</t>
  </si>
  <si>
    <t>ID_136</t>
  </si>
  <si>
    <t>Sledovanie typov DU</t>
  </si>
  <si>
    <t xml:space="preserve"> Systém umožňuje sledovať typy DU na základe dostupného setu štandardu DATEX2 na vytváranie štatistických zostáv.</t>
  </si>
  <si>
    <t>ID_137</t>
  </si>
  <si>
    <t>Exportovanie typov DU</t>
  </si>
  <si>
    <t xml:space="preserve"> Systém umožňuje exportovať typy DU na základe dostupného setu štandardu DATEX2 na vytváranie štatistických zostáv.</t>
  </si>
  <si>
    <t>ID_138</t>
  </si>
  <si>
    <t>Exportovanie dát z číselníkov v CSV a XML</t>
  </si>
  <si>
    <t xml:space="preserve">Systém umožní exportovať dáta v textovom CSV a XML formáte zo všetkých vybraných číselníkov. </t>
  </si>
  <si>
    <t>ID_139</t>
  </si>
  <si>
    <t>ID_140</t>
  </si>
  <si>
    <t>Validácia údajov vo formulároch</t>
  </si>
  <si>
    <t>Systém musí podporovať validáciu zadaných údajov vo formulári</t>
  </si>
  <si>
    <t>ID_141</t>
  </si>
  <si>
    <t>Automatické predvyplnenie používateľových údajov</t>
  </si>
  <si>
    <t>Systém musí vypĺňať automaticky používateľové údaje</t>
  </si>
  <si>
    <t>ID_142</t>
  </si>
  <si>
    <t>Tlač formulárov do preddefinovaných formátov</t>
  </si>
  <si>
    <t>Systém musí podporovať tlač formuláru do preddefinovaného formátu.</t>
  </si>
  <si>
    <t>ID_143</t>
  </si>
  <si>
    <t>Evidencia parkovísk</t>
  </si>
  <si>
    <t>Systém musí podporovať evidenciu parkovísk a jej podminenenú vizualizáciu na mape na základe aktuálnych údajov/metaúdajov.</t>
  </si>
  <si>
    <t>ID_144</t>
  </si>
  <si>
    <t>Evidencia vstupov y výstupov parkovísk</t>
  </si>
  <si>
    <t>Systém musí evidovať asociovanú polohu vstupov a výstupov jednotlivých parkovísk</t>
  </si>
  <si>
    <t>ID_145</t>
  </si>
  <si>
    <t>Evidencia počtu parkovacích miest</t>
  </si>
  <si>
    <t>Systém musí evidovať celkový počet parkovacích miest a z toho počet voľných miest daného parkoviska</t>
  </si>
  <si>
    <t>ID_146</t>
  </si>
  <si>
    <t>Evidencia špeciálnych/vyhradených parkovacích miest</t>
  </si>
  <si>
    <t>Systém musí evidovať počet špeciálnych / vyhradených parkovacích miest daného parkoviska.</t>
  </si>
  <si>
    <t>ID_147</t>
  </si>
  <si>
    <t>Evidencia cien parkovísk</t>
  </si>
  <si>
    <t>Systém musí evidovať ceny parkovacích miest pre vybrané parkovisko, spoločne s menou a možnosťou platby.</t>
  </si>
  <si>
    <t>ID_148</t>
  </si>
  <si>
    <t>Zber a zdieľanie  dynamických údajov o bezpečných a chránených verejných a súkromných parkoviskách</t>
  </si>
  <si>
    <t>Systém zabezpečí zber a zdieľanie  dynamických údajov o bezpečných a chránených verejných a súkromných parkoviskách, spolu s opisom parkovacích zariadení (dáta budú dodávať verejní alebo súkromní prevádzkovatelia parkovísk a poskytovatelia služieb)</t>
  </si>
  <si>
    <t>ID_149</t>
  </si>
  <si>
    <t>Evidencia informácií o špecifickom zariadení alebo službách pre zvláštne nákladné voziádlá</t>
  </si>
  <si>
    <t>Systém musí evidovať informácie o špecifickom zariadení alebo službách pre zvláštne nákladné voziádlá, kontatkné údaje o prevádzkovateľovi parkoviska</t>
  </si>
  <si>
    <t>ID_150</t>
  </si>
  <si>
    <t>Evidencia údajov o prevádzkovateľoch parkovísk</t>
  </si>
  <si>
    <t>Systém musi evidovať kontatkné údaje o prevádzkovateľovi parkoviska.</t>
  </si>
  <si>
    <t>ID_151</t>
  </si>
  <si>
    <t>Správa zadaných údajov o bezpečných a chránených parkovacích miest pre nákladné a úžitkové vozidlá</t>
  </si>
  <si>
    <t>Systém musí umožniť spravovať zadané údaje v čase registrovaným uživateľom.</t>
  </si>
  <si>
    <t>ID_152</t>
  </si>
  <si>
    <t>Podanie námietky voči rozhodnutiu</t>
  </si>
  <si>
    <t>Systém musí umožniť podanie námietky voči rozhodnutiu v stanovenej časovej lehote.</t>
  </si>
  <si>
    <t>Systém musí podorovať geografické zobrazenie evidovaných údajov.</t>
  </si>
  <si>
    <t>ID_163</t>
  </si>
  <si>
    <t>Správa zadaných údajov licencovania hromadnej dopravy</t>
  </si>
  <si>
    <t>ID_164</t>
  </si>
  <si>
    <t>Geografické zobrazenie bezpečných a chránených parkovacích miest pre nákladné a úžitkové vozidlá</t>
  </si>
  <si>
    <t>ID_170</t>
  </si>
  <si>
    <t>Správa zadaných údajov optimalizácie osobnej verejnej dopravy a rezervácie kapacít</t>
  </si>
  <si>
    <t>ID_172</t>
  </si>
  <si>
    <t>Geografické zobrazenie licencovania hromadnej dopravy</t>
  </si>
  <si>
    <t>ID_174</t>
  </si>
  <si>
    <t>Geografické zobrazenie osobnej a verejnej dopravy a rezervácie</t>
  </si>
  <si>
    <t>ID_175</t>
  </si>
  <si>
    <t>Vyhodnotenie súbežnosti z pohľadu identicity alebo podobnosti liniek alebo spojov</t>
  </si>
  <si>
    <t>Systém musí podporovať vyhodnovanie súbežnosti z pohľadu identicity alebo vysokej miery podobnosti smerovania vedenia liniek alebo spojov</t>
  </si>
  <si>
    <t>ID_176</t>
  </si>
  <si>
    <t>Vyhodnotenie súbežnosti z pohľaduhustoty staníc / zástavok</t>
  </si>
  <si>
    <t>Systém musí podporovať vyhodnovanie súbežnosti z pohľadu porovnania hustoty staníc/ zástavok a porovnateľnej dochádzkovej vzdialenosti k nim</t>
  </si>
  <si>
    <t>ID_177</t>
  </si>
  <si>
    <t>Vyhodnotenie súbežnosti z pohľadu časovejh polohy</t>
  </si>
  <si>
    <t>Systém musí podporovať vyhodnovanie súbežnosti z pohľadu vedenia spoju, ktorý je v rovnakej alebo veĺmi blizkej časovej polohe</t>
  </si>
  <si>
    <t>ID_178</t>
  </si>
  <si>
    <t>Paremetrizácia vyhodnocovacích faktorov súbežnosti</t>
  </si>
  <si>
    <t>Systém musí podoporvať parametrizáciu jednotlivých vyhodnocovacich faktorov súbežnosti</t>
  </si>
  <si>
    <t>ID_179</t>
  </si>
  <si>
    <t>Analýza súbežnosti vzhľadom na čas a dopravné špičky</t>
  </si>
  <si>
    <t>Systém musí podporovať analýzu súbežnosti vzhľadom na časové obdobie, závislosť od dopravných špičiek s voliteľnosťou zmien vybraných parametrov</t>
  </si>
  <si>
    <t>ID_180</t>
  </si>
  <si>
    <t>Podpora parametra typu súbežnosti v analýze dát a optimalizácii</t>
  </si>
  <si>
    <t>Systém musí evidovať vstupný parameter do analýzy - typ súbežnosti (zahrnuté cestovné poriadky a typy dopravy)</t>
  </si>
  <si>
    <t>ID_181</t>
  </si>
  <si>
    <t>Podpora parametra objektu v analýze dát a optimalizácii</t>
  </si>
  <si>
    <t>Systém musí evidovať vstupný parameter do analýzy - objekt (oblasť nad ktorou sa analýza vykonáva)</t>
  </si>
  <si>
    <t>ID_182</t>
  </si>
  <si>
    <t>Podpora parametra maximálnej vzdialenosti zastávok v analýze dát a optimalizácii</t>
  </si>
  <si>
    <t>Systém musí evidovať vstupný parameter do analýzy -  maximálna vzdialenosť medzi blízkymi zastávkami (v minutách)</t>
  </si>
  <si>
    <t>ID_183</t>
  </si>
  <si>
    <t>Podpora parametra maximálneho časového rozdielu v súhlasných zastávkach v analýze dát a optimalizácii</t>
  </si>
  <si>
    <t>Systém musí evidovať vstupný parameter do analýzy -  maximálna časový rozdiel v súhlasných zastávkach (určenie maximálneho časového rozdielu medzi odjazdami v súhlasných zastávkach)</t>
  </si>
  <si>
    <t>ID_184</t>
  </si>
  <si>
    <t>Podpora parametra minimálneho počtu súhlasných zastávok v analýze dát a optimalizácii</t>
  </si>
  <si>
    <t>Systém musí evidovať vstupný parameter do analýzy -  minimálny počet súhlasných zastávok</t>
  </si>
  <si>
    <t>ID_185</t>
  </si>
  <si>
    <t>Podpora parametramaximálneho počtu nesúhlasných zastávok v analýze dát a optimalizácii</t>
  </si>
  <si>
    <t>Systém musí evidovať vstupný parameter do analýzy -  maximálny  počet nesúhlasných zastávok</t>
  </si>
  <si>
    <t>ID_186</t>
  </si>
  <si>
    <t>Podpora parametra minimálnej dĺžky súbežného úseku v analýze dát a optimalizácii</t>
  </si>
  <si>
    <t>Systém musí evidovať vstupný parameter do analýzy -  minimálne dĺžka súbežného úseku v km</t>
  </si>
  <si>
    <t>ID_187</t>
  </si>
  <si>
    <t>Podpora parametra určeného obdobia v analýze dát a optimalizácii</t>
  </si>
  <si>
    <t>Systém musí evidovať vstupný parameter do analýzy -  určené obdobie pre ktoré sa vyhodnocuje súbežnosť</t>
  </si>
  <si>
    <t>ID_188</t>
  </si>
  <si>
    <t>ID_189</t>
  </si>
  <si>
    <t>Geografické zobrazenie verejnej dopravy a rezervácie kapacít</t>
  </si>
  <si>
    <t>ID_190</t>
  </si>
  <si>
    <t>Pdopora tabuľkového formátu v analýze súbežnosti</t>
  </si>
  <si>
    <t>Systém bude podporovať tabuľkový formát ako výstup z analýzy súbežnosti.</t>
  </si>
  <si>
    <t>ID_191</t>
  </si>
  <si>
    <t>Vyhodnotenie súbežnosti z pohľadu identicity alebo podobnosti liniek alebo spojov pre posúdenie vydania licencie</t>
  </si>
  <si>
    <t>Systém musí podporovať vyhodnovanie súbežnosti z pohľadu identicity alebo vysokej miery podobnosti smerovania vedenia linky voči uz schváleným</t>
  </si>
  <si>
    <t>ID_192</t>
  </si>
  <si>
    <t>Vyhodnotenie súbežnosti z pohľadu hustoty staníc / zástavok pre posúdenie vydania licencie</t>
  </si>
  <si>
    <t>Systém musí podporovať vyhodnovanie súbežnosti z pohľadu porovnania hustoty staníc/ zástavok a porovnateľnej dochádzkovej vzdialenosti k nim linky voči uz schváleným</t>
  </si>
  <si>
    <t>ID_193</t>
  </si>
  <si>
    <t>Vyhodnotenie súbežnosti z pohľadu časovej polohy pre posúdenie vydania licencie</t>
  </si>
  <si>
    <t>Systém musí podporovať vyhodnovanie súbežnosti z pohľadu vedenia spoju, ktorý je v rovnakej alebo veĺmi blizkej časovej polohe linky voči uz schváleným</t>
  </si>
  <si>
    <t>ID_194</t>
  </si>
  <si>
    <t>Paremetrizácia vyhodnocovacích faktorov súbežnosti pre posúdenie vydania licencie</t>
  </si>
  <si>
    <t>Systém musí podoporvať parametrizáciu jednotlivých vyhodnocovacich faktorov súbežnosti linky voči uz schváleným</t>
  </si>
  <si>
    <t>ID_195</t>
  </si>
  <si>
    <t>Analýza súbežnosti vzhľadom na čas a dopravné špičky pre posúdenie vydania licencie</t>
  </si>
  <si>
    <t>ID_196</t>
  </si>
  <si>
    <t>Evidencia parametra typu súbežnosti pre potreby analýzy</t>
  </si>
  <si>
    <t>Systém musí evidovať vstupný parameter do analýzy - typ súbežnosti (zahrnuté cestovné poriadky a typy dopravy) linky voči uz schváleným</t>
  </si>
  <si>
    <t>ID_197</t>
  </si>
  <si>
    <t>Evidencia parametra objektu pre potreby analýzy</t>
  </si>
  <si>
    <t>Systém musí evidovať vstupný parameter do analýzy - objekt (oblasť nad ktorou sa analýza vykonáva)  linky voči uz schváleným</t>
  </si>
  <si>
    <t>ID_198</t>
  </si>
  <si>
    <t>Evidencia parametramaximálnej vzdialenosti medzi zastávkami pre potreby analýzy</t>
  </si>
  <si>
    <t>Systém musí evidovať vstupný parameter do analýzy -  maximálna vzdialenosť medzi blízkymi zastávkami (v minutách)  linky voči uz schváleným</t>
  </si>
  <si>
    <t>ID_199</t>
  </si>
  <si>
    <t>Evidencia parametra maximálny časový rozdiel v súhlasných zastávkach pre potreby analýzy</t>
  </si>
  <si>
    <t>Systém musí evidovať vstupný parameter do analýzy -  maximálna časový rozdiel v súhlasných zastávkach (určenie maximálneho časového rozdielu medzi odjazdami v súhlasných zastávkach)  linky voči uz schváleným</t>
  </si>
  <si>
    <t>ID_200</t>
  </si>
  <si>
    <t>Evidencia parametra minimálny počet súhlasných zastávok pre potreby analýzy</t>
  </si>
  <si>
    <t>Systém musí evidovať vstupný parameter do analýzy -  minimálny počet súhlasných zastávok  linky voči uz schváleným</t>
  </si>
  <si>
    <t>ID_201</t>
  </si>
  <si>
    <t>Evidencia parametramaximálny počet nesúhlasných zastávok pre potreby analýzy</t>
  </si>
  <si>
    <t>Systém musí evidovať vstupný parameter do analýzy -  maximálny  počet nesúhlasných zastávok  linky voči uz schváleným</t>
  </si>
  <si>
    <t>ID_202</t>
  </si>
  <si>
    <t>Evidencia parametraminimálna dĺžka súbežného úseku pre potreby analýzy</t>
  </si>
  <si>
    <t>Systém musí evidovať vstupný parameter do analýzy -  minimálne dĺžka súbežného úseku v km  linky voči uz schváleným</t>
  </si>
  <si>
    <t>ID_203</t>
  </si>
  <si>
    <t>Evidencia parametra obdobia pre potreby analýzy</t>
  </si>
  <si>
    <t>Systém musí evidovať vstupný parameter do analýzy -  určené obdobie pre ktoré sa vyhodnocuje súbežnosť  linky voči uz schváleným</t>
  </si>
  <si>
    <t>ID_204</t>
  </si>
  <si>
    <t>Grafické zobrazenie analýzy súbežnosti</t>
  </si>
  <si>
    <t>Systém bude podporovať graficý výstup z analýzy súbežnosti hovoriaci o miere sú bežnosti voči iným linkám.</t>
  </si>
  <si>
    <t>ID_205</t>
  </si>
  <si>
    <t>ID_206</t>
  </si>
  <si>
    <t>Vyhodnotenie súbežnosti z pohľadu vedenia spoju v rovnakej alebo blízkej čaovej polohe</t>
  </si>
  <si>
    <t>Systém musí podporovať vyhodnocovanie súbežnosti z pohľadu vedenia spoju, ktorý je v rovnakej alebo veĺmi blizkej časovej polohe linky voči uz schváleným</t>
  </si>
  <si>
    <t>ID_207</t>
  </si>
  <si>
    <t>Podpora parametrizácie vyhodnocovacích faktorov súbežnosti linky</t>
  </si>
  <si>
    <t>ID_208</t>
  </si>
  <si>
    <t>Podpora analýzy súbežnosti vzhľadom na obdobie a dopravné špičky</t>
  </si>
  <si>
    <t>ID_209</t>
  </si>
  <si>
    <t>ID_210</t>
  </si>
  <si>
    <t>Evidencia parametra maximálny počet nesúhlasných zastávok pre potreby analýzy</t>
  </si>
  <si>
    <t>ID_211</t>
  </si>
  <si>
    <t>Evidencia parametra maximálnej vzdialenosti medzi zastávkami pre potreby analýzy</t>
  </si>
  <si>
    <t>ID_212</t>
  </si>
  <si>
    <t>ID_213</t>
  </si>
  <si>
    <t>ID_214</t>
  </si>
  <si>
    <t>Správa zadaných údajov dopravných grafikonov</t>
  </si>
  <si>
    <t>ID_215</t>
  </si>
  <si>
    <t>Geografické zobrazenie dopravných grafikonov</t>
  </si>
  <si>
    <t>ID_216</t>
  </si>
  <si>
    <t>Jednotná správa položiek systému</t>
  </si>
  <si>
    <t xml:space="preserve"> Správa všetkých opakujúcich sa položiek v systéme na jednom mieste.</t>
  </si>
  <si>
    <t>ID_217</t>
  </si>
  <si>
    <t>Detail číselníkov systému</t>
  </si>
  <si>
    <t>Každý číselník bude obsahovať zoznam hodnôt a základný popis mechanizmu synchronizácie údajov z externých zdrojov.</t>
  </si>
  <si>
    <t>ID_218</t>
  </si>
  <si>
    <t>Správa zadaných údajov rezervácií a plánov vybraných agiend</t>
  </si>
  <si>
    <t>ID_219</t>
  </si>
  <si>
    <t>Geografické zobrazenie rezervácií a plánov pre vybrané agendy</t>
  </si>
  <si>
    <t>ID_220</t>
  </si>
  <si>
    <t>Preberanie zásielok z registratúry</t>
  </si>
  <si>
    <t>Systém umožní preberanie zásielok z registratúry</t>
  </si>
  <si>
    <t>ID_221</t>
  </si>
  <si>
    <t>Synchronizovanie údajov o spisoch a konaniach</t>
  </si>
  <si>
    <t>Systém umožní synchornizovať údaje o spisoch a konaniach</t>
  </si>
  <si>
    <t>ID_222</t>
  </si>
  <si>
    <t>Začatie konania</t>
  </si>
  <si>
    <t>Systém umožní začať konanie</t>
  </si>
  <si>
    <t>ID_223</t>
  </si>
  <si>
    <t>Založenie spisu</t>
  </si>
  <si>
    <t>Systém umožní založenie nového spisu</t>
  </si>
  <si>
    <t>ID_224</t>
  </si>
  <si>
    <t>Elektronické podpisovanie</t>
  </si>
  <si>
    <t>Systém musí podporovať funkcionalitu el. podpisov</t>
  </si>
  <si>
    <t>ID_225</t>
  </si>
  <si>
    <t>Elektronické pečatenie</t>
  </si>
  <si>
    <t>Systém musí podporovať funkcionalitu el. pečatí</t>
  </si>
  <si>
    <t>ID_226</t>
  </si>
  <si>
    <t>Správa zadaných údajov licencovaných dopravných prostriedkov vo verejnej osobnej doprave</t>
  </si>
  <si>
    <t>ID_227</t>
  </si>
  <si>
    <t>Geografické zobrazenie licencovaných dopravných prostriedkov vo verejnej osobnej doprave</t>
  </si>
  <si>
    <t>ID_228</t>
  </si>
  <si>
    <t>Správa zadaných údajov o dopravných povoleniach</t>
  </si>
  <si>
    <t>ID_229</t>
  </si>
  <si>
    <t>Geografické zobrazenie pre agendový modul dopravných povolení</t>
  </si>
  <si>
    <t>ID_230</t>
  </si>
  <si>
    <t>Evidencia dopravných prostriedkov verejnej dopravy</t>
  </si>
  <si>
    <t>Systém musí umožniť evidovať dopravné prostriedky vykonávajúce verejnú dopravu</t>
  </si>
  <si>
    <t>ID_231</t>
  </si>
  <si>
    <t>Evidencia parametrov bezbariérovosti dopravných prostriedkov</t>
  </si>
  <si>
    <t>Systém musí umožniť evidovať parameter bezbarierovosti daného dopravného prostriedku</t>
  </si>
  <si>
    <t>ID_232</t>
  </si>
  <si>
    <t>Evidencia možnosti platieb pre dopravný prostriedok</t>
  </si>
  <si>
    <t>Systém musí umožniť evidovať možnosť platby v danom dopravnom prostriedku</t>
  </si>
  <si>
    <t>ID_233</t>
  </si>
  <si>
    <t>Evidencia doplňujúcich informácii o dopravnom prostriedku z hľadiska komfortu</t>
  </si>
  <si>
    <t>Systém musí umožniť evidovať doplňujúce informácie o dopravnom prostriedku z pohľadu komfortu cestujúceho</t>
  </si>
  <si>
    <t>ID_234</t>
  </si>
  <si>
    <t>Evidencia doplňujúcich informácii o dopravnom prostriedku z hľadiska konektivity</t>
  </si>
  <si>
    <t>Systém musí umožniť evidovať doplňujúce informácie o dopravnom prostriedku z pohľadu konektivity</t>
  </si>
  <si>
    <t>ID_235</t>
  </si>
  <si>
    <t>Evidencia iných doplňujúcich informácii o dopravnom prostriedku</t>
  </si>
  <si>
    <t>Systém musí umožniť evidovať doplňujúce ostatných informácie o dopravnom prostriedku</t>
  </si>
  <si>
    <t>ID_236</t>
  </si>
  <si>
    <t>Podpora zadávania a spravovania údajov na úrovni rozhraní a integrácií</t>
  </si>
  <si>
    <t>Systém musí podporovať zadávanie a spravovanie údajov na úrovni automatizovaných rozhraní a integrácií</t>
  </si>
  <si>
    <t>ID_237</t>
  </si>
  <si>
    <t>Vizualizácia a správa cestovných poriadkov</t>
  </si>
  <si>
    <t>Systém musí umožniť vizualizáciu a správu cestovných poriadkov</t>
  </si>
  <si>
    <t>ID_238</t>
  </si>
  <si>
    <t>Vizualizácia a správa taríf a poplatkov</t>
  </si>
  <si>
    <t>Systém musí umožniť vizualizáciu a správu prepravné taríf a poplatkov</t>
  </si>
  <si>
    <t>ID_239</t>
  </si>
  <si>
    <t>Vizualizácia a správa  informácií o meškaniach</t>
  </si>
  <si>
    <t>Systém musí umožniť vizualizáciu a správu informácie o meškaniach</t>
  </si>
  <si>
    <t>ID_240</t>
  </si>
  <si>
    <t>Systém musí umožniť vizualizáciu informácie o nadväznostiach</t>
  </si>
  <si>
    <t>ID_241</t>
  </si>
  <si>
    <t>ID_242</t>
  </si>
  <si>
    <t>ID_243</t>
  </si>
  <si>
    <t>Systém musí umožniť vizualizáciu cestovnej trasy linky alebo uživateľom vybraných liniek</t>
  </si>
  <si>
    <t>ID_244</t>
  </si>
  <si>
    <t>ID_245</t>
  </si>
  <si>
    <t>ID_246</t>
  </si>
  <si>
    <t>Prezentácia a správa siete čerpacích staníc</t>
  </si>
  <si>
    <t>Systém musí umožniť prezentáciu a správu statických informácií o sieti čerpacích staníc a ich metaúdajov</t>
  </si>
  <si>
    <t>ID_247</t>
  </si>
  <si>
    <t>Prezentácia a správa o sieti odstavných plôch</t>
  </si>
  <si>
    <t>Systém musí umožniť prezentáciu a správu statických informácií o sieti odstavných plôch a ich metaúdajov</t>
  </si>
  <si>
    <t>ID_248</t>
  </si>
  <si>
    <t>Prezentácia a správa sieti nabíjacích staníc</t>
  </si>
  <si>
    <t>Systém musí umožniť prezentáciu a správu statických informácií o sieti nabijacích staníc a ich metaúdajov</t>
  </si>
  <si>
    <t>ID_249</t>
  </si>
  <si>
    <t>Prezentácia a správa dostupnosti voľných parkovacích miest</t>
  </si>
  <si>
    <t>Systém musí umožniť prezentáciu a správu dynamických informácií o dostupnosti voľných parkovacích miest</t>
  </si>
  <si>
    <t>ID_250</t>
  </si>
  <si>
    <t>Podpora štandardu DATEX2 pre číselníky</t>
  </si>
  <si>
    <t>ID_251</t>
  </si>
  <si>
    <t>Exportovanie dát z dostupných zoznamov v textovom formáte CSV a XML</t>
  </si>
  <si>
    <t>ID_252</t>
  </si>
  <si>
    <t>ID_253</t>
  </si>
  <si>
    <t>Zaznamenávanie dopravných udalostí</t>
  </si>
  <si>
    <t>Systém musí umožniť zaznamenať dopravné udalosti užívateľom aj s časom výskytu</t>
  </si>
  <si>
    <t>ID_254</t>
  </si>
  <si>
    <t>Tvorba reportov podľa preddefinovan=ych zostáv</t>
  </si>
  <si>
    <t>ID_255</t>
  </si>
  <si>
    <t>ID_256</t>
  </si>
  <si>
    <t>ID_257</t>
  </si>
  <si>
    <t>ID_258</t>
  </si>
  <si>
    <t>ID_259</t>
  </si>
  <si>
    <t>ID_260</t>
  </si>
  <si>
    <t>ID_261</t>
  </si>
  <si>
    <t>Automatické vyplnenie údajov o používateľovi</t>
  </si>
  <si>
    <t>ID_262</t>
  </si>
  <si>
    <t>ID_263</t>
  </si>
  <si>
    <t>ID_264</t>
  </si>
  <si>
    <t>ID_265</t>
  </si>
  <si>
    <t>ID_266</t>
  </si>
  <si>
    <t>ID_267</t>
  </si>
  <si>
    <t>ID_268</t>
  </si>
  <si>
    <t>ID_269</t>
  </si>
  <si>
    <t>ID_270</t>
  </si>
  <si>
    <t>ID_271</t>
  </si>
  <si>
    <t>ID_272</t>
  </si>
  <si>
    <t>ID_273</t>
  </si>
  <si>
    <t>ID_274</t>
  </si>
  <si>
    <t>ID_275</t>
  </si>
  <si>
    <t>ID_276</t>
  </si>
  <si>
    <t>ID_277</t>
  </si>
  <si>
    <t>Podpora usporiadania a triedenia výsledkov vyhľadávania</t>
  </si>
  <si>
    <t>ID_278</t>
  </si>
  <si>
    <t>ID_279</t>
  </si>
  <si>
    <t>ID_280</t>
  </si>
  <si>
    <t>ID_281</t>
  </si>
  <si>
    <t>Systém musí umožniť utriedenie výsledkov meniť aj po výsledku vyhľadávania</t>
  </si>
  <si>
    <t>ID_282</t>
  </si>
  <si>
    <t>Správa číselníkov</t>
  </si>
  <si>
    <t>Systém musí umožniť správu čiselníkov</t>
  </si>
  <si>
    <t>ID_283</t>
  </si>
  <si>
    <t>ID_284</t>
  </si>
  <si>
    <t>ID_285</t>
  </si>
  <si>
    <t>ID_286</t>
  </si>
  <si>
    <t>Správa hodnôt číselníka</t>
  </si>
  <si>
    <t>Systém musí umožniť správu hodnôt čiselníkov</t>
  </si>
  <si>
    <t>ID_287</t>
  </si>
  <si>
    <t>ID_288</t>
  </si>
  <si>
    <t>ID_289</t>
  </si>
  <si>
    <t>ID_290</t>
  </si>
  <si>
    <t>ID_291</t>
  </si>
  <si>
    <t>ID_292</t>
  </si>
  <si>
    <t>ID_293</t>
  </si>
  <si>
    <t>ID_294</t>
  </si>
  <si>
    <t>ID_295</t>
  </si>
  <si>
    <t>ID_296</t>
  </si>
  <si>
    <t>ID_297</t>
  </si>
  <si>
    <t>ID_298</t>
  </si>
  <si>
    <t>ID_299</t>
  </si>
  <si>
    <t>ID_300</t>
  </si>
  <si>
    <t>ID_301</t>
  </si>
  <si>
    <t>ID_302</t>
  </si>
  <si>
    <t>ID_303</t>
  </si>
  <si>
    <t>Evidencia spustených procesov</t>
  </si>
  <si>
    <t>Systém  musí podporovať evidenciu spustených procesov</t>
  </si>
  <si>
    <t>ID_304</t>
  </si>
  <si>
    <t>Evidencia započatých konaní</t>
  </si>
  <si>
    <t>Systém  musí podporovať evidenciu započatých konaní</t>
  </si>
  <si>
    <t>ID_305</t>
  </si>
  <si>
    <t>Evidencia riešiteľov</t>
  </si>
  <si>
    <t>Systém musí podporovať evidenciu riešiteľov</t>
  </si>
  <si>
    <t>ID_306</t>
  </si>
  <si>
    <t>Delegeovanie alebo zmena riešiteľa</t>
  </si>
  <si>
    <t>Systém musí podporovať delegáciu/zmenu riešiteľa počas realizácie procesu</t>
  </si>
  <si>
    <t>ID_307</t>
  </si>
  <si>
    <t>História procesov</t>
  </si>
  <si>
    <t>Systém musí umožnovať prezeranie histórie procesov</t>
  </si>
  <si>
    <t>ID_308</t>
  </si>
  <si>
    <t>História konaní</t>
  </si>
  <si>
    <t>Systém musí umožnovať prezeranie histórie konaní</t>
  </si>
  <si>
    <t>ID_309</t>
  </si>
  <si>
    <t>Terminácia procesu</t>
  </si>
  <si>
    <t>Systém musí umožniť termináciu procesu s naslednou notifikáciou</t>
  </si>
  <si>
    <t>ID_310</t>
  </si>
  <si>
    <t>História námietok</t>
  </si>
  <si>
    <t>Systém musí umožniť prezeranie histórie námietok</t>
  </si>
  <si>
    <t>ID_311</t>
  </si>
  <si>
    <t>Evaluácia rýchlosti behu procesu</t>
  </si>
  <si>
    <t>Systém musí podporovať evaluáciu rýchlosti behu procesu</t>
  </si>
  <si>
    <t>ID_312</t>
  </si>
  <si>
    <t>Evaluácia stráveného času v krokoch procesu</t>
  </si>
  <si>
    <t>Systém musí podporovať evaluáciu stráveného času v jednotlivých krokoch procesu</t>
  </si>
  <si>
    <t>ID_313</t>
  </si>
  <si>
    <t>Notifikácia v rámci prechodu medzi stavmi procesu</t>
  </si>
  <si>
    <t>Systém musí podporovať implementáciu notifikačnej schémy v rámci prechodov medzi stavmi procesu</t>
  </si>
  <si>
    <t>ID_314</t>
  </si>
  <si>
    <t>Predvyplnenie výstupnej správy konania/procesu</t>
  </si>
  <si>
    <t>Systém čiastočne predvyplní výstupnú správu z konania/procesu</t>
  </si>
  <si>
    <t>ID_315</t>
  </si>
  <si>
    <t>Predgenerovanie výstupu z procesu/konania</t>
  </si>
  <si>
    <t>Systém umožní doplnenie a úpravu predgenerovaného výstupu z procesu/konania.</t>
  </si>
  <si>
    <t>ID_316</t>
  </si>
  <si>
    <t>Zaslanie rozhodnutia</t>
  </si>
  <si>
    <t>Systém umožní zaslanie rozhodnutia definovaným kanálom.</t>
  </si>
  <si>
    <t>ID_317</t>
  </si>
  <si>
    <t>Tlač konceptu rozhodnutia</t>
  </si>
  <si>
    <t>Systém umožní tlač rozhodnutia z procesu/ konania v úrovni konceptu(draft).</t>
  </si>
  <si>
    <t>ID_318</t>
  </si>
  <si>
    <t>Tlač rozhodnutia</t>
  </si>
  <si>
    <t>Systém umožní tlač rozhodnutia z procesu/ konania v úrovni finálneho výstupu.</t>
  </si>
  <si>
    <t>ID_319</t>
  </si>
  <si>
    <t>História subjektu a jeho podaní</t>
  </si>
  <si>
    <t>Systém umožní vizualizovať históriu subjektu a jeho podaní.</t>
  </si>
  <si>
    <t>ID_320</t>
  </si>
  <si>
    <t>Prístupová schéma k jednotlivým objektom evidencie</t>
  </si>
  <si>
    <t>Systém bude mať implementované pravidlá prístupovej schémy nad jednotlivými evidenciami objektov.</t>
  </si>
  <si>
    <t>ID_321</t>
  </si>
  <si>
    <t>Podpora úrovní dôležitosti notifikácií</t>
  </si>
  <si>
    <t>Systém bude podporovať notifikačný systém s viacerými úrovňami dôležitosti.</t>
  </si>
  <si>
    <t>ID_322</t>
  </si>
  <si>
    <t>Podpora pravidiel notifikácií viacerými komunikačnými kanálmi</t>
  </si>
  <si>
    <t>Systém bude podporovať notifikačný systém s predefinovanými pravidlami využivania viacerých komunikačných kanálov.</t>
  </si>
  <si>
    <t>ID_323</t>
  </si>
  <si>
    <t>Správa obsahu portálu eNRI DOP</t>
  </si>
  <si>
    <t>Modul CMS umožní správu obsahu verejnej aj privátnej časti portálu eNRI DOP</t>
  </si>
  <si>
    <t>ID_324</t>
  </si>
  <si>
    <t>Nastavenie základných atribútov stránok v CMS</t>
  </si>
  <si>
    <t>CMS umožní nastavenie title, description, keywords generovaných stránok</t>
  </si>
  <si>
    <t>ID_325</t>
  </si>
  <si>
    <t>Generovanie URL v CMS</t>
  </si>
  <si>
    <t>CMS systém bude generovať friendly URL (automaticky s možnosťou manuálnej úpravy)</t>
  </si>
  <si>
    <t>ID_326</t>
  </si>
  <si>
    <t>Automatické generovanie sitemap</t>
  </si>
  <si>
    <t>CMS systém bude automaticky generovať súbor sitemap.xml</t>
  </si>
  <si>
    <t>ID_327</t>
  </si>
  <si>
    <t>Validácia stránok CMS</t>
  </si>
  <si>
    <t>Stránky generované CMS systémom budú HTML5 a CSS3 validné</t>
  </si>
  <si>
    <t>ID_328</t>
  </si>
  <si>
    <t>Podpora hierarchie nadpisov</t>
  </si>
  <si>
    <t>CMS systém umožní definovať hierarchiu nadpisov (h1 - h7)</t>
  </si>
  <si>
    <t>ID_329</t>
  </si>
  <si>
    <t>Pdopora úpravy obsahu a kódu cez WYSIWYG editor</t>
  </si>
  <si>
    <t>CMS systém možní upravovať obsah stránok a zdrojový kód cez WYSIWYG editor</t>
  </si>
  <si>
    <t>ID_330</t>
  </si>
  <si>
    <t>Využitie kompresie a optimalizácie</t>
  </si>
  <si>
    <t>CMS systém minimalizuje rýchlosť načítavania stránok pomocou kompresie / optimalizácie obrázkov a cacheovanie obsahu</t>
  </si>
  <si>
    <t>ID_331</t>
  </si>
  <si>
    <t>Podpora alternatívnych textov pre obrázky</t>
  </si>
  <si>
    <t>CMS systém umožňuje zadať alternatívne texty pre obrázky</t>
  </si>
  <si>
    <t>ID_332</t>
  </si>
  <si>
    <t>Podpora SSO</t>
  </si>
  <si>
    <t>CMS systém umožňuje prepojenie so sociálnymi sieťami na úrovni SSO</t>
  </si>
  <si>
    <t>ID_333</t>
  </si>
  <si>
    <t>Zobrazenie spravovaných registrov</t>
  </si>
  <si>
    <t>Modul CMS umožní vo verejnej časti portálu zobraziť spravované registre</t>
  </si>
  <si>
    <t>ID_334</t>
  </si>
  <si>
    <t>Pdopora správy obsahu cez WYSIWYG editor</t>
  </si>
  <si>
    <t>Modul CMS umožní umožní spravovať obsah prostredníctvom WYSIWYG editoru</t>
  </si>
  <si>
    <t>ID_335</t>
  </si>
  <si>
    <t>Vytvorenie, editácia a publikovanie formulárov</t>
  </si>
  <si>
    <t>Modul CMS umožní vytvorenie / editáciu a publikáciu formulárov na verejnom portáli prostredníctvom administrácie bez nutnosti zásahu programátora a ich umiestenie do layoutu stránky.</t>
  </si>
  <si>
    <t>ID_336</t>
  </si>
  <si>
    <t>Ukladanie údajov z formulárov a notifikovanie</t>
  </si>
  <si>
    <t>Modul CMS umožní, aby dáta z vyplnených a odoslaných formulárov sa budú ukladať do databázy, s možnosťou nastavenia notifikačných mailov (pre požívateľa čo vyplnil formulár a vybraného používateľa / používateľov CMS).</t>
  </si>
  <si>
    <t>ID_337</t>
  </si>
  <si>
    <t>Intuitívne ovládanie CMS</t>
  </si>
  <si>
    <t>Ovládanie CMS musí byť jednoduché a intuitívne aj pre užívateľa so základnými schopnosťami ovládania počítača.</t>
  </si>
  <si>
    <t>ID_338</t>
  </si>
  <si>
    <t>Vytváranie a editácia štruktúry portálu</t>
  </si>
  <si>
    <t>Modul CMS podporí možnosť vytvárania a zmeny štruktúry portálu – vytváranie položiek, vnorených úrovní musí byť spracovateľné. Požaduje sa aj možnosť dočasne deaktivovať jednotlivé položky menu, prípadne celú vetvu vrátane vnorených položiek</t>
  </si>
  <si>
    <t>ID_339</t>
  </si>
  <si>
    <t>Správa prístupov pre úpravu CMS</t>
  </si>
  <si>
    <t>Modul CMS zabezpečí, aby položky menu (podstránky) boli prístupné na základe definovateľných oprávnení – v administračnej časti možnosť definovať práva editovať podstránky na úrovni používateľského konta, prípadne používateľskej skupiny.</t>
  </si>
  <si>
    <t>ID_340</t>
  </si>
  <si>
    <t>Integrácia na sociálne siete a publikovanei informácií</t>
  </si>
  <si>
    <t>Modul CMS umožní integráciu na sociálne siete – možnosť zverejňovať na nástenke definovaných profilov na sociálnych sieťach vybrané informácie (napríklad novo pridané podstránky, vybrané aktuality...)</t>
  </si>
  <si>
    <t>ID_341</t>
  </si>
  <si>
    <t>Editácia menu a jeho položiek</t>
  </si>
  <si>
    <t>Modul CMS umožní zmenu poradia / úrovne vnorenia podstránok v administrácii systémom drag-and-drop</t>
  </si>
  <si>
    <t>ID_342</t>
  </si>
  <si>
    <t>Podpora verziovania obsahu a štruktúry CMS</t>
  </si>
  <si>
    <t>Modul CMS musí umožňovať v rámci portálu vytvárať obsahovo a štrukturálne nezávislé verzie sídiel. Táto funkcionalita sa bude využívať hlavne na tvorbu jazykových mutácií a špecializovaných verzií pre zrakovo postihnutých</t>
  </si>
  <si>
    <t>ID_343</t>
  </si>
  <si>
    <t>Schvaľovanie publikovaného obsahu v CMS</t>
  </si>
  <si>
    <t>Modul CMS podporí schvaľovací proces umožňujúci definovať tvorcov obsahu a schvaľovateľov</t>
  </si>
  <si>
    <t>ID_344</t>
  </si>
  <si>
    <t>Podpora rozšírenia CMS pomocou modulov</t>
  </si>
  <si>
    <t>CMS systém musí byť rozšíriteľný pomocou modulov, ktoré obohatia funkčnosť jednak administračnej ako aj prezentačnej časti portálu (časť pre návštevníkov).</t>
  </si>
  <si>
    <t>ID_345</t>
  </si>
  <si>
    <t>Podpora multimediálnych knižníc v CMS</t>
  </si>
  <si>
    <t>Modul CMS podporí možnosť vytvárať galérie, ktorých obsahom môžu byť obrázkové, zvukové a video súbory. Pri video súboroch je vítaná možnosť integrácie na youtube kanál.</t>
  </si>
  <si>
    <t>ID_346</t>
  </si>
  <si>
    <t>Správa externých súborov a ich verziovanie v CMS</t>
  </si>
  <si>
    <t>Modul CMS zabezpečí správu externých súborov s podporou verzionovania</t>
  </si>
  <si>
    <t>ID_347</t>
  </si>
  <si>
    <t>Integrácia CMS s AD</t>
  </si>
  <si>
    <t>Modul CMS podporí napojenia na AD pri užívateľoch administračnej časti riešenia</t>
  </si>
  <si>
    <t>ID_348</t>
  </si>
  <si>
    <t>Správa registrovaných používateľov v CMS</t>
  </si>
  <si>
    <t>Modul CMS zabezpečí správu používateľských kont registrovaných návštevníkov, s možnosťou editácie, aktivácie a deaktivácie</t>
  </si>
  <si>
    <t>ID_349</t>
  </si>
  <si>
    <t>Správa skupín v CMS</t>
  </si>
  <si>
    <t>Spôsob prideľovania oprávnení v CMS bude založený na skupinách oprávnení, ktoré sú prideľované používateľom.</t>
  </si>
  <si>
    <t>ID_350</t>
  </si>
  <si>
    <t>Proces schvaľovania obsahu v CMS</t>
  </si>
  <si>
    <t>CMS musí podporovať pracovný postup pre schvaľovanie obsahu.</t>
  </si>
  <si>
    <t>ID_351</t>
  </si>
  <si>
    <t>História verzií zmien obsahu na portáli</t>
  </si>
  <si>
    <t>Na verejný portál sa publikujú len verzie obsahu, ktoré prešli schválením. Každá zmena obsahu musí byť uložená do histórie, aby bolo možné kedykoľvek vykonať obnovenie.</t>
  </si>
  <si>
    <t>ID_352</t>
  </si>
  <si>
    <t>Štruktúra navigácie v CMS</t>
  </si>
  <si>
    <t>Navigácia v CMS systéme bude zobrazená prostredníctvom stromovej štruktúry, pričom poradie jednotlivých položiek (statických alebo dynamických stránok) bude možné meniť potiahnutím na požadovanú pozíciu.</t>
  </si>
  <si>
    <t>ID_353</t>
  </si>
  <si>
    <t>Tvorba statických stránok v CMS</t>
  </si>
  <si>
    <t>Vytvorenie novej statickej stránky v CMS pre verejný portál bude realizovaný prostredníctvom formulára</t>
  </si>
  <si>
    <t>ID_354</t>
  </si>
  <si>
    <t>Ukladanie metaúdajov stránok v CMS</t>
  </si>
  <si>
    <t>Ku každej stránke v CMS sa automaticky zaznamená dátum vytvorenia a poslednej úpravy, ako aj účet autora. Každá zmena sa uloží do histórie s informáciou o používateľovi, ktorý ju vykonal a dátume zmeny.</t>
  </si>
  <si>
    <t>ID_355</t>
  </si>
  <si>
    <t>Podpora multimediálneho obsahu v CMS</t>
  </si>
  <si>
    <t>Do každej stránky spravovanej CMS je možné vkladať objekty ako:
video
súbor na stiahnutie
obrázky
formulár
GIS mapu</t>
  </si>
  <si>
    <t>ID_356</t>
  </si>
  <si>
    <t>Podpora aktivít ku aktulitám/novinkám v CMS</t>
  </si>
  <si>
    <t>V CMS systéme bude  podpora aktualít/noviniek v rozsahu:
Vytvorenie aktuality
Editácia / zmazanie aktuality
Aktivácia / deaktivácia aktuality
Prehľad všetkých aktualít</t>
  </si>
  <si>
    <t>ID_357</t>
  </si>
  <si>
    <t>Správa identít</t>
  </si>
  <si>
    <t>Systém umožní  správu identít (osobné a technické)</t>
  </si>
  <si>
    <t>ID_358</t>
  </si>
  <si>
    <t>Evidencia metaúdajov k identite</t>
  </si>
  <si>
    <t>Systém umožní evidenciu metaúdajov k identite (aj multilanguage)</t>
  </si>
  <si>
    <t>ID_359</t>
  </si>
  <si>
    <t>Delegovanie autorít</t>
  </si>
  <si>
    <t>Systém umožní podporiť delegovanie autorít</t>
  </si>
  <si>
    <t>ID_360</t>
  </si>
  <si>
    <t>Správa hesiel</t>
  </si>
  <si>
    <t>Systém umožní  správu hesiel (password policies, password self-servis (reset/forget), administrátor)</t>
  </si>
  <si>
    <t>ID_361</t>
  </si>
  <si>
    <t>Registrácia identít</t>
  </si>
  <si>
    <t>Systém umožní  registráciu a schvaľovanie registrácie identít</t>
  </si>
  <si>
    <t>ID_362</t>
  </si>
  <si>
    <t>Správa skupín</t>
  </si>
  <si>
    <t>Systém umožní  správu skupín (privátne/verejné, statické/dynamické, vnorené)</t>
  </si>
  <si>
    <t>ID_363</t>
  </si>
  <si>
    <t>Správa rôl</t>
  </si>
  <si>
    <t>Systém umožní  správu rôl</t>
  </si>
  <si>
    <t>ID_364</t>
  </si>
  <si>
    <t>Delegovanie administrácie</t>
  </si>
  <si>
    <t>Systém umožní  delegovanie administrácie (delegovanie, vyhodnocovanie, riadenie, skupinové, vnorené)</t>
  </si>
  <si>
    <t>ID_365</t>
  </si>
  <si>
    <t>Auditovanie, logovanie a reportovanie</t>
  </si>
  <si>
    <t>Systém umožní  auditovanie, logovanie a reportovanie</t>
  </si>
  <si>
    <t>ID_366</t>
  </si>
  <si>
    <t>Podpora štandardných autentifikačných protokolov a procesov</t>
  </si>
  <si>
    <t>Systém umožní  podporu štandardných autentifikačných protokolov a procesov</t>
  </si>
  <si>
    <t>ID_367</t>
  </si>
  <si>
    <t>Podpora štandardných autorizačných protokolov a procesov</t>
  </si>
  <si>
    <t>Systém umožní podporu štandardných autorizačných protokolov a procesov</t>
  </si>
  <si>
    <t>ID_368</t>
  </si>
  <si>
    <t>Podpora rozšírenia autentifikačných procesov</t>
  </si>
  <si>
    <t>Systém umožní  poskytnúť podporu rozširovateľnosti autentifikaťných procesov</t>
  </si>
  <si>
    <t>ID_369</t>
  </si>
  <si>
    <t>Podpora SSO a Federácií</t>
  </si>
  <si>
    <t>Systém umožní  podporu SSO a Federácii (v zmyslel súčasných štandardov)</t>
  </si>
  <si>
    <t>ID_370</t>
  </si>
  <si>
    <t>Synchronizácia identít</t>
  </si>
  <si>
    <t>Systém umožní  synchronizácie identít (provisioning) a/alebo možnosť rozšírenia</t>
  </si>
  <si>
    <t>ID_371</t>
  </si>
  <si>
    <t>Práca s registratúrnymi záznamami</t>
  </si>
  <si>
    <t>Systém musí podporovať efektivitu práce s registratúrnymi záznamami počas ich celého životného cyklu. Zároveň systém musí zabezpečovať zhodu s legislatívnymi požiadavkami kladenými na oblasť správy registratúry.</t>
  </si>
  <si>
    <t>ID_372</t>
  </si>
  <si>
    <t>Systematická evidencia všetkých typov dokumentov</t>
  </si>
  <si>
    <t>Systém musí podporovať systematickú evidenciu všetkých typov dokumentov</t>
  </si>
  <si>
    <t>ID_373</t>
  </si>
  <si>
    <t>Spracovanie zásielok, záznamov, pridelenia, zaradenia do spisu,vybavenie pracovníkom, úschovu a vyradenie</t>
  </si>
  <si>
    <t>Systém musí poskytovať funkcionalitu pre spracovanie registratúrnych záznamov od zaevidovania zásielky alebo záznamu, pridelenia, zaradenia záznamu do spisu, vybavenie poverenými pracovníkmi až po jeho úschovu a vyradenie.</t>
  </si>
  <si>
    <t>ID_374</t>
  </si>
  <si>
    <t>Informácie o stave spisov, kontrola dodržania lehoty</t>
  </si>
  <si>
    <t>Systém musí zároveň poskytovať okamžité informácie o štádiu vybavovania záznamov a spisov a kontrolovať dodržiavanie zákonných a interných lehôt.</t>
  </si>
  <si>
    <t>ID_375</t>
  </si>
  <si>
    <t>Dodržanie príslušných právnych predpisov</t>
  </si>
  <si>
    <t>Systém musí spĺňať požiadavky príslušných všeobecne záväzných právnych predpisov.</t>
  </si>
  <si>
    <t>ID_376</t>
  </si>
  <si>
    <t>Komunikácia pomocou elektronických schránok</t>
  </si>
  <si>
    <t>V rámci systému sa požaduje, aby riešenie systému správy registratúry zastrešilo všetky procesy v komunikácii pomocou elektronických schránok</t>
  </si>
  <si>
    <t>ID_377</t>
  </si>
  <si>
    <t>Integrácia elektronickej schránky</t>
  </si>
  <si>
    <t>Systém musí plne pokryť všetky funkcionality spojené s plnohodnotným využívaním elektronických schránok a to bez nutnosti priameho prístupu k portálu www.slovensko.sk</t>
  </si>
  <si>
    <t>ID_378</t>
  </si>
  <si>
    <t>Certifikácia podľa MV SR</t>
  </si>
  <si>
    <t>Systém musí disponovať certifikátom o posúdení zhody s požiadavkami Výnosu Ministerstva vnútra SR</t>
  </si>
  <si>
    <t>ID_379</t>
  </si>
  <si>
    <t>Podpora komunikácie WS cez otvorené štandardy</t>
  </si>
  <si>
    <t>Systém musí poskytovať možnosť komunikácie pomocou webových služieb alebo na úrovni výmeny súborov s použitím otvorených štandardov vo formáte .xml</t>
  </si>
  <si>
    <t>ID_380</t>
  </si>
  <si>
    <t>Evidencia neotváraných zasielok, zásielok na meno</t>
  </si>
  <si>
    <t>Systém musí umožniť evidenciu listinných zásielok, ktoré sa na podateľni neotvárajú, evidenciu zásielok na meno a evidenciu zásielok s evidenciou obsahu zásielok vo forme registratúrnych záznamov.</t>
  </si>
  <si>
    <t>ID_381</t>
  </si>
  <si>
    <t>Generovanie identifikačných štítkov a kódov</t>
  </si>
  <si>
    <t>Systém musí umožniť generovanie a tlač identifikačných štítkov s čiarovým kódom pre označovanie listinných záznamov a zásielok.</t>
  </si>
  <si>
    <t>ID_382</t>
  </si>
  <si>
    <t>Automatizované zaraďovanie záznamov na organizačné útvary</t>
  </si>
  <si>
    <t>Systém musí umožniť manuálne alebo automatizované zaraďovanie zaevidovaných záznamov na organizačné útvary a spracovateľov na základe definovaných distribučných pravidiel.</t>
  </si>
  <si>
    <t>ID_383</t>
  </si>
  <si>
    <t>Fyzické odovzdanie zásielky a generovanie protokolov</t>
  </si>
  <si>
    <t>Systém musí umožniť odovzdávanie fyzickej formy zásielok a záznamov na organizačné útvary, generovanie odovzdávacích protokolov</t>
  </si>
  <si>
    <t>ID_384</t>
  </si>
  <si>
    <t>Spracovanie vrátených zásielok</t>
  </si>
  <si>
    <t>Systém musí umožniť spracovanie vrátených (odmietnutých) zásielok a záznamov.</t>
  </si>
  <si>
    <t>ID_385</t>
  </si>
  <si>
    <t>Import záznamov zo súboru vo vybraných formátoch</t>
  </si>
  <si>
    <t>Systém musí umožniť hromadný import prichádzajúcich zásielok a záznamov zo súboru vo formáte Microsoft Excel, alebo .xml.</t>
  </si>
  <si>
    <t>ID_386</t>
  </si>
  <si>
    <t>Evidencia doručenej pošty</t>
  </si>
  <si>
    <t>Systém musí umožniť automatickú tvorba knihy doručenej pošty.</t>
  </si>
  <si>
    <t>ID_387</t>
  </si>
  <si>
    <t>Príjem elektronických správ z elektronických schránok</t>
  </si>
  <si>
    <t>Systém musí umožniť príjem elektronických správ z elektronických schránok úradov a pracovísk s možnosťou manuálneho alebo automatického sťahovania elektronických správ vo vopred definovaných časových intervaloch.</t>
  </si>
  <si>
    <t>ID_388</t>
  </si>
  <si>
    <t>Kontrola priložených elektronických príloh</t>
  </si>
  <si>
    <t>Systém musí umožniť preverenie priložených elektronických príloh na prítomnosť škodlivých kódov a vírusov.</t>
  </si>
  <si>
    <t>ID_389</t>
  </si>
  <si>
    <t>Overenie pravosti kvalifikovaného podpisu</t>
  </si>
  <si>
    <t>Systém musí umožniť overenie pravosti kvalifikovaného elektronického podpisu (KEP) na elektronickom formulári ÚPVS a všetkých elektronických prílohách.</t>
  </si>
  <si>
    <t>ID_390</t>
  </si>
  <si>
    <t>Vizualizácia formuláru ÚPVS</t>
  </si>
  <si>
    <t>Systém musí umožniť vizualizáciu došlých elektronických formulárov ÚPVS priamo v prostredí aplikácie.</t>
  </si>
  <si>
    <t>ID_391</t>
  </si>
  <si>
    <t>Ukladanie elektronických správ v natívnom formáte</t>
  </si>
  <si>
    <t>Systém musí umožniť ukladanie všetkých došlých elektronických správ v natívnom formáte (SKTalk správa) vrátane všetkých validačných dát potrebných pre overenie pravosti a platnosti kvalifikovaného elektronického podpisu.</t>
  </si>
  <si>
    <t>ID_392</t>
  </si>
  <si>
    <t>Prijatie odchádzajúcich zásielok podateľňou</t>
  </si>
  <si>
    <t>Systém musí umožniť prijatie odchádzajúcich zásielok podateľňou z organizačných zložiek alebo od spracovateľov.</t>
  </si>
  <si>
    <t>ID_393</t>
  </si>
  <si>
    <t>Kontrola odchádzajúcich zásielok pomocou skenovania Š´titkov a kódov</t>
  </si>
  <si>
    <t>Systém musí umožniť kontrolu prijatých odchádzajúcich zásielok pomocou skenovania identifikačných štítkov a čiarových kódov.</t>
  </si>
  <si>
    <t>ID_394</t>
  </si>
  <si>
    <t>Dodatočná úprava vlastností zásielky</t>
  </si>
  <si>
    <t>Systém musí umožniť dodatočnú úpravu vlastností zásielky (druh, trieda, doplnkové služby...) pracovníkmi podateľne.</t>
  </si>
  <si>
    <t>ID_395</t>
  </si>
  <si>
    <t>Evidencia doručeniek k zásielkam, evidencia nedoručených zásielok</t>
  </si>
  <si>
    <t>Systém musí umožniť evidenciu doručeniek k odoslaným zásielkam, evidenciu nedoručených zásielok.</t>
  </si>
  <si>
    <t>ID_396</t>
  </si>
  <si>
    <t>Generovanie podacích hárkov a poštových prehľadov</t>
  </si>
  <si>
    <t>Systém musí umožniť generovanie podacích hárkov a poštových prehľadov. Generovanie podacieho hárku pre tlačovú podobu a generovanie podacieho hárku v formáte MS Excle pre službu ePodacíHárok Slovenskej pošty.</t>
  </si>
  <si>
    <t>ID_397</t>
  </si>
  <si>
    <t>Evidencia odoslanej pošty</t>
  </si>
  <si>
    <t>Systém musí umožniť automatickú tvorbu knihy odoslanej pošty.</t>
  </si>
  <si>
    <t>ID_398</t>
  </si>
  <si>
    <t>Vizualizácia a vyplnenie formulárov ÚPVS</t>
  </si>
  <si>
    <t>Systém musí umožniť vizualizáciu a vypĺňanie elektronických formulárov ÚPVS s možnosťou prikladania elektronických príloh.</t>
  </si>
  <si>
    <t>ID_399</t>
  </si>
  <si>
    <t>Podpísanie elektronického formulára a elektronických dokumentov</t>
  </si>
  <si>
    <t>Systém musí umožniť podpísanie elektronického formulára a priložených elektronických dokumentov kvalifikovaným elektronickým podpisom s možnosťou automatického podpísania elektronických formulárov</t>
  </si>
  <si>
    <t>ID_400</t>
  </si>
  <si>
    <t>Ukladanie odosielaných elektronických správ v natívnom formáte</t>
  </si>
  <si>
    <t>Systému musí umožniť ukladanie všetkých odosielaných elektronických správ v natívnom formáte (SKTalk správa).</t>
  </si>
  <si>
    <t>ID_401</t>
  </si>
  <si>
    <t>Spracovanie a distribúcia zásielok, záznamov a doručeniek</t>
  </si>
  <si>
    <t>Systém na správu registratúry musí poskytovať funkcie na spracovanie a distribúciu zásielok, záznamov a doručeniek pridelených organizačnému útvaru.</t>
  </si>
  <si>
    <t>ID_402</t>
  </si>
  <si>
    <t>Podporia riadenia zastupovania zamestnancov organizačného útvaru</t>
  </si>
  <si>
    <t xml:space="preserve">Systém musí umožniť definovať a riadiť zastupovanie zamestnancov organizačného útvaru aj na rôznych organizačných úrovniach. </t>
  </si>
  <si>
    <t>ID_403</t>
  </si>
  <si>
    <t>Prehľad a vyhľadávanie spisov</t>
  </si>
  <si>
    <t xml:space="preserve">Systém musí ďalej poskytovať prehľad a funkcie na vyhľadávanie spisov organizačného útvaru vrátane spisov podriadených organizačných útvarov. </t>
  </si>
  <si>
    <t>ID_404</t>
  </si>
  <si>
    <t>Zjednodušenie práce s pridelenými zásielkami, záznamami a spismi</t>
  </si>
  <si>
    <t xml:space="preserve">Systém na správu registratúry musí poskytnúť pracovníkom organizačného útvaru funkcie, ktoré v maximálnej miere uľahčia prácu s pridelenými zásielkami, záznamami a spismi. </t>
  </si>
  <si>
    <t>ID_405</t>
  </si>
  <si>
    <t>Prehľad nevybavenej agendy</t>
  </si>
  <si>
    <t>Systém musí poskytnúť pracovníkom prehľad nevybavenej agendy, ako aj informácie o pridelených zásielkach, záznamoch a spisoch, nevybavených záznamoch, otvorených spisoch a pridelených úlohách.</t>
  </si>
  <si>
    <t>ID_406</t>
  </si>
  <si>
    <t>Podpora evidencie dodatočných informácií k jednotlivým typom agendy</t>
  </si>
  <si>
    <t xml:space="preserve">Systém musí poskytovať funkcionality pre evidenciu neobmedzeného množstva dodatočných informácií k jednotlivým typom agendy (špecificky pre každý typ agendy) v štruktúrovanej podobe. </t>
  </si>
  <si>
    <t>ID_407</t>
  </si>
  <si>
    <t>Podpora zdieľania zázanmov a spisov</t>
  </si>
  <si>
    <t>Pre podporu vybavovania agendy v rámci pracovných skupín musí systém umožniť zdieľanie záznamov a spisov iným zamestnancom s možnosťou definovania pravidiel a oprávnení pre zdieľaný spis alebo záznam.</t>
  </si>
  <si>
    <t>ID_408</t>
  </si>
  <si>
    <t>Automatické spracovanie výsledku doručenia úradného dokumentu</t>
  </si>
  <si>
    <t>Systém musí umožniť automatické spracovanie výsledku doručovania elektronického úradného dokumentu. Systém bude spracovávať súvisiace elektronické správy týkajúce sa odoslaného úradného dokumentu.</t>
  </si>
  <si>
    <t>ID_409</t>
  </si>
  <si>
    <t>Manuálne evidovanie výsledku doručovania</t>
  </si>
  <si>
    <t>Systém musí umožniť pracovníkovi manuálne zaevidovať výsledok doručovania</t>
  </si>
  <si>
    <t>ID_410</t>
  </si>
  <si>
    <t>Archivovanie elektronických spisov a registratúrnych záznamov</t>
  </si>
  <si>
    <t>Systém musí umožniť odovzdanie elektronických spisov a registratúrnych záznamov do archívu v štandardizovanej forme podľa platnej legislatívy (vo forme SIP balíčkov)</t>
  </si>
  <si>
    <t>ID_411</t>
  </si>
  <si>
    <t>Komunikácia integrovaných aplikácií prostredníctvom správ</t>
  </si>
  <si>
    <t>Systém musí zabezpečiť sprostredkovanie komunikácie medzi službami (integrovanými aplikáciami) prostredníctvom správ</t>
  </si>
  <si>
    <t>ID_412</t>
  </si>
  <si>
    <t>Spoľahlivé doručenie správ</t>
  </si>
  <si>
    <t>Systém musí zabezpečiť spoľahlivé doručenie správ</t>
  </si>
  <si>
    <t>ID_413</t>
  </si>
  <si>
    <t>Transparentnosť informácií o pripojených systémoch</t>
  </si>
  <si>
    <t xml:space="preserve">Systém musí zabezpečiť transparentnosť informácií o pripojených systémoch a technologických rozdieloch pre jednotlivé integrované aplikácie </t>
  </si>
  <si>
    <t>ID_414</t>
  </si>
  <si>
    <t>Verifikácia správ</t>
  </si>
  <si>
    <t>Systém musí zabezpečiť verifikáciu správ</t>
  </si>
  <si>
    <t>ID_415</t>
  </si>
  <si>
    <t>Správne smerovanie správ</t>
  </si>
  <si>
    <t>Systém musí zabezpečiť správne smerovanie správ</t>
  </si>
  <si>
    <t>ID_416</t>
  </si>
  <si>
    <t>Integrovanie na IAM ÚPVS</t>
  </si>
  <si>
    <t>Systém bude integrované na Autentifikačný modul (IAM ÚPVS)</t>
  </si>
  <si>
    <t>ID_417</t>
  </si>
  <si>
    <t>Integrovanie na eDesk ÚPVS</t>
  </si>
  <si>
    <t>Systém bude integrované na Modul elektronických schránok (eDesk ÚPVS)</t>
  </si>
  <si>
    <t>ID_418</t>
  </si>
  <si>
    <t>Integrovanie na MED ÚPVS</t>
  </si>
  <si>
    <t>Systém bude integrované na Modul elektronického doručovania (MED ÚPVS)</t>
  </si>
  <si>
    <t>ID_419</t>
  </si>
  <si>
    <t>ID_420</t>
  </si>
  <si>
    <t>ID_421</t>
  </si>
  <si>
    <t>ID_422</t>
  </si>
  <si>
    <t>ID_423</t>
  </si>
  <si>
    <t>Integrovanie na IS Borrmaweb</t>
  </si>
  <si>
    <t>Systém bude integrované na IS Borrmaweb za účelom synchronizácie meteo informácii. – budú otázky na rozhranie</t>
  </si>
  <si>
    <t>ID_424</t>
  </si>
  <si>
    <t>Integrovanie na NDS KIS - DIS</t>
  </si>
  <si>
    <t>Riešenie bude integrované na NDS Komplexný informačný systém - Dispečerský informačný systém (NDS KIS-DIS) pomocou štandardných DATEX II rozhraní</t>
  </si>
  <si>
    <t>ID_425</t>
  </si>
  <si>
    <t>Integrovanie na NDS Portál</t>
  </si>
  <si>
    <t xml:space="preserve">Systém bude integrované na NDS Portál pomocou proprietárneho rozhrania NDS na základe integračného manuálu. </t>
  </si>
  <si>
    <t>ID_426</t>
  </si>
  <si>
    <t>Integrovanie na registratúrny systém MD SR</t>
  </si>
  <si>
    <t>Systém bude integrované na registratúrny systém MD SR</t>
  </si>
  <si>
    <t>ID_427</t>
  </si>
  <si>
    <t>Integrovanie na IS ŽSR</t>
  </si>
  <si>
    <t>Systém bude integrované na IS ŽSR za účelom synchronizácie dát o dopravnej infraštruktúre. Rozsah integrácii bude na úrovni synchronizácie dát v štandarde OCG a v proprietárnych formátoch ŽSR</t>
  </si>
  <si>
    <t>ID_428</t>
  </si>
  <si>
    <t>Integrovanie na systém hodnotiteľov bezpečnosti dopravných úsekov</t>
  </si>
  <si>
    <t>Systém bude integrované na systém hodnotiteľov bezpečnosti dopravných úsekov.</t>
  </si>
  <si>
    <t>ID_429</t>
  </si>
  <si>
    <t>Integrovanie na IS SSC - CDB</t>
  </si>
  <si>
    <t>Systém bude integrované na IS SSC - CDB za účelom synchronizácie dát o dopravnej infraštruktúre. Rozsah integrácii bude na úrovni synchronizácie dát v štandarde OCG a v proprietárnych formátoch SSC</t>
  </si>
  <si>
    <t>ID_430</t>
  </si>
  <si>
    <t>Integrovanie na IS SSC - zjazdnosť</t>
  </si>
  <si>
    <t>Systém bude integrované na IS SSC - zjazdnosť za účelom synchronizácie dát o dopravných udalostiach. Rozsah integrácii bude na úrovni synchronizácie dát v štandarde DATEX II a v proprietárnych formátoch SSC</t>
  </si>
  <si>
    <t>ID_431</t>
  </si>
  <si>
    <t>Integrovanie na IS LPS</t>
  </si>
  <si>
    <t>Systém bude integrované na IS LPS za účelom synchronizácie dát o dopravnej infraštruktúry a prevádzkových poriadkoch. Rozsah integrácii bude na úrovni synchronizácie dát v štandarde OCG, IATA-SSIM a v proprietárnych formátoch LPS.</t>
  </si>
  <si>
    <t>ID_432</t>
  </si>
  <si>
    <t>Integrovanie na RIS</t>
  </si>
  <si>
    <t>Systém bude integrované na IS RIS za účelom synchronizácie dát o dopravnej infraštruktúry a prevádzkových poriadkoch. Rozsah integrácii bude na úrovni synchronizácie dát v štandarde OCG a v proprietárnych formátoch IS RIS.</t>
  </si>
  <si>
    <t>ID_433</t>
  </si>
  <si>
    <t>Podpora externého rozhrania v štandarde OpenAPI</t>
  </si>
  <si>
    <t>Systém implementuje externé rozhrania v štandarde OpenAPI v3.x a vytvorí na to špecifikáciu:
Súčasťou špecifikácie bude aj zoznam chybových kódov s popisom pre každú službu rozhrania
Na prostrediach bude sprístupnený aj endpoint so "Swagger UI"
Poskytne sa SSL šifrovanie na úrovni prenosu</t>
  </si>
  <si>
    <t>ID_434</t>
  </si>
  <si>
    <t>Manažovanie cez API Gateway</t>
  </si>
  <si>
    <t>Všetky rozhrania systému budú manažovateľné cez API Gateway</t>
  </si>
  <si>
    <t>ID_435</t>
  </si>
  <si>
    <t>Podpora interného rozhrania v štandarde OpenAPI</t>
  </si>
  <si>
    <t>Systém poskytne interné rozhrania na rozhrania v štandarde OpenAPI v3.x a vytvorí na to špecifikáciu:
Súčasťou špecifikácie bude aj zoznam chybových kódov s popisom pre každú službu rozhrania
Na prostrediach bude sprístupnený aj endpoint so "Swagger UI"
Podporí sa SSL šifrovanie na úrovni prenosu</t>
  </si>
  <si>
    <t>ID_436</t>
  </si>
  <si>
    <t>Rozhranie pre automatizované publikovanie otvorených údajov</t>
  </si>
  <si>
    <t xml:space="preserve">Systém poskytne rozhranie, ktorým bude zabezpečená automatizovaná publikácia a automatizovaná aktualizácia otvorených údajov (napr. na data.gov.sk alebo iný portál). </t>
  </si>
  <si>
    <t>ID_437</t>
  </si>
  <si>
    <t>Tvorba proprietárnych datasetov</t>
  </si>
  <si>
    <t>V systéme budú vytvárané proprietárne datasety – v rozsahu do 50 datasetov, publikované cez integračnú platformu. Do zoznamu datasetov sa nerátajú dátové rozhrania podľa vymenovaných štandardov (DATEXT, TAP-TSI, NeTEx, IATA-SSIM a pod), ktorých rozsah je daný samotným štandardom. Definícia proprietarnych datasetov bude súčasťou spracovania Detailného návrhu riešenia, komplexnosťou pôjde o:
15 hierarchických data setov, s počtom atribútov v súčte do 750 (neunikátnych). V priemere bude mať dataset 50 atribútov,
35 nehierarchických data setov, s počtom atribútov v súčte do 900 (neunikátnych). V priemere bude mať dataset 30 atribútov</t>
  </si>
  <si>
    <t>ID_438</t>
  </si>
  <si>
    <t>Tvorba sady priprietárnych rozhraní</t>
  </si>
  <si>
    <t>Systém vytvorí sadu proprietárnych rozhraní v maximálnom počte 50 datasetov ako súčasť OpenAPI rozhraní eNRI DOP.</t>
  </si>
  <si>
    <t>ID_439</t>
  </si>
  <si>
    <t>Podpora štandardu DATEX II</t>
  </si>
  <si>
    <t>Systém vytvorí a implementuje rozhrania v štandarde DATEX II.</t>
  </si>
  <si>
    <t>ID_440</t>
  </si>
  <si>
    <t>Podpora štandardu TAP-TSI</t>
  </si>
  <si>
    <t>Systém vytvorí a implementuje rozhrania v štandarde TAP-TSI.</t>
  </si>
  <si>
    <t>ID_441</t>
  </si>
  <si>
    <t>Podpora štandardu NeTEx</t>
  </si>
  <si>
    <t>Systém vytvorí a implementuje rozhrania v štandarde NeTEx.</t>
  </si>
  <si>
    <t>ID_442</t>
  </si>
  <si>
    <t>Podpora štandardu IATA-SSIM</t>
  </si>
  <si>
    <t>Systém vytvorí a implementuje rozhrania v štandarde IATA-SSIM.</t>
  </si>
  <si>
    <t>ID_443</t>
  </si>
  <si>
    <t>Integrovanie JISCD</t>
  </si>
  <si>
    <t>Systém sa integruje na IS JISCD v správe MD SR za účelom synchronizácie dát o dopravcoch, ich povoleniach a vozidiel.</t>
  </si>
  <si>
    <t>ID_444</t>
  </si>
  <si>
    <t>Podpora štandardu DATEX II na rozhraniach</t>
  </si>
  <si>
    <t>ID_445</t>
  </si>
  <si>
    <t>Riadenie prístupu s podporou pre SAML a JWT</t>
  </si>
  <si>
    <t xml:space="preserve">Systém poskytne riadenie prístupu s podporou pre SAML, JWT a ich preklady. </t>
  </si>
  <si>
    <t>ID_446</t>
  </si>
  <si>
    <t>Riadenie prístupu s podporou SAML, certifikátov X.509, LDAP, RADIUS</t>
  </si>
  <si>
    <t xml:space="preserve">Systém poskytne riadenie prístupu s podporou pre SAML, certifikátov X.509, LDAP, RADIUS. </t>
  </si>
  <si>
    <t>ID_447</t>
  </si>
  <si>
    <t>Riadenie prístupu s podporou OpenID Connect a Oauth 2.0</t>
  </si>
  <si>
    <t xml:space="preserve">Systém poskytne riadenie prístupu s podporou pre OpenID Connect a OAuth 2.0 protokol, vrátane Discovery a Dynamic Registration. </t>
  </si>
  <si>
    <t>ID_448</t>
  </si>
  <si>
    <t>Riadenie prístupu s podporou OpenID Connect a Oauth 2.0 pre neštandardné autentizačné toky</t>
  </si>
  <si>
    <t xml:space="preserve">Systém poskytne riadenie prístupu s podporou pre OpenID Connect a OAuth 2.0 pre neštandardné autentizačné flow. </t>
  </si>
  <si>
    <t>ID_449</t>
  </si>
  <si>
    <t>Riadenie prístupu s podporou pre SAML 2.0 autentizačné tokeny</t>
  </si>
  <si>
    <t xml:space="preserve">Systém poskytne riadenie prístupu s podporou pre SAML 2.0 autentizačné tokeny a ich overenie. </t>
  </si>
  <si>
    <t>ID_450</t>
  </si>
  <si>
    <t>Riadenie prístupu s podporou rolí Service Providera a Identity Providera</t>
  </si>
  <si>
    <t xml:space="preserve">Systém poskytne riadenie prístupu s podporou pre realizáciu rolí Service Provider a Identity Provider. </t>
  </si>
  <si>
    <t>ID_451</t>
  </si>
  <si>
    <t>Riadenie prístupu s podporou autorizácie a autentizácie vočia viacerým Idnetity Providerom</t>
  </si>
  <si>
    <t xml:space="preserve">Systém poskytne riadenie prístupu s podporou autorizácie a autentizácie voči viacerým Identity Providerom súčasne. </t>
  </si>
  <si>
    <t>ID_452</t>
  </si>
  <si>
    <t>Kontrola validácie WSDL a OpenAPI</t>
  </si>
  <si>
    <t xml:space="preserve">Systém z pohľadu bezpečnosti poskytne kontrolu validácie WSDL a Open API. </t>
  </si>
  <si>
    <t>ID_453</t>
  </si>
  <si>
    <t>Ochrana pred kritickými hrozbami</t>
  </si>
  <si>
    <t xml:space="preserve">Systém z pohľadu bezpečnosti poskytne ochranu pred kritickými hrozbami napr. SQL injections, cross-site scripting a útoky typu denial-of-service. </t>
  </si>
  <si>
    <t>ID_454</t>
  </si>
  <si>
    <t>Validácia parametrov HTTP dotazov REST, jSON a XML štruktúr</t>
  </si>
  <si>
    <t xml:space="preserve">Systém z pohľadu bezpečnosti poskytne validáciu parametrov HTTP, dotazy REST, dátové štruktúry JSON, schémy XML. </t>
  </si>
  <si>
    <t>ID_455</t>
  </si>
  <si>
    <t>Podpora dodržiavania SLA</t>
  </si>
  <si>
    <t xml:space="preserve">Systém z pohľadu bezpečnosti podporí dodržiavanie SLA prostredníctvom obmedzovania prenosu, stanovovania priorít a smerovania. </t>
  </si>
  <si>
    <t>ID_456</t>
  </si>
  <si>
    <t>Súlad s certifikáciou FIPS 140-2 a Common Criteria</t>
  </si>
  <si>
    <t xml:space="preserve">Systémbude v súlade s FIPS 140-2 a s certifikáciou CommonCriteria. </t>
  </si>
  <si>
    <t>ID_457</t>
  </si>
  <si>
    <t>Podpora WS-Security a Encryption</t>
  </si>
  <si>
    <t xml:space="preserve">Systém z pohľadu bezpečnosti poskytne podporu pre WS-Security a Encryption. </t>
  </si>
  <si>
    <t>ID_458</t>
  </si>
  <si>
    <t>Podpora pre HSM moduly a ukladanie privátnych kľúčov</t>
  </si>
  <si>
    <t xml:space="preserve">Systém z pohľadu bezpečnosti poskytne podporu pre HSM moduly pre ukladanie privátnych kľúčov. </t>
  </si>
  <si>
    <t>ID_459</t>
  </si>
  <si>
    <t>Podpora REST a SOAP jedným riešením</t>
  </si>
  <si>
    <t>Systém zabezpečí súčasnú podporu Rest a SOAP jedným riešením, vrátane ich transformácie</t>
  </si>
  <si>
    <t>ID_460</t>
  </si>
  <si>
    <t>Možnosť priamej konfigurácie</t>
  </si>
  <si>
    <t xml:space="preserve">Systém poskytne možnosť priamej konfigurácie </t>
  </si>
  <si>
    <t>ID_461</t>
  </si>
  <si>
    <t>Možnos´t orchestrácie služieb</t>
  </si>
  <si>
    <t xml:space="preserve">Systém poskytne možnosť orchestrácie služieb – volanie viacerých služieb, spracovanie výsledkov, podmienené rozhodovanie o ďalšom spracovaní </t>
  </si>
  <si>
    <t>ID_462</t>
  </si>
  <si>
    <t>Podpora Java plug-ins</t>
  </si>
  <si>
    <t xml:space="preserve">Systém poskytne podporu pre Java plug-ins, doplňanie ďalších plug-imov vývojom z tretej strany. </t>
  </si>
  <si>
    <t>ID_463</t>
  </si>
  <si>
    <t>Podpora automatizovaného nasadzovania medzi prostrediami</t>
  </si>
  <si>
    <t xml:space="preserve">Systém poskytne podporu automatizácie nasadzovania deploymentu medzi prostrediami (podpora migrácie politík medzi prostrediami – CI/CD) </t>
  </si>
  <si>
    <t>ID_464</t>
  </si>
  <si>
    <t>Podpora active-active riešenia</t>
  </si>
  <si>
    <t xml:space="preserve">Systém poskytne podporu pre active-active riešenia v rámci dátového centra ako aj medzi viacerými dátovými centrami. </t>
  </si>
  <si>
    <t>ID_465</t>
  </si>
  <si>
    <t>Podpora pridávania node do clustra</t>
  </si>
  <si>
    <t xml:space="preserve">Systém poskytne podporu pre možnosť pridania ďalšieho node za chodu clustra </t>
  </si>
  <si>
    <t>ID_466</t>
  </si>
  <si>
    <t>Podpora ladenia API vo vývojovom nástroji</t>
  </si>
  <si>
    <t xml:space="preserve">Systém umožní debugovanie API po jednotlivých krokoch ako vo vývojových nástrojoch, zobrazenie hodnôt premenných, krokovanie Step Into, Step Over, definovanie breakpoint. </t>
  </si>
  <si>
    <t>ID_467</t>
  </si>
  <si>
    <t>Podpora základných protokolv pre komunikáciu</t>
  </si>
  <si>
    <t xml:space="preserve">Systém poskytne podporu pre protokoly: Kafka, distribuovaná cache, MQ Series, JMS, WS-*, IMAP 4, SMTP, FTP, SQL, Kerberos </t>
  </si>
  <si>
    <t>ID_468</t>
  </si>
  <si>
    <t>Podpora ukladania odpovedí do internej cache</t>
  </si>
  <si>
    <t xml:space="preserve">Systém poskytne podporu pre ukladanie odpovedí volaní do internej cache. </t>
  </si>
  <si>
    <t>ID_469</t>
  </si>
  <si>
    <t>Podproa distribuovanej cache</t>
  </si>
  <si>
    <t xml:space="preserve">Systém poskytne podporu pre distribuovanú cache </t>
  </si>
  <si>
    <t>ID_470</t>
  </si>
  <si>
    <t>Integrácia antivírusového SW a kotnrola obsahu správ</t>
  </si>
  <si>
    <t>Systém umožní integráciu s antivírusovým SW, možnosť skenovania obsahu prostredníctvom štandardného ICAP rozhrania.</t>
  </si>
  <si>
    <t>ID_471</t>
  </si>
  <si>
    <t>Dodržanie princípu nezávislosti a autonómie</t>
  </si>
  <si>
    <t>Intergračné rozhrania musia dodržiavať princíp nezávislosti a autonómie aplikácií</t>
  </si>
  <si>
    <t>ID_472</t>
  </si>
  <si>
    <t>Dodržanie princípu škáľovateľnosti</t>
  </si>
  <si>
    <t>Intergračné rozhrania musia dodržiavať princíp škálovateľnosti s počtom aplikácií</t>
  </si>
  <si>
    <t>ID_473</t>
  </si>
  <si>
    <t>Dodržanie štandardov v integračných rozhraniach</t>
  </si>
  <si>
    <t xml:space="preserve">V rámci Intergračných rozhraní musí byť zabezpečené dodržiavanie štandardov </t>
  </si>
  <si>
    <t>ID_474</t>
  </si>
  <si>
    <t>Dodržanie princípu minimalizácie previazania</t>
  </si>
  <si>
    <t>Intergračné rozhrania musia dodržiavať princíp minimalizácie previazania aplikácií – voľná väzba</t>
  </si>
  <si>
    <t>ID_475</t>
  </si>
  <si>
    <t>Dodržanie princípu jednoduchosti integrácie</t>
  </si>
  <si>
    <t>Intergračné rozhrania musia dodržiavať princíp jednoduchosti integrácie</t>
  </si>
  <si>
    <t>ID_476</t>
  </si>
  <si>
    <t>Klasifikovanie údajov z hľadiska GDPR</t>
  </si>
  <si>
    <t>Všetky integračné datasety ak údaje obsahujú osobné údaje, musia obsahovať informáciu o klasifikácii týchto údajov z hľadiska GDPR. Ak neobsahujú osobné údaje musia poskytnúť informáciu o tom že neobsahujú.</t>
  </si>
  <si>
    <t>ID_477</t>
  </si>
  <si>
    <t>Klasifikovanie údajov z hľadiska kybernetickej bezpečnosti</t>
  </si>
  <si>
    <t>Všetky integračné datasety ak údaje obsahujú údaje klasifikované v zmysle zákona o kybernetickej bezpečnosti, musia obsahovať informáciu o ich klasifikácii.</t>
  </si>
  <si>
    <t>ID_478</t>
  </si>
  <si>
    <t>Katalóg integračných služieb</t>
  </si>
  <si>
    <t>Dokumentácia musí obsahovať katalóg integračných služieb.</t>
  </si>
  <si>
    <t>ID_479</t>
  </si>
  <si>
    <t>Minimalizácia špecializovaných integračných rozhraní</t>
  </si>
  <si>
    <t>Počet špecializovaných integračných rozhraní musí byť minimalizovaný, väčšina služieb musí byť poskytovaných prostredníctvom univerzálnych synchrónnych a asynchrónnych rozhraní</t>
  </si>
  <si>
    <t>ID_480</t>
  </si>
  <si>
    <t>Minimalizácia závislosti integrovaných systémov</t>
  </si>
  <si>
    <t>Väčšina služieb musí byť realizovaných ako asynchrónne kvôli minimalizácii závislosti integrovaných systémov z hľadiska dostupnosti, synchrónne služby sú dovolené len pre externé systémy, ktoré nemajú asynchrónne služby.</t>
  </si>
  <si>
    <t>ID_481</t>
  </si>
  <si>
    <t>Rozhranie pre čítanie opravnení a rolí používateľa</t>
  </si>
  <si>
    <t>Pre všetky nastavenia autentizácie a autorizácie v ktorejkoľvek IS musí vždy existovať integračné rozhranie ktoré umožní v plnom rozsahu čítať existujúce role, oprávnenia a používateľov. Zároveň musí existovať integračné rozhranie ktoré umožní nastavovanie rolí, oprávnení a používateľov v plnom rozsahu z externého systému (identity management systém)</t>
  </si>
  <si>
    <t>ID_482</t>
  </si>
  <si>
    <t>Integračné rozhrania pre čítanie logov</t>
  </si>
  <si>
    <t>Pre všetky logované informácie musia existovať read only integračné rozhrania schopné poskytovať logy v reálnom čase. Teda v čase volania musí druhá strana dostať aktuálne zapísané informácie</t>
  </si>
  <si>
    <t>ID_483</t>
  </si>
  <si>
    <t>Podpora štandardu OpenTelemetry</t>
  </si>
  <si>
    <t>Všetky rozhrania musia mať implementované v primeranej miere štandard OpenTelemetry.</t>
  </si>
  <si>
    <t>ID_484</t>
  </si>
  <si>
    <t>Transformácia správ a ich obsahu</t>
  </si>
  <si>
    <t>Systém musí zabezpečiť transformáciu správ a ich obsahu</t>
  </si>
  <si>
    <t>ID_489</t>
  </si>
  <si>
    <t>Prezentácia priestorových údajov</t>
  </si>
  <si>
    <t>Systém musí umožniť prezentáciu priestorových údajov s nadväznosťou na ostatné informácie zverejňované na verejnom portáli vo viacerých úrovniach prístupu k údajom a funkcionalitám.</t>
  </si>
  <si>
    <t>ID_490</t>
  </si>
  <si>
    <t>Podpora rditácie mapových vrstiev prihláseným používateľom</t>
  </si>
  <si>
    <t>Systém musí poskytovať prihláseným používateľom rozšírenú sadu údajov, možnosť editácie vybraných mapových vrstiev, funkcie a nástroje na vyhľadávanie údajov, ukladanie nastavení a podobne.</t>
  </si>
  <si>
    <t>ID_491</t>
  </si>
  <si>
    <t>Tvorba a správa metaúdajov v rámci GIS</t>
  </si>
  <si>
    <t>Vytvorenie a správa metadát k službe publikovaných GISových dát v rámci verejného GIS</t>
  </si>
  <si>
    <t>ID_492</t>
  </si>
  <si>
    <t>Sprístupnenie publikovaných služieb GIS</t>
  </si>
  <si>
    <t>Systém sprístupní služby publikovaných GISových dát v rámci verejného GIS externému aj internému využitiu</t>
  </si>
  <si>
    <t>ID_493</t>
  </si>
  <si>
    <t>Podpora podľa štandardov OGC</t>
  </si>
  <si>
    <t>Systém musí podporovať GISové dáta podľa štandardov OGC (minimálne WMS, WMTS, WFS, CSW)</t>
  </si>
  <si>
    <t>ID_494</t>
  </si>
  <si>
    <t>Podpora publikovania dát pomocou webového rozhrania a štandardizovaných webových služieb</t>
  </si>
  <si>
    <t>Systém musí podporovať publikovanie dát prostredníctvom webového rozhrania a formou zabezpečených štandardizovaných webových služieb (OGC) v súlade s lokalizovanými požiadavkami smernice INSPIRE</t>
  </si>
  <si>
    <t>ID_495</t>
  </si>
  <si>
    <t>Podpora využitia webových služieb tretích strán</t>
  </si>
  <si>
    <t>Sytém musí podporovať využitie webových služieb systémov tretích strán publikujúcich alebo poskytujúcich dáta v štandarde OGC</t>
  </si>
  <si>
    <t>ID_496</t>
  </si>
  <si>
    <t>Podpora vyhľadávania obsahu pomocou vyhľadávacích služieb</t>
  </si>
  <si>
    <t>Systém musí podporovať vyhľadávanie dátového obsahu i služieb pomocou vyhľadávacích služieb, a to prostredníctvom metadátového systému</t>
  </si>
  <si>
    <t>ID_497</t>
  </si>
  <si>
    <t>Dokumentácia rozhraní pre integráciu v súlade so zámerom projektu</t>
  </si>
  <si>
    <t>V rámci modulu sa požaduje vhodne dokumentované rozhranie pre integráciu systému so systémami tretích strán (smerom z i do systému) v súlade so zámerom projektu</t>
  </si>
  <si>
    <t>ID_498</t>
  </si>
  <si>
    <t>Podpora viacjazyčného prostredia</t>
  </si>
  <si>
    <t>Systém musí podporovať viacjazyčné prostredie (možnosť implementovať do systému jazykové mutácie)</t>
  </si>
  <si>
    <t>ID_499</t>
  </si>
  <si>
    <t>Štandardné nástroje ovládania GIS</t>
  </si>
  <si>
    <t>Systém musí poskytovať štandardné GIS nástroje na ovládanie mapového okna.</t>
  </si>
  <si>
    <t>ID_500</t>
  </si>
  <si>
    <t>Rýchalo identifikácia objektov na mape</t>
  </si>
  <si>
    <t>Systém musí umožňovať rýchly prístup k identifikácií objektov na mape, vyhľadávanie pomocou popisných vlastností, zobrazovanie výsledkov vyhľadania objektov v mieste kliknutia do mapy zo všetkých dostupných vrstiev</t>
  </si>
  <si>
    <t>ID_501</t>
  </si>
  <si>
    <t>Plynulé a okamžité prekresľovanie mapového obsahu</t>
  </si>
  <si>
    <t>Systém musí umožňovať plynulé a okamžité prekresľovanie mapového obsahu.</t>
  </si>
  <si>
    <t>ID_502</t>
  </si>
  <si>
    <t>Zobrazenie dynamickej legendy</t>
  </si>
  <si>
    <t>Systém musí umožňovať zobrazenie dynamickej legendy</t>
  </si>
  <si>
    <t>ID_503</t>
  </si>
  <si>
    <t>Manažment nastavení priehľadnosti mapových vrstiev</t>
  </si>
  <si>
    <t>Systém musí poskytovať manažment používateľského nastavenia priehľadnosti jednotlivých mapových vrstiev, tematické mapy.</t>
  </si>
  <si>
    <t>ID_504</t>
  </si>
  <si>
    <t>Zapnutie / vypnutie vrstvy</t>
  </si>
  <si>
    <t>Systém musí poskytovať zapnutie / vypnutie vrstvy.</t>
  </si>
  <si>
    <t>ID_505</t>
  </si>
  <si>
    <t>Zobrazenie / skrytie ovládacieho prvku</t>
  </si>
  <si>
    <t>Systém musí poskytovať zobrazenie / skrytie ovládacieho prvku.</t>
  </si>
  <si>
    <t>ID_506</t>
  </si>
  <si>
    <t>Zapínanie / vypínanie vrstiev podľa mierkového rozsahu</t>
  </si>
  <si>
    <t>Systém musí poskytovať zapínanie / vypínanie vrstiev podľa mierkového rozsahu.</t>
  </si>
  <si>
    <t>ID_507</t>
  </si>
  <si>
    <t>Dynamické vykresľovanie popisiek z atribútov v závislosti od mierky mapy</t>
  </si>
  <si>
    <t>Systém musí poskytovať funkcionalitu pre dynamické vykresľovanie popisiek z atribútov v závislosti na zobrazovanej mierke mapy.</t>
  </si>
  <si>
    <t>ID_508</t>
  </si>
  <si>
    <t>Práca s popisnými a grafickými dátami</t>
  </si>
  <si>
    <t>Systém musí umožňovať prácu s popisnými a grafickými dátami v jednom okne</t>
  </si>
  <si>
    <t>ID_509</t>
  </si>
  <si>
    <t>Podpora vyhľadávania adresy, ulice, obce, objektu alebo iného prvku</t>
  </si>
  <si>
    <t>Systém musí umožňovať fulltextové a parametrické vyhľadávanie adresy, ulice, obce, objektu alebo iného prvku.</t>
  </si>
  <si>
    <t>ID_510</t>
  </si>
  <si>
    <t>Tvorba a správa užívateľského profilu</t>
  </si>
  <si>
    <t>Systém musí funkcionalitu pre tvorbu a správu užívateľských profilov</t>
  </si>
  <si>
    <t>ID_511</t>
  </si>
  <si>
    <t>Sprístupnenie rozšírenej sady zobrazených údajov</t>
  </si>
  <si>
    <t>Systém musí funkcionalitu na sprístupnenie rozšírenej sady zobrazených údajov – priestorových aj tabuľkových</t>
  </si>
  <si>
    <t>ID_512</t>
  </si>
  <si>
    <t>Jednoduchá editácia mapových prvkov</t>
  </si>
  <si>
    <t>Systém musí umožňovať redlining, respektíve jednoduchú editáciu mapových prvkov</t>
  </si>
  <si>
    <t>ID_513</t>
  </si>
  <si>
    <t>Podpora registrácie a správy služieb</t>
  </si>
  <si>
    <t>Systém musí umožňovať registráciu a správu služieb</t>
  </si>
  <si>
    <t>ID_514</t>
  </si>
  <si>
    <t>Podpora registrácie a uloženia mapových kompozícií</t>
  </si>
  <si>
    <t>Systém musí umožňovať vytvorenie a uloženie mapových kompozícií</t>
  </si>
  <si>
    <t>ID_515</t>
  </si>
  <si>
    <t>Podpora definovania predvolenej viditeľnosti vrstiev</t>
  </si>
  <si>
    <t>Systém musí umožňovať definíciu predvolenej viditeľnosti vrstiev</t>
  </si>
  <si>
    <t>ID_516</t>
  </si>
  <si>
    <t>Import, správa a úprava publikovaných mapových vrstiev</t>
  </si>
  <si>
    <t>Systém zabezpečí GIS platformu umožňujúcu import, správu, úpravy a publikovanie mapových vrstiev v prostredí webového prehliadača s ukladaním priestorových údajov do databázy.</t>
  </si>
  <si>
    <t>ID_517</t>
  </si>
  <si>
    <t>Publikovanie priestorových údajov, máp a služieb</t>
  </si>
  <si>
    <t>Systém musí zabezpečiť publikovanie priestorových údajov, máp a služieb.</t>
  </si>
  <si>
    <t>ID_518</t>
  </si>
  <si>
    <t>Tvorba itinerárov skrz rôzne vrstvy</t>
  </si>
  <si>
    <t>Systém musí zabezpečiť tvorbu itinerárov na základe líniových údajov skrz rôzne vrstvy – statické multimodálne plánovanie cesty.</t>
  </si>
  <si>
    <t>ID_519</t>
  </si>
  <si>
    <t>Tvorba itinerárov skrz rôzne vrstvy s podporou pridružených metadát</t>
  </si>
  <si>
    <t>Systém musí zabezpečiť tvorbu itinerárov na základe líniových údajov skrz rôzne vrstvy a to so zohľadnením pridružených metadát ako grafikony, žiadaný čas cesty, aktuálny čas, stav dopravy, meškania a pod – dynamické multimodálne plánovanie cesty.</t>
  </si>
  <si>
    <t>ID_520</t>
  </si>
  <si>
    <t>Jednotný popis dát dorpavnej infrštruktúry</t>
  </si>
  <si>
    <t>Systém podporí zabezpečenie jednotného popisu dát dopravnej infraštruktúry.</t>
  </si>
  <si>
    <t>ID_521</t>
  </si>
  <si>
    <t>Poskytnutie metadát</t>
  </si>
  <si>
    <t>Systém podporí správu a poskytnutie metadát prostredníctvom štandardných informačných služieb.</t>
  </si>
  <si>
    <t>ID_522</t>
  </si>
  <si>
    <t>Zber a správa validovaných alebo validovateľných dát</t>
  </si>
  <si>
    <t>Systém umožní zber a správy validovaných alebo validovateľných dát.</t>
  </si>
  <si>
    <t>ID_523</t>
  </si>
  <si>
    <t>Splnenie požiadaviek smernice INSPIRE</t>
  </si>
  <si>
    <t>Systém musí spĺňať požiadavky smernice INSPIRE a jej implementačných pravidiel.</t>
  </si>
  <si>
    <t>ID_524</t>
  </si>
  <si>
    <t>Podpora komunikácie s GIS pomocou REST, SOAP a OGC rozhrania</t>
  </si>
  <si>
    <t>Systém podporí komunikáciu so sieťovými GIS službami pomocou REST, SOAP a OGC rozhrania.</t>
  </si>
  <si>
    <t>ID_525</t>
  </si>
  <si>
    <t>Integrácia GIS desktopu na úrovni prístupu k údajom v centrálnej geodatabáze</t>
  </si>
  <si>
    <t>Systém podporí zabezpečenie integrácie s GIS desktopom na úrovni prístupu k údajom v centrálnej geodatabáze.</t>
  </si>
  <si>
    <t>ID_526</t>
  </si>
  <si>
    <t>Podpora prípravy integrácie do Ďalších aplikačných modulov</t>
  </si>
  <si>
    <t>Systém podporí prípravu mapových aplikácií na integráciu do ďalších aplikačných modulov. Integrované mapové okno bude mať pripravené metódy na základné ovládanie mapovej aplikácie ako je zapínanie a vypínanie vrstiev, merania a podobne.</t>
  </si>
  <si>
    <t>ID_527</t>
  </si>
  <si>
    <t>Podpora správy priestorových dát v prostredí RDBMS</t>
  </si>
  <si>
    <t>Systém podporí správu priestorových dát v geodatabáze v prostredí RDBMS</t>
  </si>
  <si>
    <t>ID_528</t>
  </si>
  <si>
    <t>Publikovanie webových služieb v súlade s OGC</t>
  </si>
  <si>
    <t>Systém zabezpečí publikovanie webových služieb (mapové, editačné, geodátové, geoprocessingové, vyhľadávacie služby) v súlade so štandardami OGC.</t>
  </si>
  <si>
    <t>ID_529</t>
  </si>
  <si>
    <t>Riadenie prístupu na úroveň mapových vrstiev</t>
  </si>
  <si>
    <t>Systém podporí riadenie užívateľských účtov a správa prístupových rolí na úroveň jednotlivých mapových vrstiev.</t>
  </si>
  <si>
    <t>ID_530</t>
  </si>
  <si>
    <t>Podpora webovej editácie geometrie a atribútových informácií</t>
  </si>
  <si>
    <t>Systém zabezpečí možnosť webovej editácie geometrie a atribútových informácií prvkov podľa definovaných šablón – pre minoritných služieb.</t>
  </si>
  <si>
    <t>ID_531</t>
  </si>
  <si>
    <t>Podpora personalizovaného publikovania popiskov prvkov</t>
  </si>
  <si>
    <t>Systém poskytne dynamickú publikáciu popiskov prvkov podľa užívateľom definovaných pravidiel.</t>
  </si>
  <si>
    <t>ID_532</t>
  </si>
  <si>
    <t>Podpora výpočtu obalových zón, plôch a dĺžok</t>
  </si>
  <si>
    <t>Systém poskytne podporu geometrických služieb pre výpočty obalových zón, plôch a dĺžok.</t>
  </si>
  <si>
    <t>ID_533</t>
  </si>
  <si>
    <t>Podpora konfigurácie publikovaných mapových aplikácií</t>
  </si>
  <si>
    <t>Systém zabezpečí možnosť konfigurácie funkčnosti publikovaných mapových aplikácií.</t>
  </si>
  <si>
    <t>ID_534</t>
  </si>
  <si>
    <t>Vyhľadávanie dát na základe priestorových podmienok</t>
  </si>
  <si>
    <t>Systém zabezpečí podporu vyhľadávania údajov - vyhľadávanie dát na základe atribútových a priestorových podmienok.</t>
  </si>
  <si>
    <t>ID_535</t>
  </si>
  <si>
    <t>Dynamické filtrovanie zobrazených dát</t>
  </si>
  <si>
    <t>Systém zabezpečí dynamické filtrovanie zobrazovaných dát, podľa územného rozsahu, podľa ďalších atribútov napríklad druh infraštruktúry, stav infraštruktúry a podobne.</t>
  </si>
  <si>
    <t>ID_536</t>
  </si>
  <si>
    <t>Podpora responzívneho dizajnu pre tvorbu mapových aplikácií</t>
  </si>
  <si>
    <t>Systém bude mať responsívny dizajn, prostredie pre tvorbu mapových aplikácií.</t>
  </si>
  <si>
    <t>ID_537</t>
  </si>
  <si>
    <t>Podpora štandardných komponentov používateľského prostredia</t>
  </si>
  <si>
    <t>Systém bude mať štandardné komponenty používateľského prostredia: mapové okno, obsah vrstiev, legenda, rozbaľovacie panely, nástroje a funkcie, výsledky vyhľadávania a identifikácie objektu, nápoveda, grafické komponenty, URL odkazy a podobne.</t>
  </si>
  <si>
    <t>ID_538</t>
  </si>
  <si>
    <t>Podpora ovládania mapového okna štandardnými prístupmi</t>
  </si>
  <si>
    <t>Systém bude mať funkcie na ovládanie mapového okna pomocou myši, vykreslením obdĺžnika, klávesnicou, funkcie zväčšenia a zmenšenia mapy, posun mapy, zobrazenie celej mapy, zobrazenie vybranej lokality, predchádzajúci alebo nasledujúci pohľad.</t>
  </si>
  <si>
    <t>ID_539</t>
  </si>
  <si>
    <t>Personalizované nastavenie priehľadnosti vrstiev</t>
  </si>
  <si>
    <t>Možnosť používateľského nastavenia priehľadnosti jednotlivých mapových vrstiev</t>
  </si>
  <si>
    <t>ID_540</t>
  </si>
  <si>
    <t>Podpora hromadného výberu z mapy</t>
  </si>
  <si>
    <t>Systém poskytne podporu hromadného výberu z mapy pre účely vyhľadávania v atribútoch (jednotlivé prvky, susedné objekty, pomocou zakreslenej geometrie).</t>
  </si>
  <si>
    <t>ID_541</t>
  </si>
  <si>
    <t>Meranie plôch, vzdialeností a odčítanie súradníc</t>
  </si>
  <si>
    <t>Systém umožní meranie plôch a vzdialeností, odčítanie súradníc.</t>
  </si>
  <si>
    <t>ID_542</t>
  </si>
  <si>
    <t>Vytváranie kompozičných tém a prepínanie medzi témami</t>
  </si>
  <si>
    <t>Systém umožní vytváranie kompozičných tém, možnosť prepínania medzi jednotlivými témami.</t>
  </si>
  <si>
    <t>ID_543</t>
  </si>
  <si>
    <t>Export mapového obsahu do vybraných formátov</t>
  </si>
  <si>
    <t>Systém umožní export mapového obsahu do rastrových formátov, export do PDF pre tlač vrátane legendy a ďalších kompozičných prvkov (nadpis, logo, mierka, dátum vytvorenia, copyright)</t>
  </si>
  <si>
    <t>ID_544</t>
  </si>
  <si>
    <t>Podpora vytvárania vlastných vrstiev</t>
  </si>
  <si>
    <t>Systém umožní vytvorenie vlastnej vrstvy pre bodové, líniové a plošné geometrie vrátane textových poznámok, podpora zmeny symbológie.</t>
  </si>
  <si>
    <t>ID_545</t>
  </si>
  <si>
    <t>Podpora snapovania na lomové body vrstvy a podkladových vrstiev</t>
  </si>
  <si>
    <t>Systém umožní snapovanie na lomové body editovanej vrstvy a podkladových vrstiev.</t>
  </si>
  <si>
    <t>ID_546</t>
  </si>
  <si>
    <t>Publikácia metadát formou metadátového katalógu</t>
  </si>
  <si>
    <t>Systém umožní publikáciu metadát formou metadátového katalógu podľa štandardu CSW (Catalog Service for the Web).</t>
  </si>
  <si>
    <t>ID_547</t>
  </si>
  <si>
    <t>Súlad s metadátovými štandardami podľa ÚGKK</t>
  </si>
  <si>
    <t>Systém zabezpečí súhlad s metadátovými štandardami tak, ako sú definované národnou autoritou ÚGKK.</t>
  </si>
  <si>
    <t>ID_548</t>
  </si>
  <si>
    <t>Načítanie a zápis štandardných GIS a CAD formátov</t>
  </si>
  <si>
    <t>Systém umožní načítanie a zápis rôznych typov štandardných GIS a CAD formátov</t>
  </si>
  <si>
    <t>ID_549</t>
  </si>
  <si>
    <t>Validácia a konverzia GIS a CAD formátov</t>
  </si>
  <si>
    <t>Systém umožní validáciu a konverziu všetkých štandardných GIS a CAD formátov a ich aktuálne platných verzií, minimálne aktuálne platné verzie výmenných aj proprietárnych formátov minimálne nasledovných platforiem:</t>
  </si>
  <si>
    <t>ID_550</t>
  </si>
  <si>
    <t>Čítanie a zápis do geodatabáz</t>
  </si>
  <si>
    <t>Systém podporí čítanie a zápis do geodatabáz (Oracle Spatial, PostGIS,…)</t>
  </si>
  <si>
    <t>ID_551</t>
  </si>
  <si>
    <t>Podpora platných súradnicových systémov</t>
  </si>
  <si>
    <t>Systém podporí prácu s platnými súradnými systémami (JTSK – aktuálna realizácia, WGS84).</t>
  </si>
  <si>
    <t>ID_552</t>
  </si>
  <si>
    <t>Rozhranie pre sprístupnenie údajov ZBGIS prostredníctvom elektronických služieb</t>
  </si>
  <si>
    <t>Systém bude obsahovať interface pre sprístupnenie referenčných údajov ZBGIS (ÚGKK) prostredníctvom elektronických služieb.</t>
  </si>
  <si>
    <t>ID_553</t>
  </si>
  <si>
    <t>Rozhranie pre využitie elektronických služieb katastra nehnuteľností</t>
  </si>
  <si>
    <t>Systém bude obsahovať interface pre využitie elektronických služieb katastra nehnuteľností (portál ESKN).</t>
  </si>
  <si>
    <t>ID_554</t>
  </si>
  <si>
    <t>Uloženie dát a metadát do dátového uložiska</t>
  </si>
  <si>
    <t>Systém umožní uloženie prijatých dát a metadát do dátového úložiska.</t>
  </si>
  <si>
    <t>ID_555</t>
  </si>
  <si>
    <t>Podpora ukladania 3D priestorových informácií</t>
  </si>
  <si>
    <t>Pre vektorové údaje musí systém podporovať uloženie 3D priestorových informácií – napr. digitálny terénny model, 3D model budovy a podobne.</t>
  </si>
  <si>
    <t>ID_556</t>
  </si>
  <si>
    <t>Podpora registrácie a správy publikovaných dát a služieb</t>
  </si>
  <si>
    <t>Systém umožní registráciu a správu publikovaných dát a služieb.</t>
  </si>
  <si>
    <t>ID_557</t>
  </si>
  <si>
    <t>Podpora vytvorenia a správy metadát publikovaných dát a služieb</t>
  </si>
  <si>
    <t>Systém podporí vytvorenie a správu metadát publikovaných dát a služieb.</t>
  </si>
  <si>
    <t>ID_558</t>
  </si>
  <si>
    <t>Sprístupnenie služieb externému aj internému využitiu</t>
  </si>
  <si>
    <t>Systém zabezpečí sprístupnenie služby (pubikované dáta) externému aj internému využitiu.</t>
  </si>
  <si>
    <t>ID_559</t>
  </si>
  <si>
    <t>Podpora preddefinovaných nastavení pre poskytnutie priestorových dát</t>
  </si>
  <si>
    <t>Systém ponúkne užívateľovi, žiadajúcemu o dáta, preddefinované účely použitia priestorových údajov.</t>
  </si>
  <si>
    <t>ID_560</t>
  </si>
  <si>
    <t>Ggenerovanie a sprístupnenie údajov v štruktúre, formáte a rozsahu podľa účelu použitia</t>
  </si>
  <si>
    <t>Systém vygeneruje a sprístupní údaje v štruktúre, formáte a rozsahu definovanom pre jednotlivé účely použitia údajov.</t>
  </si>
  <si>
    <t>ID_561</t>
  </si>
  <si>
    <t>Automatické generovanie licenčnej zmluvy</t>
  </si>
  <si>
    <t>Systém zaistí automatické vygenerovanie licenčnej zmluvy na základe údajov z metadát a na základe účelu použitia zvoleného užívateľom.</t>
  </si>
  <si>
    <t>ID_562</t>
  </si>
  <si>
    <t>Poskytnutie výstupu v štandardizovanej podobe</t>
  </si>
  <si>
    <t>Systém umožní poskytovanie výstupu definovanej úlohy v štandardizovanej podobe (pasport).</t>
  </si>
  <si>
    <t>ID_563</t>
  </si>
  <si>
    <t>Vytvorenie a uloženie analýzy nad priestorovými dátami</t>
  </si>
  <si>
    <t>Systém umožní vytvoriť, nastaviť a uložiť analýzu nad priestorovými dátami definovanú správcom systému.</t>
  </si>
  <si>
    <t>ID_564</t>
  </si>
  <si>
    <t>Odolnosť voči výpadkom</t>
  </si>
  <si>
    <t>Systém musí byť robustné, tzn. odolné proti neočakávaným výpadkom jeho častí,</t>
  </si>
  <si>
    <t>ID_565</t>
  </si>
  <si>
    <t>Zabezpečenie systému pomocou https protokolu</t>
  </si>
  <si>
    <t>Systém zabezpečí všetky užívateľské časti (vrátane služieb) systému https protokolom.</t>
  </si>
  <si>
    <t>ID_566</t>
  </si>
  <si>
    <t>Škáľovanie podľa formy prísupu k zdrojom</t>
  </si>
  <si>
    <t>Systém umožní škálovanie podľa formy prístupu k zdrojom (mapové kompozície, mapové služby, špeciálne služby)</t>
  </si>
  <si>
    <t>ID_567</t>
  </si>
  <si>
    <t>Škáľovanie podľa systémovej úrovne klientov</t>
  </si>
  <si>
    <t>Systém umožní škálovanie podľa systémovej úrovne klientov (dátové záznamy, metadátové záznamy)</t>
  </si>
  <si>
    <t>ID_568</t>
  </si>
  <si>
    <t>Garancia integrity priestorov orientovaných informácií</t>
  </si>
  <si>
    <t>Systém poskytne garanciu integrity priestorovo orientovaných informácií spravovaných v GIS</t>
  </si>
  <si>
    <t>ID_569</t>
  </si>
  <si>
    <t>Synchronizácia času pre potreby logovania</t>
  </si>
  <si>
    <t>Komponenty systému majú synchronizovaný čas a ten sa využíva aj pri logovaní.</t>
  </si>
  <si>
    <t>ID_570</t>
  </si>
  <si>
    <t>Riadenie prístupu k logom na zákalde opravnení</t>
  </si>
  <si>
    <t>Prístup logom systému je riadený na základe užívateľských oprávnení.</t>
  </si>
  <si>
    <t>ID_571</t>
  </si>
  <si>
    <t>Logovanie užívateľských a systémových aktivít s históriou</t>
  </si>
  <si>
    <t>Systém ako celok loguje všetky užívateľské aj systémové aktivity na úrovni, aby bolo zrejmé nielen to, že došlo k zmene, ale aby bolo možné zmenu zvrátiť – historizácia.</t>
  </si>
  <si>
    <t>ID_572</t>
  </si>
  <si>
    <t>Spravovanie histórie zmien</t>
  </si>
  <si>
    <t>Historizácia môže byť spravovaná oddelene od žurnálu zmien.</t>
  </si>
  <si>
    <t>ID_573</t>
  </si>
  <si>
    <t>Prenos logov cez bezpečný komunikačný kanál</t>
  </si>
  <si>
    <t>Všetky logy sú prenášané bezpečným komunikačným kanálom.</t>
  </si>
  <si>
    <t>ID_574</t>
  </si>
  <si>
    <t>Identifikácia aplikačných udalostí pre potreby logovania</t>
  </si>
  <si>
    <t xml:space="preserve">Počas implementácie systému budú identifikované všetky aplikačné udalosti a kontroly, súvisiace s logovaním. </t>
  </si>
  <si>
    <t>ID_575</t>
  </si>
  <si>
    <t>Obsah aplikačných logov pre potreby automatizovaného vyhodnotenia</t>
  </si>
  <si>
    <t>Aplikačné logy obsahujú všetky informácie vo forme potrebnej pre automatizované vyhodnotenie týchto kontrol, pričom sa používa štandard OpenTelemetry.</t>
  </si>
  <si>
    <t>ID_576</t>
  </si>
  <si>
    <t>Centralizovanie logovania komponentov systému</t>
  </si>
  <si>
    <t>Komponenty systému sú zaradené do centrálneho monitorovacieho nástroja, ktorý je súčasťou riešenia a podporuje OpenTelemetry.</t>
  </si>
  <si>
    <t>ID_577</t>
  </si>
  <si>
    <t>Vymedzenie údajov, ktoré sa neukladajú do logov</t>
  </si>
  <si>
    <t>V logoch sa neukladajú citlivé informácie ako heslá, pin a iné bezpečnostné prvky.</t>
  </si>
  <si>
    <t>ID_578</t>
  </si>
  <si>
    <t>Nahradzovanie osobných údajov v logoch</t>
  </si>
  <si>
    <t>V logoch sa osobné údaje nahrádzajú uri odkazmi.</t>
  </si>
  <si>
    <t>ID_579</t>
  </si>
  <si>
    <t>Monitorovanie a logovanie aspektov s príslušným notifikovaním</t>
  </si>
  <si>
    <t>Systém musí zabezpečiť monitorovanie výkonnosti, dostupnosti, spoľahlivosti s možnosťou notifikácie</t>
  </si>
  <si>
    <t>ID_580</t>
  </si>
  <si>
    <t>Monitorovanie a logovanie procesov</t>
  </si>
  <si>
    <t>Systém musí zabezpečiť monitoring procesov (Business Activity Monitoring - BAM), napojene workflow engine, ETL, integrčnej vrstvy, APIGateway a ostatných komponentov cez OpenTelemetry štandard na centrálny monitoring.</t>
  </si>
  <si>
    <t>ID_581</t>
  </si>
  <si>
    <t>Obmedzenie rozhraní s prístupom k monitorovaniu a logovaniu</t>
  </si>
  <si>
    <t>Pre všetky logované informácie musia existovať read only integračné rozhrania schopné poskytovať logy v reálnom čase. Teda v čase volania musí druhá strana dostať aktuálne zapísané informácie.</t>
  </si>
  <si>
    <t>ID_582</t>
  </si>
  <si>
    <t>Aktivity vykonávané nad logmi</t>
  </si>
  <si>
    <t>Systém musí zabezpečiť analýzu, štatistiky, audit, logovanie a reporty histórie v rozsahu ktorý umožňuje podrobné analýzy vzniknutých incidentov, problémov a bezpečnostných incidentov</t>
  </si>
  <si>
    <t>ID_583</t>
  </si>
  <si>
    <t>Štruktúra DMS s objektovým úložiskom</t>
  </si>
  <si>
    <t>Systém bude obsahovať plnohodnotné DMS riešenie vybudované nad objektovým úložiskom.</t>
  </si>
  <si>
    <t>ID_584</t>
  </si>
  <si>
    <t>Správa a prehliadanie dát v DMS</t>
  </si>
  <si>
    <t>DMS poskytne užívateľskú nadstavbu nad objektovým úložiskom na správu, prehliadanie a úpravu týchto dát.</t>
  </si>
  <si>
    <t>ID_585</t>
  </si>
  <si>
    <t>Podpora fulltext vyhľadávania v DMS</t>
  </si>
  <si>
    <t>DMS podporí fulltext vyhľadávanie tak nad objektovým, ako aj relačným dátovým úložiskom v kontexte cieľov projektu eNRI DOP.</t>
  </si>
  <si>
    <t>ID_586</t>
  </si>
  <si>
    <t>Zabezpečenie prístupu k údajom v DMS</t>
  </si>
  <si>
    <t>DMS zabezpečí prístup k údajom na základe užívateľských oprávnení a nie systémovým kontom.</t>
  </si>
  <si>
    <t>ID_587</t>
  </si>
  <si>
    <t>Indexovanie v DMS</t>
  </si>
  <si>
    <t>DMS zabezpečí indexovanie celého obsahu projektu eNRI DOP.</t>
  </si>
  <si>
    <t>ID_588</t>
  </si>
  <si>
    <t>Logovanie aktivít v DMS</t>
  </si>
  <si>
    <t>Každá aktivita nad obsahom sa loguje.</t>
  </si>
  <si>
    <t>ID_589</t>
  </si>
  <si>
    <t>Generovanie výstupných dokumentov</t>
  </si>
  <si>
    <t>Systém generuje výstupná dokumenty v rôznych formátoch (docx, pdf, xml, JSON) na základe šablón.</t>
  </si>
  <si>
    <t>ID_590</t>
  </si>
  <si>
    <t>Podpora fazetového vyhľadávania v DMS</t>
  </si>
  <si>
    <t>Systém podporuje fazetové vyhľadávanie.</t>
  </si>
  <si>
    <t>ID_591</t>
  </si>
  <si>
    <t>Správa šablón</t>
  </si>
  <si>
    <t>Systém umožňuje spravovanie šablón: poverený zamestanec, vedúci - môže editovať text šablón, ktoré sa používajú pre vytváranie dokumentov v rôznych fázach konania.</t>
  </si>
  <si>
    <t>ID_592</t>
  </si>
  <si>
    <t>Vytvorenie šablóny</t>
  </si>
  <si>
    <t>Systém umožni vytvorenie novej verzie šablóny.</t>
  </si>
  <si>
    <t>ID_593</t>
  </si>
  <si>
    <t>Verziovanie šablón</t>
  </si>
  <si>
    <t>Systém umožni prepnutie medzi rôznymi verziami šablóny.</t>
  </si>
  <si>
    <t>ID_594</t>
  </si>
  <si>
    <t>Kompatibilita obejktového uložiska</t>
  </si>
  <si>
    <t>Objektové úložisko bude S3 API kompatibilné</t>
  </si>
  <si>
    <t>ID_595</t>
  </si>
  <si>
    <t>Ukladanie neŠtrukturovaných dát</t>
  </si>
  <si>
    <t>Objektové úložisko bude slúžiť na ukladanie všetkých neštruktúrovaných dát, primárne na dopravné udalosti a dokumenty.</t>
  </si>
  <si>
    <t>ID_596</t>
  </si>
  <si>
    <t>Logovanie aktvít v objektovom uložisku</t>
  </si>
  <si>
    <t>Každá aktivita na obsahom sa loguje.</t>
  </si>
  <si>
    <t>ID_597</t>
  </si>
  <si>
    <t>Generovanie dokumentov vo vybraných formátoch</t>
  </si>
  <si>
    <t>Riešenie generuje výstupná dokumenty v rôznych formátoch (docx, pdf, xml, JSON) na základe šablón.</t>
  </si>
  <si>
    <t>ID_598</t>
  </si>
  <si>
    <t>Podpora fazetového vyhľadávania v objektovom uložisku</t>
  </si>
  <si>
    <t>Riešenie podporuje fazetové vyhľadávanie.</t>
  </si>
  <si>
    <t>ID_599</t>
  </si>
  <si>
    <t>Riešenie umožňuje spravovanie šablón: poverený zamestanec, vedúci - môže editovať text šablón, ktoré sa používajú pre vytváranie dokumentov v rôznych fázach konania.</t>
  </si>
  <si>
    <t>ID_600</t>
  </si>
  <si>
    <t>Riešenie umožni vytvorenie novej verzie šablóny.</t>
  </si>
  <si>
    <t>ID_601</t>
  </si>
  <si>
    <t>Riešenie umožni prepnutie medzi rôznymi verziami šablóny.</t>
  </si>
  <si>
    <t>ID_602</t>
  </si>
  <si>
    <t>Synchronizácia času v systéme</t>
  </si>
  <si>
    <t>ID_603</t>
  </si>
  <si>
    <t>Zabezpečenie prístupu k logom systému</t>
  </si>
  <si>
    <t>ID_604</t>
  </si>
  <si>
    <t>História logovania a logované aktivity</t>
  </si>
  <si>
    <t>ID_605</t>
  </si>
  <si>
    <t>Zabezpečenie prenášania logov</t>
  </si>
  <si>
    <t>ID_606</t>
  </si>
  <si>
    <t>Definovanie logovaných udalostí</t>
  </si>
  <si>
    <t>ID_607</t>
  </si>
  <si>
    <t>Automatizované vyhodnotenie logov a štandardizácia</t>
  </si>
  <si>
    <t>ID_608</t>
  </si>
  <si>
    <t>Centralizovanie logovania skrz systém</t>
  </si>
  <si>
    <t>Vymedzenie logovaných údajov</t>
  </si>
  <si>
    <t>Anonymizovanie osobných údajov v logoch</t>
  </si>
  <si>
    <t>Monitorovanie aspektov s príslušným notifikovaním</t>
  </si>
  <si>
    <t>Riešenie musí zabezpečiť monitorovanie výkonnosti, dostupnosti, spoľahlivosti s možnosťou notifikácie</t>
  </si>
  <si>
    <t>Monitorovanie procesov</t>
  </si>
  <si>
    <t>Riešenie musí zabezpečiť monitoring procesov (Business Activity Monitoring - BAM), napojene workflow engine, ETL, integrčnej vrstvy, APIGateway a ostatných komponentov cez OpenTelemetry štandard na centrálny monitoring.</t>
  </si>
  <si>
    <t>Obmedzenie rozhraní s prístupom k logom</t>
  </si>
  <si>
    <t>Riešenie musí zabezpečiť analýzu, štatistiky, audit, logovanie a reporty histórie v rozsahu ktorý umožňuje podrobné analýzy vzniknutých incidentov, problémov a bezpečnostných incidentov</t>
  </si>
  <si>
    <t>Podpora ETL riešenia</t>
  </si>
  <si>
    <t>Systém musí obsahovať plnohodnotné ETL riešenie, schopné zabezpečiť medzi štandardnú transformáciu dát.</t>
  </si>
  <si>
    <t>Vizuálne modelovanie procesu transformácie údajov</t>
  </si>
  <si>
    <t>Systém musí umožniť modelovať vizuálnym spôsobom proces transformácie údajov.</t>
  </si>
  <si>
    <t>Vizuálne znázornenie stavu dátovych tokov a procesov</t>
  </si>
  <si>
    <t>Systém musí byť schopný vizuálne znázorniť stav spracovania jednotlivých dátových tokov – procesov.</t>
  </si>
  <si>
    <t>Podpora kombinácie viacerých vstupov do jedného alebo viacerých výstupov</t>
  </si>
  <si>
    <t>Systém musí byť schopný kombinácie viacerých vstupov do jedného, alebo viacerých výstupov v rámci jedného modelu transformácie.</t>
  </si>
  <si>
    <t>Podpora štandardov pre vyťaženie</t>
  </si>
  <si>
    <t>Systém musí mať v sebe implementáciu vyťažení (Extract) zo štandardov:
DATEX II
NeTEx
TAP-TSI
IATA-SSIM
Proprietárnych štandardov JISCD (dve rozhrania)
Vlastný dátový model eNRI DOP</t>
  </si>
  <si>
    <t>Načítanie údajov z rôznych typov dátových zdrojov</t>
  </si>
  <si>
    <t xml:space="preserve">Systém musí mať v sebe implementovanú schopnosť načítavania údajov z rôznych typov dátových zdrojov </t>
  </si>
  <si>
    <t>Podpora transformácií pomocou prevodových tabuelik z a do vybraných štandardov</t>
  </si>
  <si>
    <t>Systém musí mať v sebe implementáciu transformácii kompatibilných údajov pomocou prevodových tabuliek (Transform) z a do štandardov:
DATEX II
NeTEx
TAP-TSI
IATA-SSIM
Proprietárnych štandardov JISCD (dve rozhrania)
Vlastný dátový model eNRI DOP.</t>
  </si>
  <si>
    <t>Podpora viacerých typov dátových uložísk</t>
  </si>
  <si>
    <t>Systém musí mať v sebe implementovanú podporu viacerých typov dátových úložiskách (NFS, RDB a ODB) a to vrátane S3 rozhraní pre ODB.</t>
  </si>
  <si>
    <t>Podpora rôznorodých protokolov pre komunikáciu</t>
  </si>
  <si>
    <t>Systém musí podporovať rôznorodú sadu protokolov na komunikácia, minimálne v rozsahu: HTTPS, SFTP a HDFS.</t>
  </si>
  <si>
    <t>Podpora práce s geo lokalizačnými dátami</t>
  </si>
  <si>
    <t>Systém musí byť schopný pracovať s geo lokalizačnými dátami v štandarde OGC.</t>
  </si>
  <si>
    <t>Podpora dátových formátov pre sociálne siete</t>
  </si>
  <si>
    <t>Systém musí byť schopný pracovať aj s dátovými formátmi sociálnych médií (Facebook, Twitter, Youtube, ...)</t>
  </si>
  <si>
    <t>Evidencia záznamu o priebehu spracovania</t>
  </si>
  <si>
    <t>Systém musí byť schopný evidovať záznamy auditného žurnálu o priebehu spracovania údajov.</t>
  </si>
  <si>
    <t>Podpora spracovania veľkého množstva transformácií</t>
  </si>
  <si>
    <t>Riešenie musí byť schopné zvládnuť naraz veľké množstvo dátových transformácii a optimalizovať ich spracovanie tak, aby spracovanie bolo bez stratové – podľa transformačných pravidiel.</t>
  </si>
  <si>
    <t>Vysporiadanie sa s chybovým stavom transformácie</t>
  </si>
  <si>
    <t>Systém musí byť schopný notifikovať chybový stav a proces spracovania zastaviť do zásahu užívateľa. Po potvrdení, odstránení dôvodu chyby musí byť schopný v procese pokračovať.</t>
  </si>
  <si>
    <t>Podpora viacnásobného nahratia tých istých zdrojov</t>
  </si>
  <si>
    <t>Systém musí byť schopný spracovať viac násobné nahranie tých istých zdrojov, napr. po prerušení spojenia a to bez vytvorenia duplicitných záznamov.</t>
  </si>
  <si>
    <t>Správa procesného výkonu a orchestrácie</t>
  </si>
  <si>
    <t>Podpora manažmentu toku s podorou BPMN</t>
  </si>
  <si>
    <t>Systém bude obsahovať nástroj, ktorý poskytne plnohodnotný workflow management s podporou BPMN, alebo BPEL a to vrátane vizualizácie daných procesov.</t>
  </si>
  <si>
    <t>Podpora tvorby procesov vo vizuálnom prostredí</t>
  </si>
  <si>
    <t>Použitý nástroj musí umožniť návrh procesov vo vizuálnom prostredí.</t>
  </si>
  <si>
    <t>Riadenie workflow s podporou kontajnerizovaného riešenia</t>
  </si>
  <si>
    <t>Použitý nástroj na riadenie workflow musí byť optimalizovaný na beh v kontajnerizovanom prostredí.</t>
  </si>
  <si>
    <t>Podpora definovaných typov procesov</t>
  </si>
  <si>
    <t>Systém bude podporovať definované typy procesov a ich jednotlivé fázy a bude riadiť workflow procesov.</t>
  </si>
  <si>
    <t>Evidencia procesov, krokov a používateľov</t>
  </si>
  <si>
    <t>Systém bude evidovať jednotlivé procesy, kroky a používateľov, ktorí ich realizovali.</t>
  </si>
  <si>
    <t>Typy podporovaných procesov systému</t>
  </si>
  <si>
    <t>Predpokladaný počet manažovaných typov procesov je nasledovný:
Agendové služby – 18
Minoritné služby – 15
Služby plánovania a optimalizácie – 22
Uvedené počty sú orientačné a upresnia s vo fáze analýzy a návrhu. Celkový počet riadených typov workflow (definované v BPMN/BPEL) však bude do 60ks. Pri jednotlivých konkrétnych aplikáciách workflowov, môže dôjsť k drobným zmenám v toku na základe rozhodnutia zodpovedného pracovníka, ktoré budú definované v DNR. Zmeny budú opísateľné manuálnym, alebo automatickým vetvením procesného toku.
Za workflow sa v tejto časti katalógu požiadavke nepovažujú synchronizačné, integračné a transformačné dátové procesy manažované integračnou vrstvou, alebo ETL..</t>
  </si>
  <si>
    <t>Podpora súbežne bežiacich procesov</t>
  </si>
  <si>
    <t>Celkový počet súbežne bežiacich procesov sa predpokladá do 5 000. Systém musí umožniť toto číslo dynamicky meniť podľa reálnych potrieb projektu.</t>
  </si>
  <si>
    <t>Podpora procesov spustených v priebehu roka</t>
  </si>
  <si>
    <t>Celkový počet ročne spustených procesov sa predpokladá do 36 000. Systém musí umožniť toto číslo dynamicky meniť podľa reálnych potrieb projektu.</t>
  </si>
  <si>
    <t>Nastavenie a automatizácia schvaľovania procesov pre jednotlivé agendy</t>
  </si>
  <si>
    <t>Systém umožní nastavenie a automatizáciu schvaľovacieho procesu pre oblasti po jednotlivých agendách a typu/osoby spracovateľa, vrátane schvaľovania správ, kontroly, schvaľovania dokumentov atď.</t>
  </si>
  <si>
    <t>Podpora nástroja aj pre manuálne vytvorenie a evidovanie workflows</t>
  </si>
  <si>
    <t>Systém poskytne funkcionality/nástroje aj pre manuálne vytvorenie, evidovanie workflows (predefinované alebo individuálne nastavené) pre jednotlivé procesy a procesné oblasti.</t>
  </si>
  <si>
    <t>Automatické spracovanie workflows</t>
  </si>
  <si>
    <t>Systém zabezpečí aj automatické spracovanie workflows (napr. kvartálna vyťaženosti, ročné hodnotenie liniek, využívanie dopravnej infraštruktúry a pod).</t>
  </si>
  <si>
    <t>Automatizácia vybraných častí procesov</t>
  </si>
  <si>
    <t>Systém zabezpečí automatizáciu vybraných častí procesov v zmysle relevantných požiadaviek (definovaných v detailnom návrhu riešenia).</t>
  </si>
  <si>
    <t>Podpora komunikácie v priebehu celého výkonu procesu</t>
  </si>
  <si>
    <t>V rámci realizácie procesov bude umožnená komunikácia v priebehu celého výkonu procesu prostredníctvom ostatných služieb eNRI DOP a toak interne, ako aj externe.</t>
  </si>
  <si>
    <t>Podpora prepojenia procesov na základe podmienok</t>
  </si>
  <si>
    <t xml:space="preserve">Systém umožní prepojenie procesov na základne splnenia podmienok. Jednotlivé procesy na seba budú môcť nadväzovať. </t>
  </si>
  <si>
    <t>Zrušenie schvaľovacieho procesu a nastavenie výsledku manuálne</t>
  </si>
  <si>
    <t>Systém umožní zrušenie schvaľovacieho procesu používateľom s príslušnými oprávneniami a nastaviť výsledok procesu manuálne.</t>
  </si>
  <si>
    <t>Nastavenie upozornení a notifikácií v rámci procesu a jeho aktivít</t>
  </si>
  <si>
    <t>Systém umožní nastavenie upozornení a notifikácií v rámci celého procesného toku a jednotlivých aktivít.</t>
  </si>
  <si>
    <t>Sledovanie nastavených termínov</t>
  </si>
  <si>
    <t>Systém zabezpečí sledovanie užívateľom nastavených termínov.</t>
  </si>
  <si>
    <t>Posielanie notifikácií na základe stanovených kritérií</t>
  </si>
  <si>
    <t>Systém posiela upozornenia v rámci toku procesu podľa stanovených kritérií.</t>
  </si>
  <si>
    <t>Nátroje pre doručovanie a filtrovanie upozornení</t>
  </si>
  <si>
    <t>Systém poskytne nástroje na doručovanie a filtrovanie upozornení, aby bolo možné sledovať všetky interakcie so subjektami.</t>
  </si>
  <si>
    <t>Evidencia workflows pre plánované aktivity</t>
  </si>
  <si>
    <t>Systém umožní evidovať workflows pre jednotlivé naplánované aktivity.</t>
  </si>
  <si>
    <t>Evidencia prehľadu úloh podľa referentov, OŠ a organizácie</t>
  </si>
  <si>
    <t>Systém zabezpečí evidovanie prehľadu úloh jednotlivých referentov jedntlivo, podľa OŠ a podľa organizácie. Filtre sa budú aplikovať aj podľa termínov plnenia, stavu procesov a ostatných relevantných metadát procesov.</t>
  </si>
  <si>
    <t>Automatizované spracovanie dokumentácie</t>
  </si>
  <si>
    <t>Systém bude automatizovaným spôsobom spracovávať podania/žiadosti/doplnenia/zaslania dokumentácie a s nimi súvisiace relevantné údaje, ktoré budú vytvorené prostredníctvom elektronikých služieb na portáli jednak v rámci procesov iniciovaných subjektmi/inštitúciami/inými osobami a jednak v rámci procesov iniciovaných OVM s prístupom do eNRI DOP Intranet. V rámci spracovania budú reflektované procesy súvisiace s registratúrnym poriadkom a celým životným cyklom dokumentov. V prípade, že komunikácia nebude prebiehať elektronicky, systém umožní manuálnu evidenciu údajov k došlým podaniam, žiadostiam a iným úkonom.</t>
  </si>
  <si>
    <t>Sledovanie chronológie aktivít, dokumentov a komunikácie v rámci procesov</t>
  </si>
  <si>
    <t>Systém zabezpečí sledovanie kompletnej chronológie aktivít, dokumentov a komunikácií spojených s každou aktivitou v rámci jednotlivých procesov.</t>
  </si>
  <si>
    <t>Rozhranie pre Moje údaje</t>
  </si>
  <si>
    <t>Systém musí poskytovať rozhranie pre Moje údaje</t>
  </si>
  <si>
    <t>Rozhranie pre Otvorené údaje</t>
  </si>
  <si>
    <t>Systém musí poskytovať rozhranie pre Otvorené údaje</t>
  </si>
  <si>
    <t>ID_659</t>
  </si>
  <si>
    <t>Kybernetická a informačná bezpečnosť</t>
  </si>
  <si>
    <t>REQ_0002 Požiadavka na súlad so zákonom o kybernetickej bezpečnosti č. 69/2018 Z. z.</t>
  </si>
  <si>
    <r>
      <t>Zabezpečiť súlad dodávaného Diela so Zákonom</t>
    </r>
    <r>
      <rPr>
        <b/>
        <sz val="10"/>
        <color rgb="FF000000"/>
        <rFont val="Calibri Light"/>
        <family val="2"/>
        <scheme val="major"/>
      </rPr>
      <t xml:space="preserve"> </t>
    </r>
    <r>
      <rPr>
        <sz val="10"/>
        <color rgb="FF000000"/>
        <rFont val="Calibri Light"/>
        <family val="2"/>
        <scheme val="major"/>
      </rPr>
      <t>č. 69/2018 Z. z., o kybernetickej bezpečnosti a o zmene a doplnení niektorých zákonov, v znení neskorších predpisov.</t>
    </r>
  </si>
  <si>
    <t>ID_660</t>
  </si>
  <si>
    <t>REQ_0008 Požiadavka na súlad s metodikou zabezpečenia</t>
  </si>
  <si>
    <t>Pri realizovaní diela zabezpečiť dodržiavanie bezpečnostných požiadaviek špecifikovaných v Metodike pre systematické zabezpečenie organizácií verejnej správy v oblasti informačnej bezpečnosti (dostupná na https://www.csirt.gov.sk/metodika-zabezpecenia-ikt/index.html).</t>
  </si>
  <si>
    <t>ID_661</t>
  </si>
  <si>
    <t>REQ_0054 Požiadavka na súlad s Vyhláškou k spôsobom kategorizácie a obsahu bezpečnostných opatrení ITVS č. 179/2020 Z.z.</t>
  </si>
  <si>
    <t>Zabezpečiť súlad dodávaného Diela s Vyhláškou č. 179/2020 Z. z., ktorou sa ustavovuje spôsob kategorizácie a obsah bezpečnostných opatrení ITVS.</t>
  </si>
  <si>
    <t>ID_662</t>
  </si>
  <si>
    <t>REQ_0055 Požiadavka na súlad s ISO/IES 27000</t>
  </si>
  <si>
    <t>Zabezpečiť súlad dodávaného Diela s ISO/IEC 27000: 2018 poskytuje prehľad systémov manažérstva informačnej bezpečnosti (SMIB) a základne pojmy a definície bežne používané v štandardoch radu 27000. Je aplikovateľný na všetky typy a veľkosti organizácií (vládne, komerčné, neziskové).</t>
  </si>
  <si>
    <t>ID_663</t>
  </si>
  <si>
    <t>REQ_0400 Požiadavka na súlad s Vyhláškou k obsahu bezpečnostných opatrení, k obsahu a štruktúre bezpečnostnej dokumentácie a k rozsahu všeobecných bezpečnostných opatrení č. 362/2018 Z.z.</t>
  </si>
  <si>
    <t>Zabezpečiť súlad dodávaného Diela s Vyhláškou  č. 362/2018 Z. z., ktorou sa ustanovuje obsah bezpečnostných opatrení, obsah a štruktúra bezpečnostnej dokumentácie a rozsah všeobecných bezpečnostných opatrení.</t>
  </si>
  <si>
    <t>ID_664</t>
  </si>
  <si>
    <t>REQ_0390 Požiadavka na súlad so zákonom o kritickej infraštruktúre č. 45/2011 Z. z.</t>
  </si>
  <si>
    <r>
      <t>Zabezpečiť súlad dodávaného Diela so Zákonom</t>
    </r>
    <r>
      <rPr>
        <b/>
        <sz val="10"/>
        <color rgb="FF000000"/>
        <rFont val="Calibri Light"/>
        <family val="2"/>
        <scheme val="major"/>
      </rPr>
      <t xml:space="preserve"> </t>
    </r>
    <r>
      <rPr>
        <sz val="10"/>
        <color rgb="FF000000"/>
        <rFont val="Calibri Light"/>
        <family val="2"/>
        <scheme val="major"/>
      </rPr>
      <t>č. 45/2011 Z. z., o kritickej infraštruktúre a o zmene a doplnení niektorých zákonov, v znení neskorších predpisov.</t>
    </r>
  </si>
  <si>
    <t>Poskytovateľ dopravy</t>
  </si>
  <si>
    <t>Účastník dopravy</t>
  </si>
  <si>
    <t>Úradník ŠS</t>
  </si>
  <si>
    <t>Úradník samospráva</t>
  </si>
  <si>
    <t>Poskytovateľ dát</t>
  </si>
  <si>
    <t>Konzument dát</t>
  </si>
  <si>
    <t>Vývoj vlastnej aplikácie</t>
  </si>
  <si>
    <t>Opensource produkt a jeho prispôsobenie/ implementačná nadstavba</t>
  </si>
  <si>
    <t>Komerčný produkt</t>
  </si>
  <si>
    <t>Vyžiadané zmeny tretích strán OVM (IS2IS)</t>
  </si>
  <si>
    <t>IS</t>
  </si>
  <si>
    <t>NDS-KIS, TDM, CDB, Zjazdnosť, ŽSR, JISCD</t>
  </si>
  <si>
    <t>Podporne komponenty</t>
  </si>
  <si>
    <t>10x5</t>
  </si>
  <si>
    <t>24x7</t>
  </si>
  <si>
    <t>Spoločný</t>
  </si>
  <si>
    <t>Funkčný celok</t>
  </si>
  <si>
    <t>Úroveň podpory</t>
  </si>
  <si>
    <t>Služby a optimalizácia osobnej, intermodálnej a verejnej dopravy</t>
  </si>
  <si>
    <t>Licencie v hromadnej doprave</t>
  </si>
  <si>
    <t>Dopravné povolenia</t>
  </si>
  <si>
    <t xml:space="preserve">Integrovanie na službu overenia podpisov Centrálnej elektronickej podateľne </t>
  </si>
  <si>
    <t xml:space="preserve">Systém bude integrovaný na  službu overenia podpisov Centrálnej elektronickej podateľne </t>
  </si>
  <si>
    <t>Integrovanie na spoločný modul elektronických formulárov (MEF) a synchronizácia formulárov medzi registrom dopravných licencií a dopravných povolení a MEF</t>
  </si>
  <si>
    <t>Systém bude integrovaný na spoločný modul elektronických formulárov (MEF) a bude zabezpečená synchronizácia medzi registrom dopravných licencií (žiadostí o vydanie dopravnej licencie, o zmenu a zrušenie), dopravných povolení a MEF</t>
  </si>
  <si>
    <t>Integrovanie na Platobný modul ÚPVS</t>
  </si>
  <si>
    <t>Systém bude integrovaný na Platobný modul (ÚPVS)</t>
  </si>
  <si>
    <t>Poskytovanie služieb prostredníctvom centrálnej API GW</t>
  </si>
  <si>
    <t xml:space="preserve">Systém musí zabezpečiť poskytovanie služieb a integráciu na centrálnu API manažment platformu v súlade s § 25 ods. 7 zákona č. 305/2013 Z.z. o elektronickej podobe výkonu pôsobnosti orgánov verejnej moci a o zmene a doplnení niektorých zákonov (zákon o e-Governmente).  </t>
  </si>
  <si>
    <t>Zabezpečenie realizácie projektu v zmysle príslušnej legislatívy</t>
  </si>
  <si>
    <t>Systém musí zabezpečiť realizáciu projektu v súlade s Vyhláškou č. 401/2023 Z.z. o riadení projektov a zmenových požiadaviek v prevádzke informačných technológií verejnej správy, s Vyhláškou č. 78/2020 Z.z. o štandardoch pre informačné technológie verejnej správy a s Vyhláškou č. 547/2021 Z.z. o elektronizácii agendy verejnej správy.</t>
  </si>
  <si>
    <t>Zabezpečenie dizajnu v zmysle príslušnej legislatívy</t>
  </si>
  <si>
    <t>Systém musí zabezpečiť dizajn web stránok podľa jednotného dizajn manuálu elektronických služieb a webových sídiel Slovenska (ID-SK) v súlade s Vyhláškou č. 78/2020 Z.z. o štandardoch pre informačné technológie verejnej správy a s Vyhláškou č. 547/2021 Z.z. o elektronizácii agendy verejnej správy.</t>
  </si>
  <si>
    <t>ID_050</t>
  </si>
  <si>
    <t>ID_052</t>
  </si>
  <si>
    <t>ID_053</t>
  </si>
  <si>
    <t>ID_054</t>
  </si>
  <si>
    <t>ID_055</t>
  </si>
  <si>
    <t>ID_056</t>
  </si>
  <si>
    <t>ID_063</t>
  </si>
  <si>
    <t>ID_064</t>
  </si>
  <si>
    <t>ID_066</t>
  </si>
  <si>
    <t>ID_072</t>
  </si>
  <si>
    <t>ID_075</t>
  </si>
  <si>
    <t>ID_076</t>
  </si>
  <si>
    <t>ID_077</t>
  </si>
  <si>
    <t>ID_081</t>
  </si>
  <si>
    <t>ID_082</t>
  </si>
  <si>
    <t>ID_153</t>
  </si>
  <si>
    <t>ID_154</t>
  </si>
  <si>
    <t>ID_155</t>
  </si>
  <si>
    <t>ID_156</t>
  </si>
  <si>
    <t>ID_157</t>
  </si>
  <si>
    <t>ID_158</t>
  </si>
  <si>
    <t>ID_159</t>
  </si>
  <si>
    <t>ID_160</t>
  </si>
  <si>
    <t>ID_161</t>
  </si>
  <si>
    <t>ID_162</t>
  </si>
  <si>
    <t>ID_165</t>
  </si>
  <si>
    <t>ID_166</t>
  </si>
  <si>
    <t>ID_167</t>
  </si>
  <si>
    <t>ID_168</t>
  </si>
  <si>
    <t>ID_169</t>
  </si>
  <si>
    <t>ID_171</t>
  </si>
  <si>
    <t>ID_173</t>
  </si>
  <si>
    <t>ID_485</t>
  </si>
  <si>
    <t>ID_486</t>
  </si>
  <si>
    <t>ID_487</t>
  </si>
  <si>
    <t>ID_488</t>
  </si>
  <si>
    <t>Mgr. Michal Hladký (sekcia stratégie dopravy); Ing. Miloslava Slížová, MBA (odbor informatiky)</t>
  </si>
  <si>
    <t>e-mail: Michal.Hladky@mindop.sk; tel.: + 421-2-594 94 267                                                e-mail: Miloslava.Slizova@mindop.sk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</si>
</sst>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6" formatCode="#,##0\ &quot;€&quot;;[Red]\-#,##0\ &quot;€&quot;"/>
    <numFmt numFmtId="8" formatCode="#,##0.00\ &quot;€&quot;;[Red]\-#,##0.00\ &quot;€&quot;"/>
    <numFmt numFmtId="42" formatCode="_-* #,##0\ &quot;€&quot;_-;\-* #,##0\ &quot;€&quot;_-;_-* &quot;-&quot;\ &quot;€&quot;_-;_-@_-"/>
    <numFmt numFmtId="44" formatCode="_-* #,##0.00\ &quot;€&quot;_-;\-* #,##0.00\ &quot;€&quot;_-;_-* &quot;-&quot;??\ &quot;€&quot;_-;_-@_-"/>
    <numFmt numFmtId="164" formatCode="_-* #,##0.00\ _€_-;\-* #,##0.00\ _€_-;_-* &quot;-&quot;??\ _€_-;_-@_-"/>
    <numFmt numFmtId="165" formatCode="_-* #,##0\ _€_-;\-* #,##0\ _€_-;_-* &quot;-&quot;??\ _€_-;_-@_-"/>
    <numFmt numFmtId="166" formatCode="0.0%"/>
    <numFmt numFmtId="167" formatCode="#,##0_ ;\-#,##0;\-;@"/>
    <numFmt numFmtId="168" formatCode="0.00;\-0.00;\-;@"/>
    <numFmt numFmtId="169" formatCode="#,##0\ &quot;€&quot;"/>
    <numFmt numFmtId="170" formatCode="#,##0.00\ &quot;€&quot;"/>
    <numFmt numFmtId="171" formatCode="#,##0.0\ &quot;€&quot;"/>
    <numFmt numFmtId="172" formatCode="#,##0.000_ ;\-#,##0.000;\-;@"/>
    <numFmt numFmtId="173" formatCode="_-* #,##0.00\ &quot;€&quot;_-;\-* #,##0.00\ &quot;€&quot;_-;_-* &quot;-&quot;\ &quot;€&quot;_-;_-@_-"/>
    <numFmt numFmtId="174" formatCode="0.000"/>
    <numFmt numFmtId="175" formatCode="#,##0.000"/>
    <numFmt numFmtId="176" formatCode="_-* #,##0.0000\ &quot;€&quot;_-;\-* #,##0.0000\ &quot;€&quot;_-;_-* &quot;-&quot;\ &quot;€&quot;_-;_-@_-"/>
  </numFmts>
  <fonts count="91">
    <font>
      <sz val="11"/>
      <color theme="1"/>
      <name val="Calibri"/>
      <family val="2"/>
      <charset val="238"/>
      <scheme val="minor"/>
    </font>
    <font>
      <sz val="11"/>
      <color theme="1"/>
      <name val="Arial Narrow"/>
      <family val="2"/>
      <charset val="238"/>
    </font>
    <font>
      <sz val="11"/>
      <color theme="1"/>
      <name val="Calibri"/>
      <family val="2"/>
      <charset val="238"/>
      <scheme val="minor"/>
    </font>
    <font>
      <b/>
      <sz val="11"/>
      <name val="Arial Narrow"/>
      <family val="2"/>
      <charset val="238"/>
    </font>
    <font>
      <sz val="11"/>
      <name val="Calibri"/>
      <family val="2"/>
      <charset val="238"/>
      <scheme val="minor"/>
    </font>
    <font>
      <sz val="11"/>
      <name val="Arial Narrow"/>
      <family val="2"/>
      <charset val="238"/>
    </font>
    <font>
      <sz val="11"/>
      <color rgb="FF006100"/>
      <name val="Calibri"/>
      <family val="2"/>
      <charset val="238"/>
      <scheme val="minor"/>
    </font>
    <font>
      <b/>
      <sz val="11"/>
      <color rgb="FFFA7D00"/>
      <name val="Calibri"/>
      <family val="2"/>
      <charset val="238"/>
      <scheme val="minor"/>
    </font>
    <font>
      <b/>
      <sz val="11"/>
      <color theme="1"/>
      <name val="Calibri"/>
      <family val="2"/>
      <charset val="238"/>
      <scheme val="minor"/>
    </font>
    <font>
      <b/>
      <sz val="10"/>
      <name val="Arial"/>
      <family val="2"/>
      <charset val="238"/>
    </font>
    <font>
      <sz val="10"/>
      <name val="Arial"/>
      <family val="2"/>
      <charset val="238"/>
    </font>
    <font>
      <i/>
      <sz val="10"/>
      <name val="Arial"/>
      <family val="2"/>
      <charset val="238"/>
    </font>
    <font>
      <b/>
      <i/>
      <sz val="10"/>
      <name val="Arial"/>
      <family val="2"/>
      <charset val="238"/>
    </font>
    <font>
      <sz val="10"/>
      <color indexed="18"/>
      <name val="Arial"/>
      <family val="2"/>
      <charset val="238"/>
    </font>
    <font>
      <sz val="11"/>
      <color theme="1"/>
      <name val="Calibri"/>
      <family val="2"/>
      <charset val="238"/>
    </font>
    <font>
      <b/>
      <sz val="11"/>
      <color rgb="FF000000"/>
      <name val="Arial Narrow"/>
      <family val="2"/>
      <charset val="238"/>
    </font>
    <font>
      <b/>
      <sz val="11"/>
      <color rgb="FFFF0000"/>
      <name val="Arial Narrow"/>
      <family val="2"/>
      <charset val="238"/>
    </font>
    <font>
      <i/>
      <sz val="11"/>
      <color rgb="FF000000"/>
      <name val="Arial Narrow"/>
      <family val="2"/>
      <charset val="238"/>
    </font>
    <font>
      <b/>
      <sz val="9"/>
      <color rgb="FF000000"/>
      <name val="Arial Narrow"/>
      <family val="2"/>
      <charset val="238"/>
    </font>
    <font>
      <i/>
      <sz val="9"/>
      <color rgb="FF000000"/>
      <name val="Arial Narrow"/>
      <family val="2"/>
      <charset val="238"/>
    </font>
    <font>
      <i/>
      <sz val="8"/>
      <color rgb="FF000000"/>
      <name val="Arial Narrow"/>
      <family val="2"/>
      <charset val="238"/>
    </font>
    <font>
      <b/>
      <sz val="8"/>
      <color rgb="FFFA7D00"/>
      <name val="Calibri"/>
      <family val="2"/>
      <charset val="238"/>
      <scheme val="minor"/>
    </font>
    <font>
      <sz val="9"/>
      <color rgb="FF006100"/>
      <name val="Calibri"/>
      <family val="2"/>
      <charset val="238"/>
      <scheme val="minor"/>
    </font>
    <font>
      <b/>
      <i/>
      <sz val="11"/>
      <color theme="1"/>
      <name val="Calibri"/>
      <family val="2"/>
      <charset val="238"/>
      <scheme val="minor"/>
    </font>
    <font>
      <b/>
      <sz val="16"/>
      <color theme="1"/>
      <name val="Calibri"/>
      <family val="2"/>
      <charset val="238"/>
      <scheme val="minor"/>
    </font>
    <font>
      <b/>
      <sz val="14"/>
      <color theme="1"/>
      <name val="Arial"/>
      <family val="2"/>
      <charset val="238"/>
    </font>
    <font>
      <b/>
      <sz val="12"/>
      <color theme="1"/>
      <name val="Arial"/>
      <family val="2"/>
      <charset val="238"/>
    </font>
    <font>
      <sz val="11"/>
      <color theme="1"/>
      <name val="Arial"/>
      <family val="2"/>
      <charset val="238"/>
    </font>
    <font>
      <b/>
      <sz val="11"/>
      <color theme="1"/>
      <name val="Arial"/>
      <family val="2"/>
      <charset val="238"/>
    </font>
    <font>
      <i/>
      <sz val="11"/>
      <color theme="1"/>
      <name val="Calibri"/>
      <family val="2"/>
      <charset val="238"/>
      <scheme val="minor"/>
    </font>
    <font>
      <b/>
      <sz val="12"/>
      <color theme="1"/>
      <name val="Calibri"/>
      <family val="2"/>
      <charset val="238"/>
      <scheme val="minor"/>
    </font>
    <font>
      <sz val="9"/>
      <color theme="1"/>
      <name val="Calibri"/>
      <family val="2"/>
      <charset val="238"/>
      <scheme val="minor"/>
    </font>
    <font>
      <sz val="9"/>
      <name val="Arial"/>
      <family val="2"/>
      <charset val="238"/>
    </font>
    <font>
      <sz val="9"/>
      <color rgb="FFFA7D00"/>
      <name val="Calibri"/>
      <family val="2"/>
      <charset val="238"/>
      <scheme val="minor"/>
    </font>
    <font>
      <sz val="8"/>
      <color rgb="FFFA7D00"/>
      <name val="Calibri"/>
      <family val="2"/>
      <charset val="238"/>
      <scheme val="minor"/>
    </font>
    <font>
      <b/>
      <i/>
      <sz val="10"/>
      <color theme="1"/>
      <name val="Calibri"/>
      <family val="2"/>
      <charset val="238"/>
      <scheme val="minor"/>
    </font>
    <font>
      <b/>
      <sz val="11"/>
      <color theme="0" tint="-0.499984740745262"/>
      <name val="Calibri"/>
      <family val="2"/>
      <charset val="238"/>
      <scheme val="minor"/>
    </font>
    <font>
      <sz val="9"/>
      <color theme="0" tint="-0.499984740745262"/>
      <name val="Calibri"/>
      <family val="2"/>
      <charset val="238"/>
      <scheme val="minor"/>
    </font>
    <font>
      <sz val="11"/>
      <color theme="0" tint="-0.499984740745262"/>
      <name val="Calibri"/>
      <family val="2"/>
      <charset val="238"/>
      <scheme val="minor"/>
    </font>
    <font>
      <sz val="11"/>
      <color rgb="FF006100"/>
      <name val="Arial Narrow"/>
      <family val="2"/>
      <charset val="238"/>
    </font>
    <font>
      <sz val="11"/>
      <color theme="0"/>
      <name val="Calibri"/>
      <family val="2"/>
      <charset val="238"/>
      <scheme val="minor"/>
    </font>
    <font>
      <sz val="11"/>
      <color rgb="FFFF0000"/>
      <name val="Calibri"/>
      <family val="2"/>
      <charset val="238"/>
      <scheme val="minor"/>
    </font>
    <font>
      <sz val="10"/>
      <color theme="5" tint="-0.249977111117893"/>
      <name val="Arial"/>
      <family val="2"/>
      <charset val="238"/>
    </font>
    <font>
      <sz val="11"/>
      <color theme="5" tint="-0.249977111117893"/>
      <name val="Calibri"/>
      <family val="2"/>
      <charset val="238"/>
      <scheme val="minor"/>
    </font>
    <font>
      <b/>
      <sz val="14"/>
      <color theme="1"/>
      <name val="Calibri"/>
      <family val="2"/>
      <charset val="238"/>
      <scheme val="minor"/>
    </font>
    <font>
      <u/>
      <sz val="11"/>
      <color theme="10"/>
      <name val="Calibri"/>
      <family val="2"/>
      <charset val="238"/>
      <scheme val="minor"/>
    </font>
    <font>
      <b/>
      <sz val="11"/>
      <name val="Calibri"/>
      <family val="2"/>
      <charset val="238"/>
      <scheme val="minor"/>
    </font>
    <font>
      <i/>
      <sz val="11"/>
      <color theme="5" tint="-0.249977111117893"/>
      <name val="Calibri"/>
      <family val="2"/>
      <charset val="238"/>
      <scheme val="minor"/>
    </font>
    <font>
      <b/>
      <sz val="11"/>
      <color theme="5" tint="-0.249977111117893"/>
      <name val="Calibri"/>
      <family val="2"/>
      <charset val="238"/>
      <scheme val="minor"/>
    </font>
    <font>
      <sz val="11"/>
      <color theme="5" tint="-0.499984740745262"/>
      <name val="Calibri"/>
      <family val="2"/>
      <charset val="238"/>
      <scheme val="minor"/>
    </font>
    <font>
      <b/>
      <sz val="11"/>
      <color theme="5" tint="-0.499984740745262"/>
      <name val="Calibri"/>
      <family val="2"/>
      <charset val="238"/>
      <scheme val="minor"/>
    </font>
    <font>
      <sz val="16"/>
      <color rgb="FFFF0000"/>
      <name val="Calibri"/>
      <family val="2"/>
      <charset val="238"/>
      <scheme val="minor"/>
    </font>
    <font>
      <sz val="20"/>
      <color rgb="FFFF0000"/>
      <name val="Calibri"/>
      <family val="2"/>
      <charset val="238"/>
      <scheme val="minor"/>
    </font>
    <font>
      <sz val="22"/>
      <color rgb="FFFF0000"/>
      <name val="Calibri"/>
      <family val="2"/>
      <charset val="238"/>
      <scheme val="minor"/>
    </font>
    <font>
      <sz val="11"/>
      <color theme="1"/>
      <name val="Calibri Light"/>
      <family val="2"/>
      <scheme val="major"/>
    </font>
    <font>
      <sz val="11"/>
      <color theme="0"/>
      <name val="Calibri Light"/>
      <family val="2"/>
      <scheme val="major"/>
    </font>
    <font>
      <sz val="11"/>
      <color theme="5" tint="-0.249977111117893"/>
      <name val="Calibri Light"/>
      <family val="2"/>
      <scheme val="major"/>
    </font>
    <font>
      <b/>
      <sz val="11"/>
      <color theme="0"/>
      <name val="Calibri Light"/>
      <family val="2"/>
      <scheme val="major"/>
    </font>
    <font>
      <sz val="8"/>
      <name val="Calibri"/>
      <family val="2"/>
      <charset val="238"/>
      <scheme val="minor"/>
    </font>
    <font>
      <b/>
      <sz val="11"/>
      <color theme="1"/>
      <name val="Calibri Light"/>
      <family val="2"/>
      <scheme val="major"/>
    </font>
    <font>
      <sz val="11"/>
      <name val="Calibri Light"/>
      <family val="2"/>
      <scheme val="major"/>
    </font>
    <font>
      <sz val="10"/>
      <color theme="1"/>
      <name val="Calibri"/>
      <family val="2"/>
      <charset val="238"/>
      <scheme val="minor"/>
    </font>
    <font>
      <sz val="10"/>
      <color theme="1"/>
      <name val="Calibri Light"/>
      <family val="2"/>
      <scheme val="major"/>
    </font>
    <font>
      <sz val="10"/>
      <name val="Calibri Light"/>
      <family val="2"/>
      <scheme val="major"/>
    </font>
    <font>
      <b/>
      <sz val="10"/>
      <name val="Calibri Light"/>
      <family val="2"/>
      <scheme val="major"/>
    </font>
    <font>
      <u/>
      <sz val="10"/>
      <color indexed="12"/>
      <name val="Arial"/>
      <family val="2"/>
    </font>
    <font>
      <sz val="10"/>
      <color rgb="FF0070C0"/>
      <name val="Calibri Light"/>
      <family val="2"/>
      <scheme val="major"/>
    </font>
    <font>
      <b/>
      <sz val="10"/>
      <color rgb="FF0070C0"/>
      <name val="Calibri Light"/>
      <family val="2"/>
      <scheme val="major"/>
    </font>
    <font>
      <sz val="9"/>
      <name val="Calibri Light"/>
      <family val="2"/>
      <scheme val="major"/>
    </font>
    <font>
      <b/>
      <sz val="10"/>
      <color theme="1"/>
      <name val="Calibri Light"/>
      <family val="2"/>
      <scheme val="major"/>
    </font>
    <font>
      <b/>
      <sz val="10"/>
      <name val="Tahoma"/>
      <family val="2"/>
    </font>
    <font>
      <b/>
      <sz val="10"/>
      <color theme="1"/>
      <name val="Calibri"/>
      <family val="2"/>
      <scheme val="minor"/>
    </font>
    <font>
      <sz val="10"/>
      <color rgb="FF000000"/>
      <name val="Calibri Light"/>
      <family val="2"/>
      <scheme val="major"/>
    </font>
    <font>
      <b/>
      <sz val="10"/>
      <color rgb="FF000000"/>
      <name val="Calibri Light"/>
      <family val="2"/>
      <scheme val="major"/>
    </font>
    <font>
      <b/>
      <sz val="18"/>
      <color rgb="FFFF0000"/>
      <name val="Calibri"/>
      <family val="2"/>
      <scheme val="minor"/>
    </font>
    <font>
      <b/>
      <sz val="11"/>
      <color theme="0"/>
      <name val="Calibri Light"/>
      <family val="1"/>
      <charset val="2"/>
      <scheme val="major"/>
    </font>
    <font>
      <b/>
      <sz val="10"/>
      <color theme="0"/>
      <name val="Calibri"/>
      <family val="2"/>
      <scheme val="minor"/>
    </font>
    <font>
      <sz val="10"/>
      <color theme="1"/>
      <name val="Calibri"/>
      <family val="2"/>
      <scheme val="minor"/>
    </font>
    <font>
      <sz val="11"/>
      <color theme="1"/>
      <name val="Calibri"/>
      <family val="2"/>
      <scheme val="minor"/>
    </font>
    <font>
      <b/>
      <u/>
      <sz val="11"/>
      <color theme="5"/>
      <name val="Calibri"/>
      <family val="2"/>
      <scheme val="minor"/>
    </font>
    <font>
      <sz val="9"/>
      <color indexed="81"/>
      <name val="Segoe UI"/>
      <family val="2"/>
    </font>
    <font>
      <b/>
      <sz val="9"/>
      <color indexed="81"/>
      <name val="Segoe UI"/>
      <family val="2"/>
    </font>
    <font>
      <b/>
      <u/>
      <sz val="11"/>
      <color theme="5"/>
      <name val="Calibri"/>
      <family val="2"/>
      <charset val="238"/>
      <scheme val="minor"/>
    </font>
    <font>
      <b/>
      <sz val="18"/>
      <color theme="1"/>
      <name val="Calibri"/>
      <family val="2"/>
      <charset val="238"/>
    </font>
    <font>
      <sz val="18"/>
      <color theme="1"/>
      <name val="Calibri"/>
      <family val="2"/>
      <charset val="238"/>
      <scheme val="minor"/>
    </font>
    <font>
      <b/>
      <sz val="10"/>
      <name val="Calibri"/>
      <family val="2"/>
      <scheme val="minor"/>
    </font>
    <font>
      <sz val="11"/>
      <color rgb="FF000000"/>
      <name val="Calibri Light"/>
      <family val="2"/>
      <scheme val="major"/>
    </font>
    <font>
      <b/>
      <sz val="11"/>
      <color theme="1"/>
      <name val="Calibri"/>
      <family val="2"/>
      <scheme val="minor"/>
    </font>
    <font>
      <b/>
      <sz val="9"/>
      <color rgb="FF000000"/>
      <name val="Segoe UI"/>
      <family val="2"/>
      <charset val="1"/>
    </font>
    <font>
      <sz val="9"/>
      <color rgb="FF000000"/>
      <name val="Segoe UI"/>
      <family val="2"/>
      <charset val="1"/>
    </font>
    <font>
      <b/>
      <sz val="11"/>
      <color rgb="FF000000"/>
      <name val="Calibri"/>
      <family val="2"/>
      <scheme val="minor"/>
    </font>
  </fonts>
  <fills count="38">
    <fill>
      <patternFill patternType="none"/>
    </fill>
    <fill>
      <patternFill patternType="gray125"/>
    </fill>
    <fill>
      <patternFill patternType="solid">
        <fgColor rgb="FFA6A6A6"/>
        <bgColor indexed="64"/>
      </patternFill>
    </fill>
    <fill>
      <patternFill patternType="solid">
        <fgColor rgb="FFC6EFCE"/>
      </patternFill>
    </fill>
    <fill>
      <patternFill patternType="solid">
        <fgColor rgb="FFF2F2F2"/>
      </patternFill>
    </fill>
    <fill>
      <patternFill patternType="solid">
        <fgColor rgb="FFFFFFCC"/>
      </patternFill>
    </fill>
    <fill>
      <patternFill patternType="solid">
        <fgColor theme="0" tint="-0.249977111117893"/>
        <bgColor indexed="64"/>
      </patternFill>
    </fill>
    <fill>
      <patternFill patternType="solid">
        <fgColor theme="0" tint="-0.34998626667073579"/>
        <bgColor indexed="64"/>
      </patternFill>
    </fill>
    <fill>
      <patternFill patternType="solid">
        <fgColor rgb="FFD9D9D9"/>
        <bgColor rgb="FF000000"/>
      </patternFill>
    </fill>
    <fill>
      <patternFill patternType="solid">
        <fgColor theme="4" tint="0.79998168889431442"/>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3" tint="-0.249977111117893"/>
        <bgColor indexed="64"/>
      </patternFill>
    </fill>
    <fill>
      <patternFill patternType="solid">
        <fgColor theme="9" tint="0.59999389629810485"/>
        <bgColor indexed="64"/>
      </patternFill>
    </fill>
    <fill>
      <patternFill patternType="solid">
        <fgColor theme="2" tint="-0.499984740745262"/>
        <bgColor indexed="64"/>
      </patternFill>
    </fill>
    <fill>
      <patternFill patternType="solid">
        <fgColor rgb="FFFFFFCC"/>
        <bgColor indexed="64"/>
      </patternFill>
    </fill>
    <fill>
      <patternFill patternType="solid">
        <fgColor theme="6"/>
        <bgColor indexed="64"/>
      </patternFill>
    </fill>
    <fill>
      <patternFill patternType="solid">
        <fgColor theme="4" tint="0.39997558519241921"/>
        <bgColor indexed="64"/>
      </patternFill>
    </fill>
    <fill>
      <patternFill patternType="solid">
        <fgColor theme="6" tint="0.79998168889431442"/>
        <bgColor indexed="64"/>
      </patternFill>
    </fill>
    <fill>
      <patternFill patternType="solid">
        <fgColor theme="0"/>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2"/>
        <bgColor indexed="64"/>
      </patternFill>
    </fill>
    <fill>
      <patternFill patternType="solid">
        <fgColor theme="8" tint="-0.249977111117893"/>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FFC000"/>
        <bgColor indexed="64"/>
      </patternFill>
    </fill>
    <fill>
      <patternFill patternType="solid">
        <fgColor theme="6" tint="0.59999389629810485"/>
        <bgColor indexed="64"/>
      </patternFill>
    </fill>
    <fill>
      <patternFill patternType="solid">
        <fgColor theme="8" tint="-0.499984740745262"/>
        <bgColor indexed="64"/>
      </patternFill>
    </fill>
    <fill>
      <patternFill patternType="solid">
        <fgColor theme="4" tint="-0.249977111117893"/>
        <bgColor indexed="64"/>
      </patternFill>
    </fill>
    <fill>
      <patternFill patternType="solid">
        <fgColor rgb="FFFFFF00"/>
        <bgColor indexed="64"/>
      </patternFill>
    </fill>
    <fill>
      <patternFill patternType="solid">
        <fgColor theme="8" tint="0.59999389629810485"/>
        <bgColor indexed="64"/>
      </patternFill>
    </fill>
    <fill>
      <patternFill patternType="solid">
        <fgColor rgb="FF00B050"/>
        <bgColor indexed="64"/>
      </patternFill>
    </fill>
    <fill>
      <patternFill patternType="solid">
        <fgColor theme="5" tint="0.39997558519241921"/>
        <bgColor indexed="64"/>
      </patternFill>
    </fill>
  </fills>
  <borders count="167">
    <border>
      <left/>
      <right/>
      <top/>
      <bottom/>
      <diagonal/>
    </border>
    <border>
      <left style="thick">
        <color indexed="64"/>
      </left>
      <right style="medium">
        <color indexed="64"/>
      </right>
      <top style="thick">
        <color indexed="64"/>
      </top>
      <bottom style="thick">
        <color indexed="64"/>
      </bottom>
      <diagonal/>
    </border>
    <border>
      <left/>
      <right style="medium">
        <color indexed="64"/>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thick">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thick">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thick">
        <color indexed="64"/>
      </top>
      <bottom style="thick">
        <color indexed="64"/>
      </bottom>
      <diagonal/>
    </border>
    <border>
      <left style="thick">
        <color indexed="64"/>
      </left>
      <right style="medium">
        <color indexed="64"/>
      </right>
      <top style="medium">
        <color indexed="64"/>
      </top>
      <bottom/>
      <diagonal/>
    </border>
    <border>
      <left style="thick">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top style="thin">
        <color indexed="64"/>
      </top>
      <bottom style="thin">
        <color indexed="64"/>
      </bottom>
      <diagonal/>
    </border>
    <border>
      <left/>
      <right style="thin">
        <color indexed="64"/>
      </right>
      <top style="medium">
        <color indexed="64"/>
      </top>
      <bottom/>
      <diagonal/>
    </border>
    <border>
      <left/>
      <right style="thin">
        <color rgb="FF7F7F7F"/>
      </right>
      <top style="thin">
        <color rgb="FF7F7F7F"/>
      </top>
      <bottom style="thin">
        <color rgb="FF7F7F7F"/>
      </bottom>
      <diagonal/>
    </border>
    <border>
      <left style="thin">
        <color rgb="FF7F7F7F"/>
      </left>
      <right style="medium">
        <color indexed="64"/>
      </right>
      <top style="thin">
        <color rgb="FF7F7F7F"/>
      </top>
      <bottom style="thin">
        <color rgb="FF7F7F7F"/>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style="thin">
        <color rgb="FFB2B2B2"/>
      </right>
      <top style="thin">
        <color rgb="FFB2B2B2"/>
      </top>
      <bottom style="thin">
        <color rgb="FFB2B2B2"/>
      </bottom>
      <diagonal/>
    </border>
    <border>
      <left style="thin">
        <color rgb="FF7F7F7F"/>
      </left>
      <right style="medium">
        <color indexed="64"/>
      </right>
      <top style="medium">
        <color indexed="64"/>
      </top>
      <bottom style="thin">
        <color rgb="FF7F7F7F"/>
      </bottom>
      <diagonal/>
    </border>
    <border>
      <left style="medium">
        <color indexed="64"/>
      </left>
      <right style="thin">
        <color rgb="FF7F7F7F"/>
      </right>
      <top style="thin">
        <color rgb="FF7F7F7F"/>
      </top>
      <bottom style="medium">
        <color indexed="64"/>
      </bottom>
      <diagonal/>
    </border>
    <border>
      <left style="thin">
        <color rgb="FF7F7F7F"/>
      </left>
      <right style="thin">
        <color rgb="FF7F7F7F"/>
      </right>
      <top style="thin">
        <color rgb="FF7F7F7F"/>
      </top>
      <bottom style="medium">
        <color indexed="64"/>
      </bottom>
      <diagonal/>
    </border>
    <border>
      <left style="thin">
        <color rgb="FF7F7F7F"/>
      </left>
      <right style="medium">
        <color indexed="64"/>
      </right>
      <top style="thin">
        <color rgb="FF7F7F7F"/>
      </top>
      <bottom style="medium">
        <color indexed="64"/>
      </bottom>
      <diagonal/>
    </border>
    <border>
      <left/>
      <right style="thin">
        <color rgb="FF7F7F7F"/>
      </right>
      <top style="thin">
        <color rgb="FF7F7F7F"/>
      </top>
      <bottom style="medium">
        <color indexed="64"/>
      </bottom>
      <diagonal/>
    </border>
    <border>
      <left style="medium">
        <color indexed="64"/>
      </left>
      <right style="thin">
        <color rgb="FF7F7F7F"/>
      </right>
      <top/>
      <bottom style="medium">
        <color indexed="64"/>
      </bottom>
      <diagonal/>
    </border>
    <border>
      <left style="thin">
        <color rgb="FF7F7F7F"/>
      </left>
      <right style="medium">
        <color indexed="64"/>
      </right>
      <top/>
      <bottom style="medium">
        <color indexed="64"/>
      </bottom>
      <diagonal/>
    </border>
    <border>
      <left style="thin">
        <color rgb="FF7F7F7F"/>
      </left>
      <right style="medium">
        <color indexed="64"/>
      </right>
      <top/>
      <bottom style="thin">
        <color rgb="FF7F7F7F"/>
      </bottom>
      <diagonal/>
    </border>
    <border>
      <left/>
      <right style="thin">
        <color rgb="FF7F7F7F"/>
      </right>
      <top style="medium">
        <color indexed="64"/>
      </top>
      <bottom style="thin">
        <color rgb="FF7F7F7F"/>
      </bottom>
      <diagonal/>
    </border>
    <border>
      <left style="thin">
        <color rgb="FF7F7F7F"/>
      </left>
      <right style="thin">
        <color rgb="FF7F7F7F"/>
      </right>
      <top style="medium">
        <color indexed="64"/>
      </top>
      <bottom style="thin">
        <color rgb="FF7F7F7F"/>
      </bottom>
      <diagonal/>
    </border>
    <border>
      <left style="thin">
        <color rgb="FFB2B2B2"/>
      </left>
      <right style="thin">
        <color rgb="FFB2B2B2"/>
      </right>
      <top style="medium">
        <color indexed="64"/>
      </top>
      <bottom style="thin">
        <color rgb="FFB2B2B2"/>
      </bottom>
      <diagonal/>
    </border>
    <border>
      <left style="thin">
        <color rgb="FFB2B2B2"/>
      </left>
      <right style="thin">
        <color rgb="FFB2B2B2"/>
      </right>
      <top style="thin">
        <color rgb="FFB2B2B2"/>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B2B2B2"/>
      </left>
      <right style="medium">
        <color indexed="64"/>
      </right>
      <top style="medium">
        <color indexed="64"/>
      </top>
      <bottom/>
      <diagonal/>
    </border>
    <border>
      <left style="thin">
        <color rgb="FFB2B2B2"/>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rgb="FF7F7F7F"/>
      </left>
      <right style="thin">
        <color rgb="FF7F7F7F"/>
      </right>
      <top style="thin">
        <color rgb="FF7F7F7F"/>
      </top>
      <bottom/>
      <diagonal/>
    </border>
    <border>
      <left style="medium">
        <color indexed="64"/>
      </left>
      <right style="thin">
        <color rgb="FF7F7F7F"/>
      </right>
      <top style="medium">
        <color indexed="64"/>
      </top>
      <bottom style="medium">
        <color indexed="64"/>
      </bottom>
      <diagonal/>
    </border>
    <border>
      <left style="thin">
        <color rgb="FF7F7F7F"/>
      </left>
      <right style="thin">
        <color rgb="FF7F7F7F"/>
      </right>
      <top style="medium">
        <color indexed="64"/>
      </top>
      <bottom style="medium">
        <color indexed="64"/>
      </bottom>
      <diagonal/>
    </border>
    <border>
      <left style="thin">
        <color rgb="FF7F7F7F"/>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right style="thin">
        <color rgb="FF7F7F7F"/>
      </right>
      <top style="thin">
        <color rgb="FF7F7F7F"/>
      </top>
      <bottom/>
      <diagonal/>
    </border>
    <border>
      <left/>
      <right style="medium">
        <color indexed="64"/>
      </right>
      <top style="medium">
        <color indexed="64"/>
      </top>
      <bottom style="thin">
        <color rgb="FF7F7F7F"/>
      </bottom>
      <diagonal/>
    </border>
    <border>
      <left/>
      <right style="medium">
        <color indexed="64"/>
      </right>
      <top style="thin">
        <color rgb="FF7F7F7F"/>
      </top>
      <bottom style="thin">
        <color rgb="FF7F7F7F"/>
      </bottom>
      <diagonal/>
    </border>
    <border>
      <left/>
      <right style="medium">
        <color indexed="64"/>
      </right>
      <top style="thin">
        <color rgb="FF7F7F7F"/>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rgb="FF7F7F7F"/>
      </bottom>
      <diagonal/>
    </border>
    <border>
      <left style="medium">
        <color indexed="64"/>
      </left>
      <right style="medium">
        <color indexed="64"/>
      </right>
      <top style="thin">
        <color rgb="FF7F7F7F"/>
      </top>
      <bottom style="thin">
        <color rgb="FF7F7F7F"/>
      </bottom>
      <diagonal/>
    </border>
    <border>
      <left style="medium">
        <color indexed="64"/>
      </left>
      <right style="medium">
        <color indexed="64"/>
      </right>
      <top style="thin">
        <color rgb="FF7F7F7F"/>
      </top>
      <bottom/>
      <diagonal/>
    </border>
    <border>
      <left/>
      <right style="thin">
        <color rgb="FFB2B2B2"/>
      </right>
      <top style="medium">
        <color indexed="64"/>
      </top>
      <bottom style="thin">
        <color rgb="FFB2B2B2"/>
      </bottom>
      <diagonal/>
    </border>
    <border>
      <left/>
      <right style="thin">
        <color rgb="FFB2B2B2"/>
      </right>
      <top style="thin">
        <color rgb="FFB2B2B2"/>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right style="thin">
        <color rgb="FF7F7F7F"/>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rgb="FF7F7F7F"/>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rgb="FFB2B2B2"/>
      </bottom>
      <diagonal/>
    </border>
    <border>
      <left style="medium">
        <color indexed="64"/>
      </left>
      <right style="medium">
        <color indexed="64"/>
      </right>
      <top style="thin">
        <color rgb="FFB2B2B2"/>
      </top>
      <bottom style="medium">
        <color indexed="64"/>
      </bottom>
      <diagonal/>
    </border>
    <border>
      <left style="medium">
        <color indexed="64"/>
      </left>
      <right style="thin">
        <color rgb="FF7F7F7F"/>
      </right>
      <top style="thin">
        <color rgb="FF7F7F7F"/>
      </top>
      <bottom style="thin">
        <color rgb="FF7F7F7F"/>
      </bottom>
      <diagonal/>
    </border>
    <border>
      <left/>
      <right style="medium">
        <color indexed="64"/>
      </right>
      <top style="thin">
        <color rgb="FF7F7F7F"/>
      </top>
      <bottom style="medium">
        <color indexed="64"/>
      </bottom>
      <diagonal/>
    </border>
    <border>
      <left style="medium">
        <color indexed="64"/>
      </left>
      <right style="thin">
        <color rgb="FF7F7F7F"/>
      </right>
      <top style="medium">
        <color indexed="64"/>
      </top>
      <bottom style="thin">
        <color rgb="FF7F7F7F"/>
      </bottom>
      <diagonal/>
    </border>
    <border>
      <left style="medium">
        <color indexed="64"/>
      </left>
      <right style="thin">
        <color rgb="FF7F7F7F"/>
      </right>
      <top/>
      <bottom style="thin">
        <color rgb="FF7F7F7F"/>
      </bottom>
      <diagonal/>
    </border>
    <border>
      <left style="thin">
        <color rgb="FFB2B2B2"/>
      </left>
      <right style="thin">
        <color rgb="FFB2B2B2"/>
      </right>
      <top style="thin">
        <color rgb="FFB2B2B2"/>
      </top>
      <bottom/>
      <diagonal/>
    </border>
    <border>
      <left/>
      <right style="medium">
        <color indexed="64"/>
      </right>
      <top style="thin">
        <color indexed="64"/>
      </top>
      <bottom style="thin">
        <color rgb="FF7F7F7F"/>
      </bottom>
      <diagonal/>
    </border>
    <border>
      <left style="thin">
        <color rgb="FF7F7F7F"/>
      </left>
      <right style="medium">
        <color indexed="64"/>
      </right>
      <top style="thin">
        <color rgb="FF7F7F7F"/>
      </top>
      <bottom/>
      <diagonal/>
    </border>
    <border>
      <left/>
      <right style="thin">
        <color rgb="FFB2B2B2"/>
      </right>
      <top style="thin">
        <color rgb="FFB2B2B2"/>
      </top>
      <bottom/>
      <diagonal/>
    </border>
    <border>
      <left style="medium">
        <color indexed="64"/>
      </left>
      <right style="thin">
        <color rgb="FF7F7F7F"/>
      </right>
      <top style="thin">
        <color rgb="FF7F7F7F"/>
      </top>
      <bottom/>
      <diagonal/>
    </border>
    <border>
      <left style="thin">
        <color rgb="FF7F7F7F"/>
      </left>
      <right/>
      <top style="medium">
        <color indexed="64"/>
      </top>
      <bottom style="thin">
        <color rgb="FF7F7F7F"/>
      </bottom>
      <diagonal/>
    </border>
    <border>
      <left style="thin">
        <color rgb="FF7F7F7F"/>
      </left>
      <right style="medium">
        <color indexed="64"/>
      </right>
      <top style="medium">
        <color indexed="64"/>
      </top>
      <bottom/>
      <diagonal/>
    </border>
    <border>
      <left style="thin">
        <color rgb="FF7F7F7F"/>
      </left>
      <right/>
      <top style="thin">
        <color rgb="FF7F7F7F"/>
      </top>
      <bottom style="medium">
        <color indexed="64"/>
      </bottom>
      <diagonal/>
    </border>
    <border>
      <left style="thin">
        <color rgb="FF7F7F7F"/>
      </left>
      <right/>
      <top style="medium">
        <color indexed="64"/>
      </top>
      <bottom/>
      <diagonal/>
    </border>
    <border>
      <left style="medium">
        <color indexed="64"/>
      </left>
      <right style="thin">
        <color rgb="FF7F7F7F"/>
      </right>
      <top style="medium">
        <color indexed="64"/>
      </top>
      <bottom style="thin">
        <color indexed="64"/>
      </bottom>
      <diagonal/>
    </border>
    <border>
      <left style="thin">
        <color rgb="FF7F7F7F"/>
      </left>
      <right style="thin">
        <color rgb="FF7F7F7F"/>
      </right>
      <top style="medium">
        <color indexed="64"/>
      </top>
      <bottom style="thin">
        <color indexed="64"/>
      </bottom>
      <diagonal/>
    </border>
    <border>
      <left style="thin">
        <color rgb="FF7F7F7F"/>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medium">
        <color theme="1"/>
      </left>
      <right style="medium">
        <color theme="1"/>
      </right>
      <top style="medium">
        <color theme="1"/>
      </top>
      <bottom style="medium">
        <color theme="1"/>
      </bottom>
      <diagonal/>
    </border>
    <border>
      <left style="medium">
        <color theme="1"/>
      </left>
      <right/>
      <top style="medium">
        <color theme="1"/>
      </top>
      <bottom style="medium">
        <color theme="1"/>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rgb="FFB2B2B2"/>
      </right>
      <top/>
      <bottom style="thin">
        <color rgb="FFB2B2B2"/>
      </bottom>
      <diagonal/>
    </border>
    <border>
      <left style="thin">
        <color rgb="FFB2B2B2"/>
      </left>
      <right style="thin">
        <color rgb="FFB2B2B2"/>
      </right>
      <top/>
      <bottom style="thin">
        <color rgb="FFB2B2B2"/>
      </bottom>
      <diagonal/>
    </border>
    <border>
      <left style="thin">
        <color rgb="FFB2B2B2"/>
      </left>
      <right style="thin">
        <color rgb="FFB2B2B2"/>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1" tint="0.499984740745262"/>
      </left>
      <right style="thin">
        <color theme="1" tint="0.499984740745262"/>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theme="0" tint="-0.24994659260841701"/>
      </left>
      <right style="thin">
        <color theme="0" tint="-0.24994659260841701"/>
      </right>
      <top style="thin">
        <color theme="0" tint="-0.24994659260841701"/>
      </top>
      <bottom/>
      <diagonal/>
    </border>
    <border>
      <left style="thin">
        <color theme="2" tint="-0.249977111117893"/>
      </left>
      <right/>
      <top/>
      <bottom style="thin">
        <color theme="2" tint="-0.249977111117893"/>
      </bottom>
      <diagonal/>
    </border>
    <border>
      <left style="thin">
        <color theme="2" tint="-0.249977111117893"/>
      </left>
      <right/>
      <top style="thin">
        <color theme="2" tint="-0.249977111117893"/>
      </top>
      <bottom style="thin">
        <color theme="2" tint="-0.249977111117893"/>
      </bottom>
      <diagonal/>
    </border>
    <border>
      <left/>
      <right style="thin">
        <color rgb="FFB2B2B2"/>
      </right>
      <top style="medium">
        <color indexed="64"/>
      </top>
      <bottom style="thin">
        <color theme="0" tint="-0.34998626667073579"/>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bottom style="thin">
        <color theme="0" tint="-0.24994659260841701"/>
      </bottom>
      <diagonal/>
    </border>
    <border>
      <left style="thin">
        <color theme="1" tint="0.499984740745262"/>
      </left>
      <right style="thin">
        <color theme="1" tint="0.499984740745262"/>
      </right>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style="thin">
        <color theme="1" tint="0.499984740745262"/>
      </left>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right/>
      <top style="thin">
        <color theme="1" tint="0.499984740745262"/>
      </top>
      <bottom style="thin">
        <color theme="1" tint="0.499984740745262"/>
      </bottom>
      <diagonal/>
    </border>
    <border>
      <left style="medium">
        <color theme="1"/>
      </left>
      <right/>
      <top style="medium">
        <color theme="1"/>
      </top>
      <bottom/>
      <diagonal/>
    </border>
    <border>
      <left/>
      <right style="medium">
        <color theme="1"/>
      </right>
      <top style="medium">
        <color theme="1"/>
      </top>
      <bottom/>
      <diagonal/>
    </border>
    <border>
      <left style="medium">
        <color theme="1"/>
      </left>
      <right/>
      <top/>
      <bottom style="medium">
        <color theme="1"/>
      </bottom>
      <diagonal/>
    </border>
    <border>
      <left/>
      <right style="medium">
        <color theme="1"/>
      </right>
      <top/>
      <bottom style="medium">
        <color theme="1"/>
      </bottom>
      <diagonal/>
    </border>
    <border>
      <left style="thin">
        <color theme="1" tint="0.499984740745262"/>
      </left>
      <right/>
      <top/>
      <bottom/>
      <diagonal/>
    </border>
    <border>
      <left/>
      <right/>
      <top style="thin">
        <color rgb="FF7F7F7F"/>
      </top>
      <bottom style="thin">
        <color rgb="FF7F7F7F"/>
      </bottom>
      <diagonal/>
    </border>
    <border>
      <left style="medium">
        <color indexed="64"/>
      </left>
      <right style="thin">
        <color indexed="64"/>
      </right>
      <top style="thin">
        <color rgb="FF7F7F7F"/>
      </top>
      <bottom style="medium">
        <color indexed="64"/>
      </bottom>
      <diagonal/>
    </border>
    <border>
      <left style="thin">
        <color indexed="64"/>
      </left>
      <right style="thin">
        <color indexed="64"/>
      </right>
      <top style="thin">
        <color rgb="FF7F7F7F"/>
      </top>
      <bottom style="medium">
        <color indexed="64"/>
      </bottom>
      <diagonal/>
    </border>
    <border>
      <left style="thin">
        <color indexed="64"/>
      </left>
      <right style="medium">
        <color indexed="64"/>
      </right>
      <top style="thin">
        <color rgb="FF7F7F7F"/>
      </top>
      <bottom style="medium">
        <color indexed="64"/>
      </bottom>
      <diagonal/>
    </border>
    <border>
      <left style="thin">
        <color theme="0" tint="-0.24994659260841701"/>
      </left>
      <right/>
      <top/>
      <bottom/>
      <diagonal/>
    </border>
    <border>
      <left/>
      <right style="thin">
        <color theme="0" tint="-0.24994659260841701"/>
      </right>
      <top/>
      <bottom/>
      <diagonal/>
    </border>
  </borders>
  <cellStyleXfs count="16">
    <xf numFmtId="0" fontId="0" fillId="0" borderId="0"/>
    <xf numFmtId="0" fontId="6" fillId="3" borderId="0" applyNumberFormat="0" applyBorder="0" applyAlignment="0" applyProtection="0"/>
    <xf numFmtId="0" fontId="7" fillId="4" borderId="16" applyNumberFormat="0" applyAlignment="0" applyProtection="0"/>
    <xf numFmtId="0" fontId="2" fillId="5" borderId="17" applyNumberFormat="0" applyFont="0" applyAlignment="0" applyProtection="0"/>
    <xf numFmtId="9" fontId="2" fillId="0" borderId="0" applyFont="0" applyFill="0" applyBorder="0" applyAlignment="0" applyProtection="0"/>
    <xf numFmtId="164" fontId="2" fillId="0" borderId="0" applyFont="0" applyFill="0" applyBorder="0" applyAlignment="0" applyProtection="0"/>
    <xf numFmtId="0" fontId="45" fillId="0" borderId="0" applyNumberFormat="0" applyFill="0" applyBorder="0" applyAlignment="0" applyProtection="0"/>
    <xf numFmtId="44" fontId="2" fillId="0" borderId="0" applyFont="0" applyFill="0" applyBorder="0" applyAlignment="0" applyProtection="0"/>
    <xf numFmtId="0" fontId="61" fillId="0" borderId="0"/>
    <xf numFmtId="0" fontId="65" fillId="0" borderId="0" applyNumberFormat="0" applyFill="0" applyBorder="0" applyAlignment="0" applyProtection="0">
      <alignment vertical="top"/>
      <protection locked="0"/>
    </xf>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cellStyleXfs>
  <cellXfs count="937">
    <xf numFmtId="0" fontId="0" fillId="0" borderId="0" xfId="0"/>
    <xf numFmtId="0" fontId="3" fillId="2" borderId="1" xfId="0" applyFont="1" applyFill="1" applyBorder="1" applyAlignment="1">
      <alignment horizontal="left" vertical="top" wrapText="1"/>
    </xf>
    <xf numFmtId="0" fontId="3" fillId="2" borderId="2" xfId="0" applyFont="1" applyFill="1" applyBorder="1" applyAlignment="1">
      <alignment horizontal="justify" vertical="top" wrapText="1"/>
    </xf>
    <xf numFmtId="0" fontId="3" fillId="2" borderId="3" xfId="0" applyFont="1" applyFill="1" applyBorder="1" applyAlignment="1">
      <alignment horizontal="justify" vertical="top" wrapText="1"/>
    </xf>
    <xf numFmtId="0" fontId="4" fillId="0" borderId="0" xfId="0" applyFont="1" applyAlignment="1">
      <alignment vertical="top"/>
    </xf>
    <xf numFmtId="0" fontId="3" fillId="2" borderId="10" xfId="0" applyFont="1" applyFill="1" applyBorder="1" applyAlignment="1">
      <alignment horizontal="center" vertical="top" wrapText="1"/>
    </xf>
    <xf numFmtId="0" fontId="4" fillId="0" borderId="0" xfId="0" applyFont="1" applyAlignment="1">
      <alignment horizontal="center" vertical="top"/>
    </xf>
    <xf numFmtId="0" fontId="0" fillId="0" borderId="0" xfId="0" applyAlignment="1">
      <alignment horizontal="left" vertical="top" wrapText="1"/>
    </xf>
    <xf numFmtId="0" fontId="0" fillId="6" borderId="0" xfId="0" applyFill="1" applyAlignment="1">
      <alignment horizontal="left" vertical="top" wrapText="1"/>
    </xf>
    <xf numFmtId="0" fontId="4" fillId="6" borderId="14" xfId="0" applyFont="1" applyFill="1" applyBorder="1" applyAlignment="1">
      <alignment horizontal="left" vertical="top" wrapText="1"/>
    </xf>
    <xf numFmtId="0" fontId="4" fillId="6" borderId="24" xfId="0" applyFont="1" applyFill="1" applyBorder="1" applyAlignment="1">
      <alignment horizontal="left" vertical="top" wrapText="1"/>
    </xf>
    <xf numFmtId="0" fontId="9" fillId="6" borderId="15" xfId="0" applyFont="1" applyFill="1" applyBorder="1" applyAlignment="1">
      <alignment horizontal="left" vertical="top" wrapText="1"/>
    </xf>
    <xf numFmtId="0" fontId="10" fillId="6" borderId="31" xfId="0" applyFont="1" applyFill="1" applyBorder="1" applyAlignment="1">
      <alignment horizontal="left" vertical="top" wrapText="1"/>
    </xf>
    <xf numFmtId="0" fontId="0" fillId="6" borderId="32" xfId="0" applyFill="1" applyBorder="1" applyAlignment="1">
      <alignment horizontal="left" vertical="top" wrapText="1"/>
    </xf>
    <xf numFmtId="0" fontId="0" fillId="7" borderId="15" xfId="0" applyFill="1" applyBorder="1" applyAlignment="1">
      <alignment vertical="top" wrapText="1"/>
    </xf>
    <xf numFmtId="0" fontId="0" fillId="7" borderId="26" xfId="0" applyFill="1" applyBorder="1" applyAlignment="1">
      <alignment vertical="top" wrapText="1"/>
    </xf>
    <xf numFmtId="0" fontId="11" fillId="7" borderId="5" xfId="0" applyFont="1" applyFill="1" applyBorder="1" applyAlignment="1">
      <alignment vertical="top" wrapText="1"/>
    </xf>
    <xf numFmtId="0" fontId="9" fillId="7" borderId="0" xfId="0" applyFont="1" applyFill="1" applyAlignment="1">
      <alignment horizontal="center" vertical="top" wrapText="1"/>
    </xf>
    <xf numFmtId="0" fontId="0" fillId="6" borderId="18" xfId="0" applyFill="1" applyBorder="1" applyAlignment="1">
      <alignment horizontal="left" vertical="top" wrapText="1"/>
    </xf>
    <xf numFmtId="0" fontId="0" fillId="7" borderId="0" xfId="0" applyFill="1" applyAlignment="1">
      <alignment vertical="top" wrapText="1"/>
    </xf>
    <xf numFmtId="0" fontId="0" fillId="7" borderId="25" xfId="0" applyFill="1" applyBorder="1" applyAlignment="1">
      <alignment vertical="top" wrapText="1"/>
    </xf>
    <xf numFmtId="0" fontId="11" fillId="7" borderId="27" xfId="0" applyFont="1" applyFill="1" applyBorder="1" applyAlignment="1">
      <alignment vertical="top" wrapText="1"/>
    </xf>
    <xf numFmtId="0" fontId="0" fillId="7" borderId="24" xfId="0" applyFill="1" applyBorder="1" applyAlignment="1">
      <alignment vertical="top" wrapText="1"/>
    </xf>
    <xf numFmtId="0" fontId="11" fillId="7" borderId="6" xfId="0" applyFont="1" applyFill="1" applyBorder="1" applyAlignment="1">
      <alignment vertical="top" wrapText="1"/>
    </xf>
    <xf numFmtId="0" fontId="0" fillId="0" borderId="6" xfId="0" applyBorder="1" applyAlignment="1">
      <alignment horizontal="left" vertical="top" wrapText="1"/>
    </xf>
    <xf numFmtId="4" fontId="7" fillId="4" borderId="16" xfId="2" applyNumberFormat="1" applyAlignment="1">
      <alignment horizontal="right" vertical="top" wrapText="1"/>
    </xf>
    <xf numFmtId="4" fontId="7" fillId="4" borderId="35" xfId="2" applyNumberFormat="1" applyBorder="1" applyAlignment="1">
      <alignment horizontal="right" vertical="top" wrapText="1"/>
    </xf>
    <xf numFmtId="0" fontId="9" fillId="7" borderId="6" xfId="0" applyFont="1" applyFill="1" applyBorder="1" applyAlignment="1">
      <alignment horizontal="left" vertical="top" wrapText="1"/>
    </xf>
    <xf numFmtId="4" fontId="7" fillId="4" borderId="36" xfId="2" applyNumberFormat="1" applyBorder="1" applyAlignment="1">
      <alignment horizontal="right" vertical="top" wrapText="1"/>
    </xf>
    <xf numFmtId="4" fontId="6" fillId="3" borderId="0" xfId="1" applyNumberFormat="1" applyBorder="1" applyAlignment="1">
      <alignment horizontal="right" vertical="top" wrapText="1"/>
    </xf>
    <xf numFmtId="0" fontId="7" fillId="4" borderId="16" xfId="2" applyAlignment="1">
      <alignment horizontal="left" vertical="top"/>
    </xf>
    <xf numFmtId="0" fontId="0" fillId="0" borderId="39" xfId="0" applyBorder="1" applyAlignment="1">
      <alignment horizontal="left" vertical="top" wrapText="1"/>
    </xf>
    <xf numFmtId="4" fontId="7" fillId="4" borderId="41" xfId="2" applyNumberFormat="1" applyBorder="1" applyAlignment="1">
      <alignment horizontal="right" vertical="top" wrapText="1"/>
    </xf>
    <xf numFmtId="4" fontId="7" fillId="4" borderId="44" xfId="2" applyNumberFormat="1" applyBorder="1" applyAlignment="1">
      <alignment horizontal="right" vertical="top" wrapText="1"/>
    </xf>
    <xf numFmtId="0" fontId="14" fillId="0" borderId="0" xfId="0" applyFont="1"/>
    <xf numFmtId="0" fontId="0" fillId="6" borderId="6" xfId="0" applyFill="1" applyBorder="1" applyAlignment="1">
      <alignment horizontal="left" vertical="top" wrapText="1"/>
    </xf>
    <xf numFmtId="0" fontId="9" fillId="7" borderId="64" xfId="0" applyFont="1" applyFill="1" applyBorder="1" applyAlignment="1">
      <alignment horizontal="left" vertical="top" wrapText="1"/>
    </xf>
    <xf numFmtId="0" fontId="0" fillId="7" borderId="29" xfId="0" applyFill="1" applyBorder="1" applyAlignment="1">
      <alignment vertical="top" wrapText="1"/>
    </xf>
    <xf numFmtId="0" fontId="11" fillId="7" borderId="30" xfId="0" applyFont="1" applyFill="1" applyBorder="1" applyAlignment="1">
      <alignment vertical="top" wrapText="1"/>
    </xf>
    <xf numFmtId="4" fontId="7" fillId="4" borderId="65" xfId="2" applyNumberFormat="1" applyBorder="1" applyAlignment="1">
      <alignment horizontal="right" vertical="top" wrapText="1"/>
    </xf>
    <xf numFmtId="4" fontId="7" fillId="4" borderId="66" xfId="2" applyNumberFormat="1" applyBorder="1" applyAlignment="1">
      <alignment horizontal="right" vertical="top" wrapText="1"/>
    </xf>
    <xf numFmtId="4" fontId="7" fillId="4" borderId="67" xfId="2" applyNumberFormat="1" applyBorder="1" applyAlignment="1">
      <alignment horizontal="right" vertical="top" wrapText="1"/>
    </xf>
    <xf numFmtId="4" fontId="7" fillId="4" borderId="68" xfId="2" applyNumberFormat="1" applyBorder="1" applyAlignment="1">
      <alignment horizontal="right" vertical="top" wrapText="1"/>
    </xf>
    <xf numFmtId="4" fontId="7" fillId="4" borderId="70" xfId="2" applyNumberFormat="1" applyBorder="1" applyAlignment="1">
      <alignment horizontal="right" vertical="top" wrapText="1"/>
    </xf>
    <xf numFmtId="0" fontId="0" fillId="0" borderId="69" xfId="0" applyBorder="1" applyAlignment="1">
      <alignment horizontal="left" vertical="top" wrapText="1"/>
    </xf>
    <xf numFmtId="0" fontId="10" fillId="6" borderId="34" xfId="0" applyFont="1" applyFill="1" applyBorder="1" applyAlignment="1">
      <alignment horizontal="left" vertical="top" wrapText="1"/>
    </xf>
    <xf numFmtId="0" fontId="0" fillId="6" borderId="27" xfId="0" applyFill="1" applyBorder="1" applyAlignment="1">
      <alignment horizontal="left" vertical="top" wrapText="1"/>
    </xf>
    <xf numFmtId="4" fontId="7" fillId="4" borderId="71" xfId="2" applyNumberFormat="1" applyBorder="1" applyAlignment="1">
      <alignment horizontal="right" vertical="top" wrapText="1"/>
    </xf>
    <xf numFmtId="4" fontId="7" fillId="4" borderId="72" xfId="2" applyNumberFormat="1" applyBorder="1" applyAlignment="1">
      <alignment horizontal="right" vertical="top" wrapText="1"/>
    </xf>
    <xf numFmtId="4" fontId="7" fillId="4" borderId="73" xfId="2" applyNumberFormat="1" applyBorder="1" applyAlignment="1">
      <alignment horizontal="right" vertical="top" wrapText="1"/>
    </xf>
    <xf numFmtId="0" fontId="0" fillId="6" borderId="8" xfId="0" applyFill="1" applyBorder="1" applyAlignment="1">
      <alignment horizontal="left" vertical="top" wrapText="1"/>
    </xf>
    <xf numFmtId="0" fontId="0" fillId="6" borderId="9" xfId="0" applyFill="1" applyBorder="1" applyAlignment="1">
      <alignment horizontal="left" vertical="top" wrapText="1"/>
    </xf>
    <xf numFmtId="0" fontId="6" fillId="3" borderId="74" xfId="1" applyBorder="1" applyAlignment="1">
      <alignment horizontal="right" vertical="top" wrapText="1"/>
    </xf>
    <xf numFmtId="4" fontId="7" fillId="4" borderId="35" xfId="2" applyNumberFormat="1" applyBorder="1" applyAlignment="1">
      <alignment horizontal="left" vertical="top" wrapText="1"/>
    </xf>
    <xf numFmtId="4" fontId="7" fillId="4" borderId="75" xfId="2" applyNumberFormat="1" applyBorder="1" applyAlignment="1">
      <alignment horizontal="right" vertical="top" wrapText="1"/>
    </xf>
    <xf numFmtId="4" fontId="7" fillId="4" borderId="76" xfId="2" applyNumberFormat="1" applyBorder="1" applyAlignment="1">
      <alignment horizontal="right" vertical="top" wrapText="1"/>
    </xf>
    <xf numFmtId="4" fontId="7" fillId="4" borderId="77" xfId="2" applyNumberFormat="1" applyBorder="1" applyAlignment="1">
      <alignment horizontal="right" vertical="top" wrapText="1"/>
    </xf>
    <xf numFmtId="0" fontId="0" fillId="0" borderId="0" xfId="0" applyAlignment="1">
      <alignment wrapText="1"/>
    </xf>
    <xf numFmtId="0" fontId="9" fillId="0" borderId="0" xfId="0" applyFont="1" applyAlignment="1">
      <alignment horizontal="left" vertical="top" wrapText="1"/>
    </xf>
    <xf numFmtId="0" fontId="9" fillId="0" borderId="28" xfId="0" applyFont="1" applyBorder="1" applyAlignment="1">
      <alignment horizontal="left" vertical="top" wrapText="1"/>
    </xf>
    <xf numFmtId="3" fontId="7" fillId="4" borderId="14" xfId="2" applyNumberFormat="1" applyBorder="1" applyAlignment="1">
      <alignment horizontal="right" vertical="top" wrapText="1"/>
    </xf>
    <xf numFmtId="3" fontId="7" fillId="4" borderId="24" xfId="2" applyNumberFormat="1" applyBorder="1" applyAlignment="1">
      <alignment horizontal="right" vertical="top" wrapText="1"/>
    </xf>
    <xf numFmtId="3" fontId="7" fillId="4" borderId="15" xfId="2" applyNumberFormat="1" applyBorder="1" applyAlignment="1">
      <alignment horizontal="right" vertical="top" wrapText="1"/>
    </xf>
    <xf numFmtId="0" fontId="0" fillId="0" borderId="8" xfId="0" applyBorder="1" applyAlignment="1">
      <alignment horizontal="left" vertical="top" wrapText="1"/>
    </xf>
    <xf numFmtId="0" fontId="0" fillId="0" borderId="74" xfId="0" applyBorder="1" applyAlignment="1">
      <alignment horizontal="left" vertical="top" wrapText="1"/>
    </xf>
    <xf numFmtId="0" fontId="0" fillId="0" borderId="9" xfId="0" applyBorder="1" applyAlignment="1">
      <alignment horizontal="left" vertical="top" wrapText="1"/>
    </xf>
    <xf numFmtId="0" fontId="9" fillId="6" borderId="22" xfId="0" applyFont="1" applyFill="1" applyBorder="1" applyAlignment="1">
      <alignment horizontal="center" vertical="top" wrapText="1"/>
    </xf>
    <xf numFmtId="3" fontId="7" fillId="4" borderId="14" xfId="2" applyNumberFormat="1" applyBorder="1" applyAlignment="1">
      <alignment vertical="top" wrapText="1"/>
    </xf>
    <xf numFmtId="3" fontId="7" fillId="4" borderId="24" xfId="2" applyNumberFormat="1" applyBorder="1" applyAlignment="1">
      <alignment vertical="top" wrapText="1"/>
    </xf>
    <xf numFmtId="3" fontId="7" fillId="4" borderId="15" xfId="2" applyNumberFormat="1" applyBorder="1" applyAlignment="1">
      <alignment vertical="top" wrapText="1"/>
    </xf>
    <xf numFmtId="0" fontId="9" fillId="7" borderId="30" xfId="0" applyFont="1" applyFill="1" applyBorder="1" applyAlignment="1">
      <alignment horizontal="left" vertical="top" wrapText="1"/>
    </xf>
    <xf numFmtId="0" fontId="9" fillId="11" borderId="6" xfId="0" applyFont="1" applyFill="1" applyBorder="1" applyAlignment="1">
      <alignment horizontal="left" vertical="top" wrapText="1"/>
    </xf>
    <xf numFmtId="3" fontId="7" fillId="4" borderId="66" xfId="2" applyNumberFormat="1" applyBorder="1" applyAlignment="1">
      <alignment horizontal="right" vertical="top" wrapText="1"/>
    </xf>
    <xf numFmtId="3" fontId="7" fillId="4" borderId="67" xfId="2" applyNumberFormat="1" applyBorder="1" applyAlignment="1">
      <alignment horizontal="right" vertical="top" wrapText="1"/>
    </xf>
    <xf numFmtId="0" fontId="9" fillId="10" borderId="30" xfId="0" applyFont="1" applyFill="1" applyBorder="1" applyAlignment="1">
      <alignment horizontal="left" vertical="top" wrapText="1"/>
    </xf>
    <xf numFmtId="0" fontId="9" fillId="11" borderId="30" xfId="0" applyFont="1" applyFill="1" applyBorder="1" applyAlignment="1">
      <alignment horizontal="left" vertical="top" wrapText="1"/>
    </xf>
    <xf numFmtId="0" fontId="26" fillId="0" borderId="0" xfId="0" applyFont="1" applyAlignment="1">
      <alignment horizontal="center"/>
    </xf>
    <xf numFmtId="0" fontId="27" fillId="0" borderId="0" xfId="0" applyFont="1"/>
    <xf numFmtId="49" fontId="27" fillId="0" borderId="0" xfId="0" applyNumberFormat="1" applyFont="1"/>
    <xf numFmtId="3" fontId="7" fillId="4" borderId="67" xfId="2" applyNumberFormat="1" applyBorder="1"/>
    <xf numFmtId="0" fontId="25" fillId="0" borderId="0" xfId="0" applyFont="1" applyAlignment="1">
      <alignment horizontal="center"/>
    </xf>
    <xf numFmtId="0" fontId="27" fillId="0" borderId="0" xfId="0" applyFont="1" applyAlignment="1">
      <alignment horizontal="center"/>
    </xf>
    <xf numFmtId="0" fontId="26" fillId="0" borderId="0" xfId="0" applyFont="1"/>
    <xf numFmtId="0" fontId="26" fillId="0" borderId="0" xfId="0" applyFont="1" applyAlignment="1">
      <alignment wrapText="1"/>
    </xf>
    <xf numFmtId="0" fontId="25" fillId="0" borderId="0" xfId="0" applyFont="1"/>
    <xf numFmtId="0" fontId="9" fillId="7" borderId="64" xfId="0" applyFont="1" applyFill="1" applyBorder="1" applyAlignment="1">
      <alignment horizontal="center" vertical="top" wrapText="1"/>
    </xf>
    <xf numFmtId="3" fontId="7" fillId="4" borderId="35" xfId="2" applyNumberFormat="1" applyBorder="1"/>
    <xf numFmtId="3" fontId="7" fillId="4" borderId="82" xfId="2" applyNumberFormat="1" applyBorder="1"/>
    <xf numFmtId="0" fontId="0" fillId="6" borderId="83" xfId="0" applyFill="1" applyBorder="1" applyAlignment="1">
      <alignment horizontal="center" vertical="top" wrapText="1"/>
    </xf>
    <xf numFmtId="3" fontId="7" fillId="4" borderId="76" xfId="2" applyNumberFormat="1" applyBorder="1" applyAlignment="1">
      <alignment horizontal="right"/>
    </xf>
    <xf numFmtId="3" fontId="7" fillId="4" borderId="77" xfId="2" applyNumberFormat="1" applyBorder="1" applyAlignment="1">
      <alignment horizontal="right"/>
    </xf>
    <xf numFmtId="3" fontId="7" fillId="4" borderId="64" xfId="2" applyNumberFormat="1" applyBorder="1"/>
    <xf numFmtId="3" fontId="7" fillId="4" borderId="30" xfId="2" applyNumberFormat="1" applyBorder="1"/>
    <xf numFmtId="3" fontId="7" fillId="4" borderId="84" xfId="2" applyNumberFormat="1" applyBorder="1"/>
    <xf numFmtId="0" fontId="24" fillId="0" borderId="14" xfId="0" applyFont="1" applyBorder="1"/>
    <xf numFmtId="0" fontId="24" fillId="0" borderId="23" xfId="0" applyFont="1" applyBorder="1"/>
    <xf numFmtId="0" fontId="26" fillId="0" borderId="24" xfId="0" applyFont="1" applyBorder="1"/>
    <xf numFmtId="0" fontId="8" fillId="0" borderId="0" xfId="0" applyFont="1"/>
    <xf numFmtId="0" fontId="0" fillId="0" borderId="37" xfId="0" applyBorder="1" applyAlignment="1">
      <alignment horizontal="left"/>
    </xf>
    <xf numFmtId="0" fontId="0" fillId="0" borderId="38" xfId="0" applyBorder="1" applyAlignment="1">
      <alignment horizontal="left"/>
    </xf>
    <xf numFmtId="0" fontId="0" fillId="6" borderId="81" xfId="0" applyFill="1" applyBorder="1" applyAlignment="1">
      <alignment horizontal="center" vertical="top" wrapText="1"/>
    </xf>
    <xf numFmtId="0" fontId="0" fillId="6" borderId="55" xfId="0" applyFill="1" applyBorder="1" applyAlignment="1">
      <alignment horizontal="center" vertical="top" wrapText="1"/>
    </xf>
    <xf numFmtId="0" fontId="0" fillId="6" borderId="56" xfId="0" applyFill="1" applyBorder="1" applyAlignment="1">
      <alignment horizontal="center" vertical="top" wrapText="1"/>
    </xf>
    <xf numFmtId="3" fontId="7" fillId="4" borderId="87" xfId="2" applyNumberFormat="1" applyBorder="1"/>
    <xf numFmtId="3" fontId="7" fillId="4" borderId="72" xfId="2" applyNumberFormat="1" applyBorder="1"/>
    <xf numFmtId="3" fontId="7" fillId="4" borderId="42" xfId="2" applyNumberFormat="1" applyBorder="1"/>
    <xf numFmtId="3" fontId="7" fillId="4" borderId="45" xfId="2" applyNumberFormat="1" applyBorder="1"/>
    <xf numFmtId="3" fontId="7" fillId="4" borderId="88" xfId="2" applyNumberFormat="1" applyBorder="1"/>
    <xf numFmtId="3" fontId="7" fillId="4" borderId="89" xfId="2" applyNumberFormat="1" applyBorder="1" applyAlignment="1">
      <alignment horizontal="right" vertical="top" wrapText="1"/>
    </xf>
    <xf numFmtId="3" fontId="7" fillId="4" borderId="50" xfId="2" applyNumberFormat="1" applyBorder="1" applyAlignment="1">
      <alignment horizontal="right" vertical="top" wrapText="1"/>
    </xf>
    <xf numFmtId="3" fontId="7" fillId="4" borderId="46" xfId="2" applyNumberFormat="1" applyBorder="1" applyAlignment="1">
      <alignment vertical="top" wrapText="1"/>
    </xf>
    <xf numFmtId="3" fontId="7" fillId="4" borderId="43" xfId="2" applyNumberFormat="1" applyBorder="1" applyAlignment="1">
      <alignment vertical="top" wrapText="1"/>
    </xf>
    <xf numFmtId="3" fontId="7" fillId="4" borderId="90" xfId="2" applyNumberFormat="1" applyBorder="1" applyAlignment="1">
      <alignment vertical="top" wrapText="1"/>
    </xf>
    <xf numFmtId="3" fontId="7" fillId="4" borderId="16" xfId="2" applyNumberFormat="1" applyAlignment="1">
      <alignment vertical="top" wrapText="1"/>
    </xf>
    <xf numFmtId="0" fontId="31" fillId="0" borderId="0" xfId="0" applyFont="1"/>
    <xf numFmtId="4" fontId="7" fillId="4" borderId="48" xfId="2" applyNumberFormat="1" applyBorder="1" applyAlignment="1">
      <alignment horizontal="right" vertical="top" wrapText="1"/>
    </xf>
    <xf numFmtId="4" fontId="0" fillId="0" borderId="0" xfId="0" applyNumberFormat="1" applyAlignment="1">
      <alignment horizontal="left" vertical="top" wrapText="1"/>
    </xf>
    <xf numFmtId="0" fontId="2" fillId="6" borderId="53" xfId="0" applyFont="1" applyFill="1" applyBorder="1" applyAlignment="1">
      <alignment horizontal="center" vertical="top" wrapText="1"/>
    </xf>
    <xf numFmtId="0" fontId="2" fillId="6" borderId="81" xfId="0" applyFont="1" applyFill="1" applyBorder="1" applyAlignment="1">
      <alignment horizontal="center" vertical="top" wrapText="1"/>
    </xf>
    <xf numFmtId="0" fontId="2" fillId="6" borderId="55" xfId="0" applyFont="1" applyFill="1" applyBorder="1" applyAlignment="1">
      <alignment horizontal="center" vertical="top" wrapText="1"/>
    </xf>
    <xf numFmtId="0" fontId="2" fillId="6" borderId="56" xfId="0" applyFont="1" applyFill="1" applyBorder="1" applyAlignment="1">
      <alignment horizontal="center" vertical="top" wrapText="1"/>
    </xf>
    <xf numFmtId="0" fontId="2" fillId="0" borderId="37" xfId="0" applyFont="1" applyBorder="1" applyAlignment="1">
      <alignment horizontal="left"/>
    </xf>
    <xf numFmtId="3" fontId="7" fillId="4" borderId="92" xfId="2" applyNumberFormat="1" applyBorder="1"/>
    <xf numFmtId="3" fontId="7" fillId="4" borderId="16" xfId="2" applyNumberFormat="1"/>
    <xf numFmtId="4" fontId="7" fillId="4" borderId="93" xfId="2" applyNumberFormat="1" applyBorder="1" applyAlignment="1">
      <alignment horizontal="right" vertical="top" wrapText="1"/>
    </xf>
    <xf numFmtId="4" fontId="7" fillId="0" borderId="0" xfId="2" applyNumberFormat="1" applyFill="1" applyBorder="1" applyAlignment="1">
      <alignment horizontal="right" vertical="top" wrapText="1"/>
    </xf>
    <xf numFmtId="4" fontId="0" fillId="0" borderId="0" xfId="0" applyNumberFormat="1"/>
    <xf numFmtId="4" fontId="7" fillId="4" borderId="95" xfId="2" applyNumberFormat="1" applyBorder="1" applyAlignment="1">
      <alignment horizontal="right" vertical="top" wrapText="1"/>
    </xf>
    <xf numFmtId="0" fontId="0" fillId="0" borderId="0" xfId="0" applyAlignment="1">
      <alignment horizontal="center" vertical="top" wrapText="1"/>
    </xf>
    <xf numFmtId="0" fontId="0" fillId="0" borderId="0" xfId="0" applyAlignment="1">
      <alignment horizontal="center" vertical="top"/>
    </xf>
    <xf numFmtId="0" fontId="0" fillId="0" borderId="6" xfId="0" applyBorder="1"/>
    <xf numFmtId="0" fontId="0" fillId="0" borderId="5" xfId="0" applyBorder="1"/>
    <xf numFmtId="0" fontId="0" fillId="0" borderId="60" xfId="0" applyBorder="1" applyAlignment="1">
      <alignment horizontal="center" vertical="center"/>
    </xf>
    <xf numFmtId="0" fontId="0" fillId="0" borderId="13" xfId="0" applyBorder="1"/>
    <xf numFmtId="4" fontId="7" fillId="4" borderId="108" xfId="2" applyNumberFormat="1" applyBorder="1" applyAlignment="1">
      <alignment horizontal="right" vertical="top" wrapText="1"/>
    </xf>
    <xf numFmtId="4" fontId="7" fillId="4" borderId="107" xfId="2" applyNumberFormat="1" applyBorder="1" applyAlignment="1">
      <alignment horizontal="right" vertical="top" wrapText="1"/>
    </xf>
    <xf numFmtId="2" fontId="31" fillId="0" borderId="0" xfId="0" applyNumberFormat="1" applyFont="1"/>
    <xf numFmtId="0" fontId="0" fillId="0" borderId="0" xfId="0" applyAlignment="1">
      <alignment vertical="center"/>
    </xf>
    <xf numFmtId="0" fontId="0" fillId="0" borderId="0" xfId="0" applyAlignment="1">
      <alignment horizontal="left" vertical="center"/>
    </xf>
    <xf numFmtId="0" fontId="9" fillId="0" borderId="28" xfId="0" applyFont="1" applyBorder="1" applyAlignment="1">
      <alignment horizontal="left" vertical="center" wrapText="1"/>
    </xf>
    <xf numFmtId="0" fontId="32" fillId="0" borderId="28" xfId="0" applyFont="1" applyBorder="1" applyAlignment="1">
      <alignment horizontal="left" vertical="center" wrapText="1"/>
    </xf>
    <xf numFmtId="4" fontId="34" fillId="4" borderId="108" xfId="2" applyNumberFormat="1" applyFont="1" applyBorder="1" applyAlignment="1">
      <alignment horizontal="left" vertical="center" wrapText="1"/>
    </xf>
    <xf numFmtId="4" fontId="7" fillId="13" borderId="107" xfId="2" applyNumberFormat="1" applyFill="1" applyBorder="1" applyAlignment="1">
      <alignment horizontal="right" vertical="center" wrapText="1"/>
    </xf>
    <xf numFmtId="166" fontId="33" fillId="13" borderId="107" xfId="4" applyNumberFormat="1" applyFont="1" applyFill="1" applyBorder="1" applyAlignment="1">
      <alignment horizontal="right" vertical="center" wrapText="1"/>
    </xf>
    <xf numFmtId="3" fontId="33" fillId="13" borderId="107" xfId="4" applyNumberFormat="1" applyFont="1" applyFill="1" applyBorder="1" applyAlignment="1">
      <alignment horizontal="right" vertical="center" wrapText="1"/>
    </xf>
    <xf numFmtId="0" fontId="35" fillId="0" borderId="0" xfId="0" applyFont="1" applyAlignment="1">
      <alignment horizontal="right" vertical="center"/>
    </xf>
    <xf numFmtId="4" fontId="36" fillId="9" borderId="107" xfId="2" applyNumberFormat="1" applyFont="1" applyFill="1" applyBorder="1" applyAlignment="1">
      <alignment horizontal="right" vertical="center" wrapText="1"/>
    </xf>
    <xf numFmtId="166" fontId="37" fillId="9" borderId="107" xfId="4" applyNumberFormat="1" applyFont="1" applyFill="1" applyBorder="1" applyAlignment="1">
      <alignment horizontal="right" vertical="center" wrapText="1"/>
    </xf>
    <xf numFmtId="0" fontId="38" fillId="0" borderId="0" xfId="0" applyFont="1" applyAlignment="1">
      <alignment vertical="center"/>
    </xf>
    <xf numFmtId="3" fontId="37" fillId="9" borderId="107" xfId="4" applyNumberFormat="1" applyFont="1" applyFill="1" applyBorder="1" applyAlignment="1">
      <alignment horizontal="right" vertical="center" wrapText="1"/>
    </xf>
    <xf numFmtId="1" fontId="39" fillId="3" borderId="5" xfId="1" applyNumberFormat="1" applyFont="1" applyBorder="1" applyAlignment="1">
      <alignment horizontal="right" vertical="top" wrapText="1"/>
    </xf>
    <xf numFmtId="0" fontId="28" fillId="0" borderId="0" xfId="0" applyFont="1"/>
    <xf numFmtId="0" fontId="9" fillId="0" borderId="0" xfId="0" applyFont="1" applyAlignment="1">
      <alignment horizontal="center" vertical="top" wrapText="1"/>
    </xf>
    <xf numFmtId="3" fontId="7" fillId="0" borderId="0" xfId="2" applyNumberFormat="1" applyFill="1" applyBorder="1"/>
    <xf numFmtId="0" fontId="8" fillId="0" borderId="56" xfId="0" applyFont="1" applyBorder="1"/>
    <xf numFmtId="0" fontId="8" fillId="0" borderId="110" xfId="0" applyFont="1" applyBorder="1"/>
    <xf numFmtId="0" fontId="0" fillId="0" borderId="111" xfId="0" applyBorder="1" applyAlignment="1">
      <alignment horizontal="left"/>
    </xf>
    <xf numFmtId="0" fontId="9" fillId="7" borderId="30" xfId="0" applyFont="1" applyFill="1" applyBorder="1" applyAlignment="1">
      <alignment horizontal="center" vertical="top" wrapText="1"/>
    </xf>
    <xf numFmtId="0" fontId="0" fillId="0" borderId="6" xfId="0" applyBorder="1" applyAlignment="1">
      <alignment horizontal="right"/>
    </xf>
    <xf numFmtId="0" fontId="28" fillId="0" borderId="6" xfId="0" applyFont="1" applyBorder="1"/>
    <xf numFmtId="0" fontId="30" fillId="0" borderId="24" xfId="0" applyFont="1" applyBorder="1"/>
    <xf numFmtId="9" fontId="0" fillId="0" borderId="19" xfId="4" applyFont="1" applyBorder="1" applyAlignment="1">
      <alignment wrapText="1"/>
    </xf>
    <xf numFmtId="4" fontId="0" fillId="0" borderId="20" xfId="0" applyNumberFormat="1" applyBorder="1" applyAlignment="1">
      <alignment wrapText="1"/>
    </xf>
    <xf numFmtId="9" fontId="0" fillId="0" borderId="0" xfId="4" applyFont="1"/>
    <xf numFmtId="4" fontId="0" fillId="0" borderId="20" xfId="0" applyNumberFormat="1" applyBorder="1"/>
    <xf numFmtId="9" fontId="0" fillId="0" borderId="0" xfId="4" applyFont="1" applyBorder="1" applyAlignment="1">
      <alignment wrapText="1"/>
    </xf>
    <xf numFmtId="2" fontId="0" fillId="0" borderId="20" xfId="0" applyNumberFormat="1" applyBorder="1" applyAlignment="1">
      <alignment wrapText="1"/>
    </xf>
    <xf numFmtId="2" fontId="0" fillId="0" borderId="114" xfId="0" applyNumberFormat="1" applyBorder="1" applyAlignment="1">
      <alignment wrapText="1"/>
    </xf>
    <xf numFmtId="2" fontId="0" fillId="0" borderId="20" xfId="0" applyNumberFormat="1" applyBorder="1"/>
    <xf numFmtId="2" fontId="0" fillId="0" borderId="114" xfId="0" applyNumberFormat="1" applyBorder="1"/>
    <xf numFmtId="9" fontId="8" fillId="10" borderId="19" xfId="4" applyFont="1" applyFill="1" applyBorder="1" applyAlignment="1">
      <alignment wrapText="1"/>
    </xf>
    <xf numFmtId="9" fontId="8" fillId="10" borderId="113" xfId="4" applyFont="1" applyFill="1" applyBorder="1" applyAlignment="1">
      <alignment wrapText="1"/>
    </xf>
    <xf numFmtId="9" fontId="8" fillId="10" borderId="19" xfId="4" applyFont="1" applyFill="1" applyBorder="1"/>
    <xf numFmtId="9" fontId="8" fillId="10" borderId="113" xfId="4" applyFont="1" applyFill="1" applyBorder="1"/>
    <xf numFmtId="0" fontId="8" fillId="10" borderId="0" xfId="0" applyFont="1" applyFill="1" applyAlignment="1">
      <alignment wrapText="1"/>
    </xf>
    <xf numFmtId="4" fontId="8" fillId="10" borderId="0" xfId="0" applyNumberFormat="1" applyFont="1" applyFill="1" applyAlignment="1">
      <alignment wrapText="1"/>
    </xf>
    <xf numFmtId="0" fontId="8" fillId="10" borderId="20" xfId="0" applyFont="1" applyFill="1" applyBorder="1" applyAlignment="1">
      <alignment horizontal="right" wrapText="1"/>
    </xf>
    <xf numFmtId="0" fontId="8" fillId="10" borderId="19" xfId="0" applyFont="1" applyFill="1" applyBorder="1" applyAlignment="1">
      <alignment horizontal="right" wrapText="1"/>
    </xf>
    <xf numFmtId="0" fontId="8" fillId="10" borderId="112" xfId="0" applyFont="1" applyFill="1" applyBorder="1" applyAlignment="1">
      <alignment horizontal="right"/>
    </xf>
    <xf numFmtId="0" fontId="8" fillId="10" borderId="106" xfId="0" applyFont="1" applyFill="1" applyBorder="1" applyAlignment="1">
      <alignment horizontal="right"/>
    </xf>
    <xf numFmtId="4" fontId="0" fillId="0" borderId="0" xfId="0" applyNumberFormat="1" applyAlignment="1">
      <alignment wrapText="1"/>
    </xf>
    <xf numFmtId="2" fontId="0" fillId="0" borderId="0" xfId="0" applyNumberFormat="1" applyAlignment="1">
      <alignment wrapText="1"/>
    </xf>
    <xf numFmtId="0" fontId="8" fillId="0" borderId="0" xfId="0" applyFont="1" applyAlignment="1">
      <alignment horizontal="center" vertical="center" wrapText="1"/>
    </xf>
    <xf numFmtId="0" fontId="8" fillId="0" borderId="0" xfId="0" applyFont="1" applyAlignment="1">
      <alignment horizontal="right" wrapText="1"/>
    </xf>
    <xf numFmtId="4" fontId="8" fillId="0" borderId="0" xfId="0" applyNumberFormat="1" applyFont="1" applyAlignment="1">
      <alignment wrapText="1"/>
    </xf>
    <xf numFmtId="9" fontId="8" fillId="17" borderId="20" xfId="4" applyFont="1" applyFill="1" applyBorder="1" applyAlignment="1">
      <alignment wrapText="1"/>
    </xf>
    <xf numFmtId="2" fontId="0" fillId="0" borderId="0" xfId="0" applyNumberFormat="1"/>
    <xf numFmtId="9" fontId="8" fillId="17" borderId="21" xfId="4" applyFont="1" applyFill="1" applyBorder="1" applyAlignment="1">
      <alignment wrapText="1"/>
    </xf>
    <xf numFmtId="2" fontId="0" fillId="0" borderId="21" xfId="0" applyNumberFormat="1" applyBorder="1" applyAlignment="1">
      <alignment wrapText="1"/>
    </xf>
    <xf numFmtId="2" fontId="0" fillId="0" borderId="21" xfId="0" applyNumberFormat="1" applyBorder="1"/>
    <xf numFmtId="9" fontId="8" fillId="17" borderId="113" xfId="4" applyFont="1" applyFill="1" applyBorder="1" applyAlignment="1">
      <alignment wrapText="1"/>
    </xf>
    <xf numFmtId="9" fontId="8" fillId="17" borderId="114" xfId="4" applyFont="1" applyFill="1" applyBorder="1" applyAlignment="1">
      <alignment wrapText="1"/>
    </xf>
    <xf numFmtId="9" fontId="8" fillId="17" borderId="106" xfId="4" applyFont="1" applyFill="1" applyBorder="1" applyAlignment="1">
      <alignment wrapText="1"/>
    </xf>
    <xf numFmtId="0" fontId="0" fillId="15" borderId="55" xfId="0" applyFill="1" applyBorder="1"/>
    <xf numFmtId="0" fontId="0" fillId="15" borderId="22" xfId="0" applyFill="1" applyBorder="1"/>
    <xf numFmtId="0" fontId="0" fillId="15" borderId="80" xfId="0" applyFill="1" applyBorder="1"/>
    <xf numFmtId="0" fontId="0" fillId="15" borderId="104" xfId="0" applyFill="1" applyBorder="1"/>
    <xf numFmtId="0" fontId="0" fillId="0" borderId="0" xfId="0" applyAlignment="1">
      <alignment horizontal="center"/>
    </xf>
    <xf numFmtId="0" fontId="8" fillId="17" borderId="0" xfId="0" applyFont="1" applyFill="1"/>
    <xf numFmtId="0" fontId="8" fillId="17" borderId="0" xfId="0" applyFont="1" applyFill="1" applyAlignment="1">
      <alignment horizontal="left"/>
    </xf>
    <xf numFmtId="0" fontId="8" fillId="0" borderId="64" xfId="0" applyFont="1" applyBorder="1" applyAlignment="1">
      <alignment horizontal="center" vertical="center" wrapText="1"/>
    </xf>
    <xf numFmtId="0" fontId="29" fillId="0" borderId="123" xfId="0" applyFont="1" applyBorder="1" applyAlignment="1">
      <alignment horizontal="center" wrapText="1"/>
    </xf>
    <xf numFmtId="0" fontId="29" fillId="0" borderId="125" xfId="0" applyFont="1" applyBorder="1" applyAlignment="1">
      <alignment wrapText="1"/>
    </xf>
    <xf numFmtId="0" fontId="8" fillId="0" borderId="0" xfId="0" applyFont="1" applyAlignment="1">
      <alignment horizontal="center"/>
    </xf>
    <xf numFmtId="0" fontId="8" fillId="0" borderId="0" xfId="0" applyFont="1" applyAlignment="1">
      <alignment vertical="center"/>
    </xf>
    <xf numFmtId="0" fontId="8" fillId="0" borderId="126" xfId="0" applyFont="1" applyBorder="1" applyAlignment="1">
      <alignment horizontal="center" vertical="center" wrapText="1"/>
    </xf>
    <xf numFmtId="0" fontId="8" fillId="0" borderId="0" xfId="0" applyFont="1" applyAlignment="1">
      <alignment horizontal="center" vertical="center"/>
    </xf>
    <xf numFmtId="0" fontId="8" fillId="0" borderId="120" xfId="0" applyFont="1" applyBorder="1" applyAlignment="1">
      <alignment horizontal="center" vertical="center" wrapText="1"/>
    </xf>
    <xf numFmtId="0" fontId="0" fillId="0" borderId="0" xfId="0" applyAlignment="1">
      <alignment horizontal="left"/>
    </xf>
    <xf numFmtId="0" fontId="0" fillId="0" borderId="120" xfId="0" applyBorder="1" applyAlignment="1">
      <alignment horizontal="center" vertical="center" wrapText="1"/>
    </xf>
    <xf numFmtId="0" fontId="0" fillId="0" borderId="121" xfId="0" applyBorder="1" applyAlignment="1">
      <alignment horizontal="center" vertical="center" wrapText="1"/>
    </xf>
    <xf numFmtId="0" fontId="0" fillId="15" borderId="103" xfId="0" applyFill="1" applyBorder="1"/>
    <xf numFmtId="0" fontId="0" fillId="15" borderId="104" xfId="0" applyFill="1" applyBorder="1" applyAlignment="1">
      <alignment horizontal="center"/>
    </xf>
    <xf numFmtId="0" fontId="0" fillId="15" borderId="22" xfId="0" applyFill="1" applyBorder="1" applyAlignment="1">
      <alignment horizontal="center"/>
    </xf>
    <xf numFmtId="0" fontId="0" fillId="15" borderId="103" xfId="0" applyFill="1" applyBorder="1" applyAlignment="1">
      <alignment horizontal="center"/>
    </xf>
    <xf numFmtId="0" fontId="29" fillId="0" borderId="122" xfId="0" applyFont="1" applyBorder="1" applyAlignment="1">
      <alignment horizontal="center" wrapText="1"/>
    </xf>
    <xf numFmtId="0" fontId="0" fillId="15" borderId="114" xfId="0" applyFill="1" applyBorder="1" applyAlignment="1">
      <alignment horizontal="center"/>
    </xf>
    <xf numFmtId="0" fontId="30" fillId="9" borderId="64" xfId="0" applyFont="1" applyFill="1" applyBorder="1" applyAlignment="1">
      <alignment horizontal="left" vertical="top"/>
    </xf>
    <xf numFmtId="0" fontId="0" fillId="15" borderId="126" xfId="0" applyFill="1" applyBorder="1"/>
    <xf numFmtId="0" fontId="0" fillId="15" borderId="120" xfId="0" applyFill="1" applyBorder="1" applyAlignment="1">
      <alignment horizontal="left"/>
    </xf>
    <xf numFmtId="0" fontId="0" fillId="15" borderId="120" xfId="0" applyFill="1" applyBorder="1" applyAlignment="1">
      <alignment horizontal="center"/>
    </xf>
    <xf numFmtId="0" fontId="0" fillId="15" borderId="121" xfId="0" applyFill="1" applyBorder="1"/>
    <xf numFmtId="0" fontId="29" fillId="0" borderId="124" xfId="0" applyFont="1" applyBorder="1" applyAlignment="1">
      <alignment wrapText="1"/>
    </xf>
    <xf numFmtId="0" fontId="0" fillId="15" borderId="113" xfId="0" applyFill="1" applyBorder="1" applyAlignment="1">
      <alignment horizontal="center"/>
    </xf>
    <xf numFmtId="0" fontId="0" fillId="15" borderId="115" xfId="0" applyFill="1" applyBorder="1" applyAlignment="1">
      <alignment horizontal="center"/>
    </xf>
    <xf numFmtId="0" fontId="0" fillId="15" borderId="115" xfId="0" applyFill="1" applyBorder="1"/>
    <xf numFmtId="0" fontId="29" fillId="0" borderId="29" xfId="0" applyFont="1" applyBorder="1" applyAlignment="1">
      <alignment horizontal="center" wrapText="1"/>
    </xf>
    <xf numFmtId="0" fontId="0" fillId="15" borderId="126" xfId="0" applyFill="1" applyBorder="1" applyAlignment="1">
      <alignment horizontal="center"/>
    </xf>
    <xf numFmtId="0" fontId="44" fillId="0" borderId="0" xfId="0" applyFont="1"/>
    <xf numFmtId="0" fontId="8" fillId="9" borderId="127" xfId="0" applyFont="1" applyFill="1" applyBorder="1"/>
    <xf numFmtId="0" fontId="8" fillId="9" borderId="123" xfId="0" applyFont="1" applyFill="1" applyBorder="1"/>
    <xf numFmtId="0" fontId="8" fillId="9" borderId="125" xfId="0" applyFont="1" applyFill="1" applyBorder="1"/>
    <xf numFmtId="0" fontId="0" fillId="23" borderId="104" xfId="0" applyFill="1" applyBorder="1"/>
    <xf numFmtId="0" fontId="0" fillId="23" borderId="22" xfId="0" applyFill="1" applyBorder="1"/>
    <xf numFmtId="0" fontId="29" fillId="15" borderId="22" xfId="0" applyFont="1" applyFill="1" applyBorder="1"/>
    <xf numFmtId="0" fontId="8" fillId="0" borderId="55" xfId="0" applyFont="1" applyBorder="1" applyAlignment="1">
      <alignment horizontal="center"/>
    </xf>
    <xf numFmtId="0" fontId="8" fillId="0" borderId="0" xfId="0" applyFont="1" applyAlignment="1">
      <alignment vertical="top" wrapText="1"/>
    </xf>
    <xf numFmtId="0" fontId="8" fillId="0" borderId="0" xfId="0" applyFont="1" applyAlignment="1">
      <alignment vertical="top"/>
    </xf>
    <xf numFmtId="4" fontId="13" fillId="5" borderId="40" xfId="3" applyNumberFormat="1" applyFont="1" applyBorder="1" applyAlignment="1" applyProtection="1">
      <alignment horizontal="right" vertical="top" wrapText="1"/>
      <protection locked="0"/>
    </xf>
    <xf numFmtId="4" fontId="13" fillId="5" borderId="17" xfId="3" applyNumberFormat="1" applyFont="1" applyAlignment="1" applyProtection="1">
      <alignment horizontal="right" vertical="top" wrapText="1"/>
      <protection locked="0"/>
    </xf>
    <xf numFmtId="4" fontId="13" fillId="5" borderId="94" xfId="3" applyNumberFormat="1" applyFont="1" applyBorder="1" applyAlignment="1" applyProtection="1">
      <alignment horizontal="right" vertical="top" wrapText="1"/>
      <protection locked="0"/>
    </xf>
    <xf numFmtId="4" fontId="13" fillId="5" borderId="91" xfId="3" applyNumberFormat="1" applyFont="1" applyBorder="1" applyAlignment="1" applyProtection="1">
      <alignment horizontal="right" vertical="top" wrapText="1"/>
      <protection locked="0"/>
    </xf>
    <xf numFmtId="0" fontId="0" fillId="16" borderId="0" xfId="0" applyFill="1" applyAlignment="1">
      <alignment horizontal="left" vertical="top" wrapText="1"/>
    </xf>
    <xf numFmtId="0" fontId="29" fillId="0" borderId="0" xfId="0" applyFont="1" applyAlignment="1">
      <alignment horizontal="left" vertical="top" wrapText="1"/>
    </xf>
    <xf numFmtId="0" fontId="9" fillId="16" borderId="0" xfId="0" applyFont="1" applyFill="1" applyAlignment="1">
      <alignment horizontal="left" vertical="top" wrapText="1"/>
    </xf>
    <xf numFmtId="0" fontId="9" fillId="16" borderId="15" xfId="0" applyFont="1" applyFill="1" applyBorder="1" applyAlignment="1">
      <alignment horizontal="left" vertical="top" wrapText="1"/>
    </xf>
    <xf numFmtId="0" fontId="9" fillId="16" borderId="26" xfId="0" applyFont="1" applyFill="1" applyBorder="1" applyAlignment="1">
      <alignment horizontal="left" vertical="top" wrapText="1"/>
    </xf>
    <xf numFmtId="0" fontId="9" fillId="16" borderId="5" xfId="0" applyFont="1" applyFill="1" applyBorder="1" applyAlignment="1">
      <alignment horizontal="left" vertical="top" wrapText="1"/>
    </xf>
    <xf numFmtId="0" fontId="9" fillId="16" borderId="0" xfId="0" applyFont="1" applyFill="1" applyAlignment="1">
      <alignment horizontal="center" vertical="top" wrapText="1"/>
    </xf>
    <xf numFmtId="0" fontId="9" fillId="16" borderId="27" xfId="0" applyFont="1" applyFill="1" applyBorder="1" applyAlignment="1">
      <alignment horizontal="center" vertical="top" wrapText="1"/>
    </xf>
    <xf numFmtId="0" fontId="12" fillId="0" borderId="0" xfId="0" applyFont="1" applyAlignment="1">
      <alignment horizontal="left" vertical="top" wrapText="1"/>
    </xf>
    <xf numFmtId="0" fontId="0" fillId="0" borderId="13" xfId="0" applyBorder="1" applyAlignment="1">
      <alignment horizontal="left" vertical="top" wrapText="1"/>
    </xf>
    <xf numFmtId="167" fontId="0" fillId="0" borderId="14" xfId="5" applyNumberFormat="1" applyFont="1" applyBorder="1" applyAlignment="1" applyProtection="1">
      <alignment horizontal="center" vertical="center" wrapText="1"/>
    </xf>
    <xf numFmtId="167" fontId="0" fillId="0" borderId="23" xfId="5" applyNumberFormat="1" applyFont="1" applyBorder="1" applyAlignment="1" applyProtection="1">
      <alignment horizontal="center" vertical="center" wrapText="1"/>
    </xf>
    <xf numFmtId="167" fontId="0" fillId="0" borderId="13" xfId="5" applyNumberFormat="1" applyFont="1" applyBorder="1" applyAlignment="1" applyProtection="1">
      <alignment horizontal="center" vertical="center" wrapText="1"/>
    </xf>
    <xf numFmtId="167" fontId="13" fillId="5" borderId="78" xfId="5" applyNumberFormat="1" applyFont="1" applyFill="1" applyBorder="1" applyAlignment="1" applyProtection="1">
      <alignment horizontal="center" vertical="center" wrapText="1"/>
    </xf>
    <xf numFmtId="167" fontId="13" fillId="5" borderId="51" xfId="5" applyNumberFormat="1" applyFont="1" applyFill="1" applyBorder="1" applyAlignment="1" applyProtection="1">
      <alignment horizontal="center" vertical="center" wrapText="1"/>
    </xf>
    <xf numFmtId="167" fontId="42" fillId="18" borderId="51" xfId="5" applyNumberFormat="1" applyFont="1" applyFill="1" applyBorder="1" applyAlignment="1" applyProtection="1">
      <alignment horizontal="center" vertical="center" wrapText="1"/>
    </xf>
    <xf numFmtId="9" fontId="29" fillId="0" borderId="0" xfId="4" applyFont="1" applyAlignment="1" applyProtection="1">
      <alignment horizontal="left" vertical="top" wrapText="1"/>
    </xf>
    <xf numFmtId="167" fontId="0" fillId="0" borderId="24" xfId="5" applyNumberFormat="1" applyFont="1" applyBorder="1" applyAlignment="1" applyProtection="1">
      <alignment horizontal="center" vertical="center" wrapText="1"/>
    </xf>
    <xf numFmtId="167" fontId="0" fillId="0" borderId="0" xfId="5" applyNumberFormat="1" applyFont="1" applyBorder="1" applyAlignment="1" applyProtection="1">
      <alignment horizontal="center" vertical="center" wrapText="1"/>
    </xf>
    <xf numFmtId="167" fontId="0" fillId="0" borderId="6" xfId="5" applyNumberFormat="1" applyFont="1" applyBorder="1" applyAlignment="1" applyProtection="1">
      <alignment horizontal="center" vertical="center" wrapText="1"/>
    </xf>
    <xf numFmtId="167" fontId="42" fillId="18" borderId="17" xfId="5" applyNumberFormat="1" applyFont="1" applyFill="1" applyBorder="1" applyAlignment="1" applyProtection="1">
      <alignment horizontal="center" vertical="center" wrapText="1"/>
    </xf>
    <xf numFmtId="0" fontId="0" fillId="0" borderId="5" xfId="0" applyBorder="1" applyAlignment="1">
      <alignment horizontal="left" vertical="top" wrapText="1"/>
    </xf>
    <xf numFmtId="167" fontId="0" fillId="0" borderId="15" xfId="5" applyNumberFormat="1" applyFont="1" applyBorder="1" applyAlignment="1" applyProtection="1">
      <alignment horizontal="center" vertical="center" wrapText="1"/>
    </xf>
    <xf numFmtId="167" fontId="0" fillId="0" borderId="26" xfId="5" applyNumberFormat="1" applyFont="1" applyBorder="1" applyAlignment="1" applyProtection="1">
      <alignment horizontal="center" vertical="center" wrapText="1"/>
    </xf>
    <xf numFmtId="167" fontId="0" fillId="0" borderId="5" xfId="5" applyNumberFormat="1" applyFont="1" applyBorder="1" applyAlignment="1" applyProtection="1">
      <alignment horizontal="center" vertical="center" wrapText="1"/>
    </xf>
    <xf numFmtId="167" fontId="42" fillId="18" borderId="52" xfId="5" applyNumberFormat="1" applyFont="1" applyFill="1" applyBorder="1" applyAlignment="1" applyProtection="1">
      <alignment horizontal="center" vertical="center" wrapText="1"/>
    </xf>
    <xf numFmtId="168" fontId="0" fillId="0" borderId="14" xfId="0" applyNumberFormat="1" applyBorder="1" applyAlignment="1">
      <alignment horizontal="center" vertical="center" wrapText="1"/>
    </xf>
    <xf numFmtId="168" fontId="0" fillId="0" borderId="23" xfId="0" applyNumberFormat="1" applyBorder="1" applyAlignment="1">
      <alignment horizontal="center" vertical="center" wrapText="1"/>
    </xf>
    <xf numFmtId="168" fontId="0" fillId="0" borderId="13" xfId="0" applyNumberFormat="1" applyBorder="1" applyAlignment="1">
      <alignment horizontal="center" vertical="center" wrapText="1"/>
    </xf>
    <xf numFmtId="168" fontId="42" fillId="18" borderId="51" xfId="3" applyNumberFormat="1" applyFont="1" applyFill="1" applyBorder="1" applyAlignment="1" applyProtection="1">
      <alignment horizontal="center" vertical="center" wrapText="1"/>
    </xf>
    <xf numFmtId="168" fontId="0" fillId="0" borderId="24" xfId="0" applyNumberFormat="1" applyBorder="1" applyAlignment="1">
      <alignment horizontal="center" vertical="center" wrapText="1"/>
    </xf>
    <xf numFmtId="168" fontId="0" fillId="0" borderId="0" xfId="0" applyNumberFormat="1" applyAlignment="1">
      <alignment horizontal="center" vertical="center" wrapText="1"/>
    </xf>
    <xf numFmtId="168" fontId="0" fillId="0" borderId="6" xfId="0" applyNumberFormat="1" applyBorder="1" applyAlignment="1">
      <alignment horizontal="center" vertical="center" wrapText="1"/>
    </xf>
    <xf numFmtId="168" fontId="42" fillId="18" borderId="17" xfId="3" applyNumberFormat="1" applyFont="1" applyFill="1" applyAlignment="1" applyProtection="1">
      <alignment horizontal="center" vertical="center" wrapText="1"/>
    </xf>
    <xf numFmtId="168" fontId="0" fillId="0" borderId="15" xfId="0" applyNumberFormat="1" applyBorder="1" applyAlignment="1">
      <alignment horizontal="center" vertical="center" wrapText="1"/>
    </xf>
    <xf numFmtId="168" fontId="0" fillId="0" borderId="26" xfId="0" applyNumberFormat="1" applyBorder="1" applyAlignment="1">
      <alignment horizontal="center" vertical="center" wrapText="1"/>
    </xf>
    <xf numFmtId="168" fontId="0" fillId="0" borderId="5" xfId="0" applyNumberFormat="1" applyBorder="1" applyAlignment="1">
      <alignment horizontal="center" vertical="center" wrapText="1"/>
    </xf>
    <xf numFmtId="168" fontId="42" fillId="18" borderId="52" xfId="3" applyNumberFormat="1" applyFont="1" applyFill="1" applyBorder="1" applyAlignment="1" applyProtection="1">
      <alignment horizontal="center" vertical="center" wrapText="1"/>
    </xf>
    <xf numFmtId="9" fontId="29" fillId="0" borderId="18" xfId="0" applyNumberFormat="1" applyFont="1" applyBorder="1" applyAlignment="1">
      <alignment horizontal="left" vertical="top" wrapText="1"/>
    </xf>
    <xf numFmtId="0" fontId="0" fillId="0" borderId="18" xfId="0" applyBorder="1" applyAlignment="1">
      <alignment horizontal="left" vertical="top" wrapText="1"/>
    </xf>
    <xf numFmtId="0" fontId="29" fillId="0" borderId="21" xfId="0" applyFont="1" applyBorder="1" applyAlignment="1">
      <alignment horizontal="left" vertical="top" wrapText="1"/>
    </xf>
    <xf numFmtId="0" fontId="0" fillId="0" borderId="21" xfId="0" applyBorder="1" applyAlignment="1">
      <alignment horizontal="left" vertical="top" wrapText="1"/>
    </xf>
    <xf numFmtId="0" fontId="8" fillId="14" borderId="28" xfId="0" applyFont="1" applyFill="1" applyBorder="1" applyAlignment="1">
      <alignment horizontal="left" vertical="top" wrapText="1"/>
    </xf>
    <xf numFmtId="0" fontId="0" fillId="14" borderId="29" xfId="0" applyFill="1" applyBorder="1" applyAlignment="1">
      <alignment horizontal="left" vertical="top" wrapText="1"/>
    </xf>
    <xf numFmtId="0" fontId="0" fillId="14" borderId="30" xfId="0" applyFill="1" applyBorder="1" applyAlignment="1">
      <alignment horizontal="left" vertical="top" wrapText="1"/>
    </xf>
    <xf numFmtId="0" fontId="40" fillId="14" borderId="29" xfId="0" applyFont="1" applyFill="1" applyBorder="1" applyAlignment="1">
      <alignment horizontal="left" vertical="top" wrapText="1"/>
    </xf>
    <xf numFmtId="0" fontId="13" fillId="14" borderId="119" xfId="3" applyFont="1" applyFill="1" applyBorder="1" applyAlignment="1" applyProtection="1">
      <alignment horizontal="right" vertical="top" wrapText="1"/>
    </xf>
    <xf numFmtId="0" fontId="42" fillId="14" borderId="119" xfId="3" applyFont="1" applyFill="1" applyBorder="1" applyAlignment="1" applyProtection="1">
      <alignment horizontal="right" vertical="top" wrapText="1"/>
    </xf>
    <xf numFmtId="0" fontId="0" fillId="7" borderId="6" xfId="0" applyFill="1" applyBorder="1" applyAlignment="1">
      <alignment horizontal="left" vertical="top" wrapText="1"/>
    </xf>
    <xf numFmtId="167" fontId="43" fillId="18" borderId="24" xfId="5" applyNumberFormat="1" applyFont="1" applyFill="1" applyBorder="1" applyAlignment="1" applyProtection="1">
      <alignment horizontal="center" vertical="center" wrapText="1"/>
    </xf>
    <xf numFmtId="167" fontId="43" fillId="18" borderId="0" xfId="5" applyNumberFormat="1" applyFont="1" applyFill="1" applyBorder="1" applyAlignment="1" applyProtection="1">
      <alignment horizontal="center" vertical="center" wrapText="1"/>
    </xf>
    <xf numFmtId="167" fontId="43" fillId="18" borderId="6" xfId="5" applyNumberFormat="1" applyFont="1" applyFill="1" applyBorder="1" applyAlignment="1" applyProtection="1">
      <alignment horizontal="center" vertical="center" wrapText="1"/>
    </xf>
    <xf numFmtId="167" fontId="42" fillId="21" borderId="117" xfId="5" applyNumberFormat="1" applyFont="1" applyFill="1" applyBorder="1" applyAlignment="1" applyProtection="1">
      <alignment horizontal="center" vertical="center" wrapText="1"/>
    </xf>
    <xf numFmtId="167" fontId="42" fillId="21" borderId="118" xfId="5" applyNumberFormat="1" applyFont="1" applyFill="1" applyBorder="1" applyAlignment="1" applyProtection="1">
      <alignment horizontal="center" vertical="center" wrapText="1"/>
    </xf>
    <xf numFmtId="167" fontId="42" fillId="18" borderId="118" xfId="5" applyNumberFormat="1" applyFont="1" applyFill="1" applyBorder="1" applyAlignment="1" applyProtection="1">
      <alignment horizontal="center" vertical="center" wrapText="1"/>
    </xf>
    <xf numFmtId="9" fontId="29" fillId="0" borderId="24" xfId="0" applyNumberFormat="1" applyFont="1" applyBorder="1" applyAlignment="1">
      <alignment horizontal="left" vertical="top" wrapText="1"/>
    </xf>
    <xf numFmtId="167" fontId="42" fillId="21" borderId="40" xfId="5" applyNumberFormat="1" applyFont="1" applyFill="1" applyBorder="1" applyAlignment="1" applyProtection="1">
      <alignment horizontal="center" vertical="center" wrapText="1"/>
    </xf>
    <xf numFmtId="167" fontId="42" fillId="21" borderId="17" xfId="5" applyNumberFormat="1" applyFont="1" applyFill="1" applyBorder="1" applyAlignment="1" applyProtection="1">
      <alignment horizontal="center" vertical="center" wrapText="1"/>
    </xf>
    <xf numFmtId="0" fontId="0" fillId="7" borderId="5" xfId="0" applyFill="1" applyBorder="1" applyAlignment="1">
      <alignment horizontal="left" vertical="top" wrapText="1"/>
    </xf>
    <xf numFmtId="167" fontId="43" fillId="18" borderId="15" xfId="5" applyNumberFormat="1" applyFont="1" applyFill="1" applyBorder="1" applyAlignment="1" applyProtection="1">
      <alignment horizontal="center" vertical="center" wrapText="1"/>
    </xf>
    <xf numFmtId="167" fontId="43" fillId="18" borderId="26" xfId="5" applyNumberFormat="1" applyFont="1" applyFill="1" applyBorder="1" applyAlignment="1" applyProtection="1">
      <alignment horizontal="center" vertical="center" wrapText="1"/>
    </xf>
    <xf numFmtId="167" fontId="43" fillId="18" borderId="5" xfId="5" applyNumberFormat="1" applyFont="1" applyFill="1" applyBorder="1" applyAlignment="1" applyProtection="1">
      <alignment horizontal="center" vertical="center" wrapText="1"/>
    </xf>
    <xf numFmtId="167" fontId="42" fillId="21" borderId="79" xfId="5" applyNumberFormat="1" applyFont="1" applyFill="1" applyBorder="1" applyAlignment="1" applyProtection="1">
      <alignment horizontal="center" vertical="center" wrapText="1"/>
    </xf>
    <xf numFmtId="167" fontId="42" fillId="21" borderId="52" xfId="5" applyNumberFormat="1" applyFont="1" applyFill="1" applyBorder="1" applyAlignment="1" applyProtection="1">
      <alignment horizontal="center" vertical="center" wrapText="1"/>
    </xf>
    <xf numFmtId="167" fontId="42" fillId="21" borderId="78" xfId="5" applyNumberFormat="1" applyFont="1" applyFill="1" applyBorder="1" applyAlignment="1" applyProtection="1">
      <alignment horizontal="center" vertical="center" wrapText="1"/>
    </xf>
    <xf numFmtId="167" fontId="42" fillId="21" borderId="51" xfId="5" applyNumberFormat="1" applyFont="1" applyFill="1" applyBorder="1" applyAlignment="1" applyProtection="1">
      <alignment horizontal="center" vertical="center" wrapText="1"/>
    </xf>
    <xf numFmtId="168" fontId="42" fillId="21" borderId="78" xfId="5" applyNumberFormat="1" applyFont="1" applyFill="1" applyBorder="1" applyAlignment="1" applyProtection="1">
      <alignment horizontal="center" vertical="center" wrapText="1"/>
    </xf>
    <xf numFmtId="168" fontId="42" fillId="21" borderId="51" xfId="5" applyNumberFormat="1" applyFont="1" applyFill="1" applyBorder="1" applyAlignment="1" applyProtection="1">
      <alignment horizontal="center" vertical="center" wrapText="1"/>
    </xf>
    <xf numFmtId="168" fontId="42" fillId="18" borderId="51" xfId="5" applyNumberFormat="1" applyFont="1" applyFill="1" applyBorder="1" applyAlignment="1" applyProtection="1">
      <alignment horizontal="center" vertical="center" wrapText="1"/>
    </xf>
    <xf numFmtId="168" fontId="42" fillId="21" borderId="40" xfId="5" applyNumberFormat="1" applyFont="1" applyFill="1" applyBorder="1" applyAlignment="1" applyProtection="1">
      <alignment horizontal="center" vertical="center" wrapText="1"/>
    </xf>
    <xf numFmtId="168" fontId="42" fillId="21" borderId="17" xfId="5" applyNumberFormat="1" applyFont="1" applyFill="1" applyBorder="1" applyAlignment="1" applyProtection="1">
      <alignment horizontal="center" vertical="center" wrapText="1"/>
    </xf>
    <xf numFmtId="168" fontId="42" fillId="18" borderId="17" xfId="5" applyNumberFormat="1" applyFont="1" applyFill="1" applyBorder="1" applyAlignment="1" applyProtection="1">
      <alignment horizontal="center" vertical="center" wrapText="1"/>
    </xf>
    <xf numFmtId="168" fontId="42" fillId="21" borderId="79" xfId="5" applyNumberFormat="1" applyFont="1" applyFill="1" applyBorder="1" applyAlignment="1" applyProtection="1">
      <alignment horizontal="center" vertical="center" wrapText="1"/>
    </xf>
    <xf numFmtId="168" fontId="42" fillId="21" borderId="52" xfId="5" applyNumberFormat="1" applyFont="1" applyFill="1" applyBorder="1" applyAlignment="1" applyProtection="1">
      <alignment horizontal="center" vertical="center" wrapText="1"/>
    </xf>
    <xf numFmtId="168" fontId="42" fillId="18" borderId="52" xfId="5" applyNumberFormat="1" applyFont="1" applyFill="1" applyBorder="1" applyAlignment="1" applyProtection="1">
      <alignment horizontal="center" vertical="center" wrapText="1"/>
    </xf>
    <xf numFmtId="0" fontId="0" fillId="0" borderId="20" xfId="0" applyBorder="1" applyAlignment="1">
      <alignment horizontal="left" vertical="top" wrapText="1"/>
    </xf>
    <xf numFmtId="0" fontId="0" fillId="0" borderId="19" xfId="0" applyBorder="1" applyAlignment="1">
      <alignment horizontal="left" vertical="top" wrapText="1"/>
    </xf>
    <xf numFmtId="0" fontId="0" fillId="0" borderId="6" xfId="0" applyBorder="1" applyAlignment="1">
      <alignment horizontal="left"/>
    </xf>
    <xf numFmtId="3" fontId="7" fillId="4" borderId="87" xfId="2" applyNumberFormat="1" applyBorder="1" applyProtection="1">
      <protection locked="0"/>
    </xf>
    <xf numFmtId="3" fontId="7" fillId="4" borderId="35" xfId="2" applyNumberFormat="1" applyBorder="1" applyProtection="1">
      <protection locked="0"/>
    </xf>
    <xf numFmtId="3" fontId="7" fillId="4" borderId="72" xfId="2" applyNumberFormat="1" applyBorder="1" applyProtection="1">
      <protection locked="0"/>
    </xf>
    <xf numFmtId="0" fontId="5" fillId="24" borderId="4" xfId="0" applyFont="1" applyFill="1" applyBorder="1" applyAlignment="1">
      <alignment horizontal="left" vertical="top" wrapText="1"/>
    </xf>
    <xf numFmtId="0" fontId="5" fillId="24" borderId="5" xfId="0" applyFont="1" applyFill="1" applyBorder="1" applyAlignment="1">
      <alignment horizontal="justify" vertical="top" wrapText="1"/>
    </xf>
    <xf numFmtId="0" fontId="5" fillId="24" borderId="5" xfId="0" applyFont="1" applyFill="1" applyBorder="1" applyAlignment="1">
      <alignment horizontal="center" vertical="top" wrapText="1"/>
    </xf>
    <xf numFmtId="0" fontId="5" fillId="24" borderId="6" xfId="0" applyFont="1" applyFill="1" applyBorder="1" applyAlignment="1">
      <alignment horizontal="justify" vertical="top" wrapText="1"/>
    </xf>
    <xf numFmtId="0" fontId="5" fillId="24" borderId="24" xfId="0" applyFont="1" applyFill="1" applyBorder="1" applyAlignment="1">
      <alignment horizontal="left" vertical="top" wrapText="1"/>
    </xf>
    <xf numFmtId="0" fontId="5" fillId="24" borderId="64" xfId="0" applyFont="1" applyFill="1" applyBorder="1" applyAlignment="1">
      <alignment horizontal="justify" vertical="top" wrapText="1"/>
    </xf>
    <xf numFmtId="0" fontId="5" fillId="24" borderId="6" xfId="0" applyFont="1" applyFill="1" applyBorder="1" applyAlignment="1">
      <alignment horizontal="center" vertical="top" wrapText="1"/>
    </xf>
    <xf numFmtId="0" fontId="5" fillId="24" borderId="64" xfId="0" applyFont="1" applyFill="1" applyBorder="1" applyAlignment="1">
      <alignment horizontal="left" vertical="top" wrapText="1"/>
    </xf>
    <xf numFmtId="0" fontId="5" fillId="24" borderId="64" xfId="0" applyFont="1" applyFill="1" applyBorder="1" applyAlignment="1">
      <alignment horizontal="center" vertical="top" wrapText="1"/>
    </xf>
    <xf numFmtId="0" fontId="41" fillId="0" borderId="0" xfId="0" applyFont="1"/>
    <xf numFmtId="0" fontId="48" fillId="20" borderId="60" xfId="0" applyFont="1" applyFill="1" applyBorder="1" applyAlignment="1">
      <alignment horizontal="center" vertical="center"/>
    </xf>
    <xf numFmtId="0" fontId="48" fillId="20" borderId="59" xfId="0" applyFont="1" applyFill="1" applyBorder="1" applyAlignment="1">
      <alignment horizontal="center" vertical="center"/>
    </xf>
    <xf numFmtId="0" fontId="43" fillId="20" borderId="109" xfId="0" applyFont="1" applyFill="1" applyBorder="1"/>
    <xf numFmtId="0" fontId="43" fillId="20" borderId="55" xfId="0" applyFont="1" applyFill="1" applyBorder="1"/>
    <xf numFmtId="0" fontId="43" fillId="20" borderId="22" xfId="0" applyFont="1" applyFill="1" applyBorder="1"/>
    <xf numFmtId="0" fontId="43" fillId="20" borderId="103" xfId="0" applyFont="1" applyFill="1" applyBorder="1"/>
    <xf numFmtId="0" fontId="43" fillId="20" borderId="80" xfId="0" applyFont="1" applyFill="1" applyBorder="1"/>
    <xf numFmtId="0" fontId="43" fillId="20" borderId="106" xfId="0" applyFont="1" applyFill="1" applyBorder="1"/>
    <xf numFmtId="0" fontId="43" fillId="20" borderId="105" xfId="0" applyFont="1" applyFill="1" applyBorder="1"/>
    <xf numFmtId="4" fontId="50" fillId="22" borderId="49" xfId="2" applyNumberFormat="1" applyFont="1" applyFill="1" applyBorder="1" applyAlignment="1">
      <alignment horizontal="right" vertical="top" wrapText="1"/>
    </xf>
    <xf numFmtId="4" fontId="50" fillId="22" borderId="41" xfId="2" applyNumberFormat="1" applyFont="1" applyFill="1" applyBorder="1" applyAlignment="1">
      <alignment horizontal="right" vertical="top" wrapText="1"/>
    </xf>
    <xf numFmtId="4" fontId="50" fillId="22" borderId="50" xfId="2" applyNumberFormat="1" applyFont="1" applyFill="1" applyBorder="1" applyAlignment="1">
      <alignment horizontal="right" vertical="top" wrapText="1"/>
    </xf>
    <xf numFmtId="4" fontId="50" fillId="22" borderId="96" xfId="2" applyNumberFormat="1" applyFont="1" applyFill="1" applyBorder="1" applyAlignment="1">
      <alignment horizontal="right" vertical="top" wrapText="1"/>
    </xf>
    <xf numFmtId="4" fontId="50" fillId="22" borderId="89" xfId="2" applyNumberFormat="1" applyFont="1" applyFill="1" applyBorder="1" applyAlignment="1">
      <alignment horizontal="right" vertical="top" wrapText="1"/>
    </xf>
    <xf numFmtId="4" fontId="50" fillId="22" borderId="99" xfId="2" applyNumberFormat="1" applyFont="1" applyFill="1" applyBorder="1" applyAlignment="1">
      <alignment horizontal="right" vertical="top" wrapText="1"/>
    </xf>
    <xf numFmtId="4" fontId="50" fillId="22" borderId="97" xfId="2" applyNumberFormat="1" applyFont="1" applyFill="1" applyBorder="1" applyAlignment="1">
      <alignment horizontal="right" vertical="top" wrapText="1"/>
    </xf>
    <xf numFmtId="4" fontId="50" fillId="22" borderId="45" xfId="2" applyNumberFormat="1" applyFont="1" applyFill="1" applyBorder="1" applyAlignment="1">
      <alignment horizontal="right" vertical="top" wrapText="1"/>
    </xf>
    <xf numFmtId="4" fontId="50" fillId="22" borderId="44" xfId="2" applyNumberFormat="1" applyFont="1" applyFill="1" applyBorder="1" applyAlignment="1">
      <alignment horizontal="right" vertical="top" wrapText="1"/>
    </xf>
    <xf numFmtId="4" fontId="49" fillId="22" borderId="26" xfId="1" applyNumberFormat="1" applyFont="1" applyFill="1" applyBorder="1" applyAlignment="1">
      <alignment horizontal="right" vertical="top" wrapText="1"/>
    </xf>
    <xf numFmtId="4" fontId="50" fillId="22" borderId="43" xfId="2" applyNumberFormat="1" applyFont="1" applyFill="1" applyBorder="1" applyAlignment="1">
      <alignment horizontal="right" vertical="top" wrapText="1"/>
    </xf>
    <xf numFmtId="4" fontId="50" fillId="22" borderId="98" xfId="2" applyNumberFormat="1" applyFont="1" applyFill="1" applyBorder="1" applyAlignment="1">
      <alignment horizontal="right" vertical="top" wrapText="1"/>
    </xf>
    <xf numFmtId="4" fontId="50" fillId="22" borderId="42" xfId="2" applyNumberFormat="1" applyFont="1" applyFill="1" applyBorder="1" applyAlignment="1">
      <alignment horizontal="right" vertical="top" wrapText="1"/>
    </xf>
    <xf numFmtId="165" fontId="50" fillId="22" borderId="100" xfId="5" applyNumberFormat="1" applyFont="1" applyFill="1" applyBorder="1" applyAlignment="1">
      <alignment horizontal="right" vertical="top" wrapText="1"/>
    </xf>
    <xf numFmtId="165" fontId="50" fillId="22" borderId="101" xfId="5" applyNumberFormat="1" applyFont="1" applyFill="1" applyBorder="1" applyAlignment="1">
      <alignment horizontal="right" vertical="top" wrapText="1"/>
    </xf>
    <xf numFmtId="165" fontId="50" fillId="22" borderId="102" xfId="5" applyNumberFormat="1" applyFont="1" applyFill="1" applyBorder="1" applyAlignment="1">
      <alignment horizontal="right" vertical="top" wrapText="1"/>
    </xf>
    <xf numFmtId="165" fontId="50" fillId="22" borderId="46" xfId="5" applyNumberFormat="1" applyFont="1" applyFill="1" applyBorder="1" applyAlignment="1">
      <alignment horizontal="right" vertical="top" wrapText="1"/>
    </xf>
    <xf numFmtId="165" fontId="50" fillId="22" borderId="47" xfId="5" applyNumberFormat="1" applyFont="1" applyFill="1" applyBorder="1" applyAlignment="1">
      <alignment horizontal="right" vertical="top" wrapText="1"/>
    </xf>
    <xf numFmtId="0" fontId="0" fillId="16" borderId="0" xfId="0" applyFill="1" applyAlignment="1">
      <alignment horizontal="center" vertical="top" wrapText="1"/>
    </xf>
    <xf numFmtId="0" fontId="0" fillId="16" borderId="6" xfId="0" applyFill="1" applyBorder="1" applyAlignment="1">
      <alignment horizontal="center" vertical="top" wrapText="1"/>
    </xf>
    <xf numFmtId="0" fontId="0" fillId="16" borderId="24" xfId="0" applyFill="1" applyBorder="1" applyAlignment="1">
      <alignment horizontal="center" vertical="top" wrapText="1"/>
    </xf>
    <xf numFmtId="3" fontId="0" fillId="0" borderId="0" xfId="0" applyNumberFormat="1"/>
    <xf numFmtId="0" fontId="54" fillId="0" borderId="0" xfId="0" applyFont="1"/>
    <xf numFmtId="6" fontId="0" fillId="0" borderId="0" xfId="0" applyNumberFormat="1"/>
    <xf numFmtId="0" fontId="54" fillId="0" borderId="130" xfId="0" applyFont="1" applyBorder="1"/>
    <xf numFmtId="0" fontId="57" fillId="25" borderId="130" xfId="0" applyFont="1" applyFill="1" applyBorder="1" applyAlignment="1">
      <alignment horizontal="left" vertical="center"/>
    </xf>
    <xf numFmtId="0" fontId="59" fillId="0" borderId="0" xfId="0" applyFont="1"/>
    <xf numFmtId="0" fontId="54" fillId="22" borderId="130" xfId="0" applyFont="1" applyFill="1" applyBorder="1"/>
    <xf numFmtId="14" fontId="54" fillId="22" borderId="130" xfId="0" applyNumberFormat="1" applyFont="1" applyFill="1" applyBorder="1"/>
    <xf numFmtId="0" fontId="54" fillId="0" borderId="0" xfId="0" applyFont="1" applyAlignment="1">
      <alignment horizontal="right"/>
    </xf>
    <xf numFmtId="0" fontId="62" fillId="0" borderId="0" xfId="8" applyFont="1" applyAlignment="1">
      <alignment vertical="center"/>
    </xf>
    <xf numFmtId="2" fontId="62" fillId="0" borderId="0" xfId="8" applyNumberFormat="1" applyFont="1" applyAlignment="1">
      <alignment horizontal="right" vertical="center"/>
    </xf>
    <xf numFmtId="2" fontId="62" fillId="0" borderId="0" xfId="8" applyNumberFormat="1" applyFont="1" applyAlignment="1">
      <alignment horizontal="center" vertical="center"/>
    </xf>
    <xf numFmtId="0" fontId="62" fillId="0" borderId="0" xfId="8" applyFont="1" applyAlignment="1">
      <alignment horizontal="center" vertical="center"/>
    </xf>
    <xf numFmtId="0" fontId="62" fillId="0" borderId="0" xfId="8" applyFont="1" applyAlignment="1">
      <alignment horizontal="left" vertical="center"/>
    </xf>
    <xf numFmtId="0" fontId="63" fillId="0" borderId="131" xfId="8" applyFont="1" applyBorder="1" applyAlignment="1">
      <alignment horizontal="left" vertical="center"/>
    </xf>
    <xf numFmtId="0" fontId="63" fillId="0" borderId="131" xfId="8" applyFont="1" applyBorder="1" applyAlignment="1">
      <alignment horizontal="left" vertical="center" wrapText="1"/>
    </xf>
    <xf numFmtId="2" fontId="63" fillId="0" borderId="131" xfId="8" applyNumberFormat="1" applyFont="1" applyBorder="1" applyAlignment="1">
      <alignment horizontal="right" vertical="center" wrapText="1"/>
    </xf>
    <xf numFmtId="2" fontId="63" fillId="0" borderId="131" xfId="8" applyNumberFormat="1" applyFont="1" applyBorder="1" applyAlignment="1">
      <alignment horizontal="center" vertical="center" wrapText="1"/>
    </xf>
    <xf numFmtId="0" fontId="63" fillId="0" borderId="131" xfId="8" applyFont="1" applyBorder="1" applyAlignment="1">
      <alignment horizontal="center" vertical="center" wrapText="1"/>
    </xf>
    <xf numFmtId="0" fontId="64" fillId="27" borderId="131" xfId="8" applyFont="1" applyFill="1" applyBorder="1" applyAlignment="1">
      <alignment horizontal="center" vertical="center" wrapText="1"/>
    </xf>
    <xf numFmtId="0" fontId="63" fillId="0" borderId="131" xfId="8" applyFont="1" applyBorder="1" applyAlignment="1">
      <alignment vertical="center"/>
    </xf>
    <xf numFmtId="0" fontId="63" fillId="0" borderId="131" xfId="8" applyFont="1" applyBorder="1" applyAlignment="1">
      <alignment vertical="center" wrapText="1"/>
    </xf>
    <xf numFmtId="0" fontId="62" fillId="0" borderId="131" xfId="8" applyFont="1" applyBorder="1" applyAlignment="1">
      <alignment vertical="center"/>
    </xf>
    <xf numFmtId="0" fontId="62" fillId="26" borderId="131" xfId="8" applyFont="1" applyFill="1" applyBorder="1" applyAlignment="1">
      <alignment vertical="center"/>
    </xf>
    <xf numFmtId="0" fontId="62" fillId="0" borderId="131" xfId="8" applyFont="1" applyBorder="1" applyAlignment="1">
      <alignment horizontal="left" vertical="center" wrapText="1"/>
    </xf>
    <xf numFmtId="0" fontId="66" fillId="0" borderId="131" xfId="8" applyFont="1" applyBorder="1" applyAlignment="1">
      <alignment horizontal="left" vertical="center" wrapText="1"/>
    </xf>
    <xf numFmtId="0" fontId="67" fillId="0" borderId="131" xfId="8" applyFont="1" applyBorder="1" applyAlignment="1">
      <alignment horizontal="center" vertical="center" wrapText="1"/>
    </xf>
    <xf numFmtId="0" fontId="63" fillId="26" borderId="131" xfId="8" applyFont="1" applyFill="1" applyBorder="1" applyAlignment="1">
      <alignment horizontal="left" vertical="center" wrapText="1"/>
    </xf>
    <xf numFmtId="0" fontId="62" fillId="0" borderId="131" xfId="8" applyFont="1" applyBorder="1" applyAlignment="1">
      <alignment horizontal="left" vertical="center"/>
    </xf>
    <xf numFmtId="0" fontId="62" fillId="0" borderId="132" xfId="8" applyFont="1" applyBorder="1" applyAlignment="1">
      <alignment vertical="center"/>
    </xf>
    <xf numFmtId="0" fontId="63" fillId="0" borderId="132" xfId="8" applyFont="1" applyBorder="1" applyAlignment="1">
      <alignment vertical="center" wrapText="1"/>
    </xf>
    <xf numFmtId="0" fontId="63" fillId="0" borderId="0" xfId="8" applyFont="1" applyAlignment="1">
      <alignment vertical="center"/>
    </xf>
    <xf numFmtId="0" fontId="63" fillId="0" borderId="133" xfId="8" applyFont="1" applyBorder="1" applyAlignment="1">
      <alignment vertical="center" wrapText="1"/>
    </xf>
    <xf numFmtId="0" fontId="63" fillId="0" borderId="134" xfId="8" applyFont="1" applyBorder="1" applyAlignment="1">
      <alignment vertical="center" wrapText="1"/>
    </xf>
    <xf numFmtId="0" fontId="64" fillId="0" borderId="131" xfId="8" applyFont="1" applyBorder="1" applyAlignment="1">
      <alignment horizontal="center" vertical="center" wrapText="1"/>
    </xf>
    <xf numFmtId="0" fontId="63" fillId="0" borderId="135" xfId="8" applyFont="1" applyBorder="1" applyAlignment="1">
      <alignment vertical="center" wrapText="1"/>
    </xf>
    <xf numFmtId="0" fontId="63" fillId="0" borderId="136" xfId="8" applyFont="1" applyBorder="1" applyAlignment="1">
      <alignment vertical="center" wrapText="1"/>
    </xf>
    <xf numFmtId="0" fontId="69" fillId="0" borderId="0" xfId="8" applyFont="1" applyAlignment="1">
      <alignment horizontal="center" vertical="center"/>
    </xf>
    <xf numFmtId="0" fontId="64" fillId="26" borderId="131" xfId="8" applyFont="1" applyFill="1" applyBorder="1" applyAlignment="1">
      <alignment horizontal="center" vertical="center"/>
    </xf>
    <xf numFmtId="0" fontId="64" fillId="26" borderId="131" xfId="8" applyFont="1" applyFill="1" applyBorder="1" applyAlignment="1">
      <alignment horizontal="center" vertical="center" wrapText="1"/>
    </xf>
    <xf numFmtId="0" fontId="64" fillId="28" borderId="131" xfId="8" applyFont="1" applyFill="1" applyBorder="1" applyAlignment="1">
      <alignment horizontal="center" vertical="center" wrapText="1"/>
    </xf>
    <xf numFmtId="0" fontId="64" fillId="22" borderId="131" xfId="8" applyFont="1" applyFill="1" applyBorder="1" applyAlignment="1">
      <alignment horizontal="center" vertical="center" wrapText="1"/>
    </xf>
    <xf numFmtId="49" fontId="64" fillId="22" borderId="131" xfId="8" applyNumberFormat="1" applyFont="1" applyFill="1" applyBorder="1" applyAlignment="1">
      <alignment horizontal="center" vertical="center" wrapText="1"/>
    </xf>
    <xf numFmtId="0" fontId="64" fillId="29" borderId="131" xfId="8" applyFont="1" applyFill="1" applyBorder="1" applyAlignment="1">
      <alignment horizontal="center" vertical="center" wrapText="1"/>
    </xf>
    <xf numFmtId="0" fontId="62" fillId="0" borderId="0" xfId="8" applyFont="1" applyAlignment="1">
      <alignment vertical="center" wrapText="1"/>
    </xf>
    <xf numFmtId="0" fontId="61" fillId="0" borderId="0" xfId="8"/>
    <xf numFmtId="0" fontId="61" fillId="0" borderId="0" xfId="8" applyAlignment="1">
      <alignment wrapText="1"/>
    </xf>
    <xf numFmtId="0" fontId="62" fillId="0" borderId="0" xfId="8" applyFont="1"/>
    <xf numFmtId="1" fontId="62" fillId="22" borderId="130" xfId="8" applyNumberFormat="1" applyFont="1" applyFill="1" applyBorder="1"/>
    <xf numFmtId="0" fontId="62" fillId="22" borderId="130" xfId="8" applyFont="1" applyFill="1" applyBorder="1"/>
    <xf numFmtId="0" fontId="62" fillId="26" borderId="130" xfId="8" applyFont="1" applyFill="1" applyBorder="1"/>
    <xf numFmtId="170" fontId="62" fillId="26" borderId="130" xfId="8" applyNumberFormat="1" applyFont="1" applyFill="1" applyBorder="1"/>
    <xf numFmtId="170" fontId="62" fillId="22" borderId="130" xfId="8" applyNumberFormat="1" applyFont="1" applyFill="1" applyBorder="1"/>
    <xf numFmtId="0" fontId="61" fillId="0" borderId="130" xfId="8" applyBorder="1"/>
    <xf numFmtId="0" fontId="61" fillId="22" borderId="130" xfId="8" applyFill="1" applyBorder="1"/>
    <xf numFmtId="0" fontId="61" fillId="22" borderId="130" xfId="8" applyFill="1" applyBorder="1" applyAlignment="1">
      <alignment horizontal="center"/>
    </xf>
    <xf numFmtId="0" fontId="61" fillId="22" borderId="130" xfId="8" applyFill="1" applyBorder="1" applyAlignment="1">
      <alignment horizontal="left"/>
    </xf>
    <xf numFmtId="0" fontId="72" fillId="26" borderId="130" xfId="8" applyFont="1" applyFill="1" applyBorder="1" applyAlignment="1">
      <alignment vertical="top"/>
    </xf>
    <xf numFmtId="0" fontId="72" fillId="26" borderId="130" xfId="8" applyFont="1" applyFill="1" applyBorder="1" applyAlignment="1">
      <alignment horizontal="center" vertical="top"/>
    </xf>
    <xf numFmtId="0" fontId="72" fillId="26" borderId="130" xfId="8" applyFont="1" applyFill="1" applyBorder="1" applyAlignment="1">
      <alignment vertical="top" wrapText="1"/>
    </xf>
    <xf numFmtId="0" fontId="62" fillId="26" borderId="130" xfId="8" applyFont="1" applyFill="1" applyBorder="1" applyAlignment="1">
      <alignment wrapText="1"/>
    </xf>
    <xf numFmtId="1" fontId="61" fillId="22" borderId="130" xfId="8" applyNumberFormat="1" applyFill="1" applyBorder="1"/>
    <xf numFmtId="0" fontId="61" fillId="26" borderId="130" xfId="8" applyFill="1" applyBorder="1"/>
    <xf numFmtId="0" fontId="61" fillId="6" borderId="130" xfId="8" applyFill="1" applyBorder="1"/>
    <xf numFmtId="14" fontId="61" fillId="26" borderId="130" xfId="8" applyNumberFormat="1" applyFill="1" applyBorder="1"/>
    <xf numFmtId="1" fontId="61" fillId="0" borderId="0" xfId="8" applyNumberFormat="1"/>
    <xf numFmtId="0" fontId="71" fillId="30" borderId="130" xfId="8" applyFont="1" applyFill="1" applyBorder="1" applyAlignment="1">
      <alignment wrapText="1"/>
    </xf>
    <xf numFmtId="10" fontId="62" fillId="26" borderId="130" xfId="8" applyNumberFormat="1" applyFont="1" applyFill="1" applyBorder="1"/>
    <xf numFmtId="0" fontId="62" fillId="22" borderId="131" xfId="10" applyFont="1" applyFill="1" applyBorder="1" applyAlignment="1" applyProtection="1">
      <alignment vertical="center" wrapText="1"/>
      <protection locked="0"/>
    </xf>
    <xf numFmtId="10" fontId="54" fillId="22" borderId="131" xfId="0" applyNumberFormat="1" applyFont="1" applyFill="1" applyBorder="1"/>
    <xf numFmtId="0" fontId="54" fillId="15" borderId="131" xfId="0" applyFont="1" applyFill="1" applyBorder="1"/>
    <xf numFmtId="1" fontId="54" fillId="22" borderId="131" xfId="0" applyNumberFormat="1" applyFont="1" applyFill="1" applyBorder="1"/>
    <xf numFmtId="0" fontId="54" fillId="31" borderId="130" xfId="0" applyFont="1" applyFill="1" applyBorder="1" applyAlignment="1">
      <alignment vertical="center"/>
    </xf>
    <xf numFmtId="0" fontId="55" fillId="12" borderId="28" xfId="0" applyFont="1" applyFill="1" applyBorder="1" applyAlignment="1">
      <alignment horizontal="left" vertical="center"/>
    </xf>
    <xf numFmtId="0" fontId="55" fillId="12" borderId="130" xfId="0" applyFont="1" applyFill="1" applyBorder="1" applyAlignment="1">
      <alignment horizontal="left" vertical="center"/>
    </xf>
    <xf numFmtId="0" fontId="55" fillId="12" borderId="130" xfId="0" applyFont="1" applyFill="1" applyBorder="1" applyAlignment="1">
      <alignment horizontal="center" vertical="center"/>
    </xf>
    <xf numFmtId="44" fontId="56" fillId="18" borderId="130" xfId="7" applyFont="1" applyFill="1" applyBorder="1" applyAlignment="1" applyProtection="1">
      <alignment horizontal="center" vertical="center" wrapText="1"/>
    </xf>
    <xf numFmtId="1" fontId="59" fillId="31" borderId="0" xfId="0" applyNumberFormat="1" applyFont="1" applyFill="1"/>
    <xf numFmtId="1" fontId="59" fillId="6" borderId="0" xfId="0" applyNumberFormat="1" applyFont="1" applyFill="1"/>
    <xf numFmtId="42" fontId="59" fillId="31" borderId="0" xfId="0" applyNumberFormat="1" applyFont="1" applyFill="1"/>
    <xf numFmtId="44" fontId="59" fillId="0" borderId="0" xfId="0" applyNumberFormat="1" applyFont="1"/>
    <xf numFmtId="167" fontId="0" fillId="0" borderId="14" xfId="0" applyNumberFormat="1" applyBorder="1" applyAlignment="1">
      <alignment horizontal="center" vertical="center" wrapText="1"/>
    </xf>
    <xf numFmtId="167" fontId="0" fillId="0" borderId="23" xfId="0" applyNumberFormat="1" applyBorder="1" applyAlignment="1">
      <alignment horizontal="center" vertical="center" wrapText="1"/>
    </xf>
    <xf numFmtId="167" fontId="0" fillId="0" borderId="24" xfId="0" applyNumberFormat="1" applyBorder="1" applyAlignment="1">
      <alignment horizontal="center" vertical="center" wrapText="1"/>
    </xf>
    <xf numFmtId="167" fontId="0" fillId="0" borderId="0" xfId="0" applyNumberFormat="1" applyAlignment="1">
      <alignment horizontal="center" vertical="center" wrapText="1"/>
    </xf>
    <xf numFmtId="167" fontId="0" fillId="0" borderId="15" xfId="0" applyNumberFormat="1" applyBorder="1" applyAlignment="1">
      <alignment horizontal="center" vertical="center" wrapText="1"/>
    </xf>
    <xf numFmtId="167" fontId="0" fillId="0" borderId="26" xfId="0" applyNumberFormat="1" applyBorder="1" applyAlignment="1">
      <alignment horizontal="center" vertical="center" wrapText="1"/>
    </xf>
    <xf numFmtId="3" fontId="7" fillId="4" borderId="66" xfId="2" applyNumberFormat="1" applyBorder="1" applyAlignment="1">
      <alignment vertical="top" wrapText="1"/>
    </xf>
    <xf numFmtId="3" fontId="7" fillId="4" borderId="67" xfId="2" applyNumberFormat="1" applyBorder="1" applyAlignment="1">
      <alignment vertical="top" wrapText="1"/>
    </xf>
    <xf numFmtId="0" fontId="8" fillId="0" borderId="130" xfId="0" applyFont="1" applyBorder="1" applyAlignment="1">
      <alignment horizontal="center" vertical="center"/>
    </xf>
    <xf numFmtId="0" fontId="8" fillId="17" borderId="130" xfId="0" applyFont="1" applyFill="1" applyBorder="1"/>
    <xf numFmtId="42" fontId="8" fillId="17" borderId="130" xfId="5" applyNumberFormat="1" applyFont="1" applyFill="1" applyBorder="1" applyProtection="1"/>
    <xf numFmtId="0" fontId="8" fillId="0" borderId="130" xfId="0" applyFont="1" applyBorder="1"/>
    <xf numFmtId="0" fontId="8" fillId="20" borderId="130" xfId="0" applyFont="1" applyFill="1" applyBorder="1"/>
    <xf numFmtId="42" fontId="43" fillId="20" borderId="130" xfId="5" applyNumberFormat="1" applyFont="1" applyFill="1" applyBorder="1" applyProtection="1"/>
    <xf numFmtId="0" fontId="8" fillId="19" borderId="130" xfId="0" applyFont="1" applyFill="1" applyBorder="1"/>
    <xf numFmtId="0" fontId="0" fillId="19" borderId="130" xfId="0" applyFill="1" applyBorder="1"/>
    <xf numFmtId="42" fontId="47" fillId="20" borderId="130" xfId="5" applyNumberFormat="1" applyFont="1" applyFill="1" applyBorder="1" applyProtection="1"/>
    <xf numFmtId="42" fontId="46" fillId="17" borderId="130" xfId="5" applyNumberFormat="1" applyFont="1" applyFill="1" applyBorder="1" applyProtection="1"/>
    <xf numFmtId="42" fontId="29" fillId="0" borderId="130" xfId="5" applyNumberFormat="1" applyFont="1" applyFill="1" applyBorder="1" applyProtection="1"/>
    <xf numFmtId="42" fontId="47" fillId="0" borderId="130" xfId="5" applyNumberFormat="1" applyFont="1" applyFill="1" applyBorder="1" applyProtection="1"/>
    <xf numFmtId="0" fontId="0" fillId="0" borderId="130" xfId="0" applyBorder="1"/>
    <xf numFmtId="42" fontId="0" fillId="0" borderId="130" xfId="0" applyNumberFormat="1" applyBorder="1"/>
    <xf numFmtId="0" fontId="0" fillId="6" borderId="130" xfId="0" applyFill="1" applyBorder="1" applyAlignment="1">
      <alignment horizontal="center" vertical="top" wrapText="1"/>
    </xf>
    <xf numFmtId="0" fontId="30" fillId="17" borderId="130" xfId="0" applyFont="1" applyFill="1" applyBorder="1" applyAlignment="1">
      <alignment vertical="center"/>
    </xf>
    <xf numFmtId="165" fontId="29" fillId="0" borderId="130" xfId="5" applyNumberFormat="1" applyFont="1" applyFill="1" applyBorder="1" applyProtection="1"/>
    <xf numFmtId="165" fontId="47" fillId="0" borderId="130" xfId="5" applyNumberFormat="1" applyFont="1" applyFill="1" applyBorder="1" applyProtection="1"/>
    <xf numFmtId="42" fontId="47" fillId="18" borderId="130" xfId="5" applyNumberFormat="1" applyFont="1" applyFill="1" applyBorder="1" applyProtection="1"/>
    <xf numFmtId="42" fontId="47" fillId="18" borderId="130" xfId="5" applyNumberFormat="1" applyFont="1" applyFill="1" applyBorder="1" applyAlignment="1" applyProtection="1">
      <alignment horizontal="left"/>
    </xf>
    <xf numFmtId="42" fontId="47" fillId="26" borderId="130" xfId="5" applyNumberFormat="1" applyFont="1" applyFill="1" applyBorder="1" applyProtection="1"/>
    <xf numFmtId="42" fontId="47" fillId="26" borderId="130" xfId="5" applyNumberFormat="1" applyFont="1" applyFill="1" applyBorder="1" applyAlignment="1" applyProtection="1">
      <alignment horizontal="center"/>
    </xf>
    <xf numFmtId="42" fontId="47" fillId="24" borderId="130" xfId="5" applyNumberFormat="1" applyFont="1" applyFill="1" applyBorder="1" applyAlignment="1" applyProtection="1">
      <alignment horizontal="left"/>
    </xf>
    <xf numFmtId="42" fontId="47" fillId="24" borderId="130" xfId="5" applyNumberFormat="1" applyFont="1" applyFill="1" applyBorder="1" applyProtection="1"/>
    <xf numFmtId="0" fontId="57" fillId="25" borderId="139" xfId="0" applyFont="1" applyFill="1" applyBorder="1" applyAlignment="1">
      <alignment horizontal="center" wrapText="1"/>
    </xf>
    <xf numFmtId="0" fontId="57" fillId="25" borderId="130" xfId="0" applyFont="1" applyFill="1" applyBorder="1" applyAlignment="1">
      <alignment vertical="center" wrapText="1"/>
    </xf>
    <xf numFmtId="0" fontId="57" fillId="25" borderId="130" xfId="0" applyFont="1" applyFill="1" applyBorder="1" applyAlignment="1">
      <alignment horizontal="center" wrapText="1"/>
    </xf>
    <xf numFmtId="0" fontId="54" fillId="0" borderId="0" xfId="0" applyFont="1" applyAlignment="1">
      <alignment wrapText="1"/>
    </xf>
    <xf numFmtId="0" fontId="63" fillId="22" borderId="131" xfId="8" applyFont="1" applyFill="1" applyBorder="1" applyAlignment="1">
      <alignment horizontal="left" vertical="center" wrapText="1"/>
    </xf>
    <xf numFmtId="0" fontId="71" fillId="26" borderId="130" xfId="8" applyFont="1" applyFill="1" applyBorder="1" applyAlignment="1">
      <alignment horizontal="center" vertical="center"/>
    </xf>
    <xf numFmtId="1" fontId="54" fillId="22" borderId="130" xfId="0" applyNumberFormat="1" applyFont="1" applyFill="1" applyBorder="1"/>
    <xf numFmtId="42" fontId="54" fillId="22" borderId="130" xfId="0" applyNumberFormat="1" applyFont="1" applyFill="1" applyBorder="1" applyAlignment="1">
      <alignment horizontal="center"/>
    </xf>
    <xf numFmtId="42" fontId="54" fillId="22" borderId="130" xfId="0" applyNumberFormat="1" applyFont="1" applyFill="1" applyBorder="1"/>
    <xf numFmtId="1" fontId="55" fillId="32" borderId="130" xfId="0" applyNumberFormat="1" applyFont="1" applyFill="1" applyBorder="1" applyAlignment="1">
      <alignment horizontal="center" vertical="center"/>
    </xf>
    <xf numFmtId="2" fontId="55" fillId="32" borderId="130" xfId="0" applyNumberFormat="1" applyFont="1" applyFill="1" applyBorder="1" applyAlignment="1">
      <alignment horizontal="center" vertical="center"/>
    </xf>
    <xf numFmtId="0" fontId="55" fillId="32" borderId="130" xfId="0" applyFont="1" applyFill="1" applyBorder="1" applyAlignment="1">
      <alignment vertical="center" wrapText="1"/>
    </xf>
    <xf numFmtId="0" fontId="55" fillId="32" borderId="130" xfId="0" applyFont="1" applyFill="1" applyBorder="1" applyAlignment="1">
      <alignment horizontal="center" vertical="center" wrapText="1"/>
    </xf>
    <xf numFmtId="169" fontId="54" fillId="22" borderId="130" xfId="0" applyNumberFormat="1" applyFont="1" applyFill="1" applyBorder="1"/>
    <xf numFmtId="10" fontId="55" fillId="32" borderId="130" xfId="0" applyNumberFormat="1" applyFont="1" applyFill="1" applyBorder="1" applyAlignment="1">
      <alignment horizontal="center" vertical="center"/>
    </xf>
    <xf numFmtId="0" fontId="62" fillId="0" borderId="0" xfId="8" applyFont="1" applyAlignment="1">
      <alignment wrapText="1"/>
    </xf>
    <xf numFmtId="0" fontId="64" fillId="30" borderId="130" xfId="8" applyFont="1" applyFill="1" applyBorder="1" applyAlignment="1">
      <alignment vertical="center" wrapText="1"/>
    </xf>
    <xf numFmtId="0" fontId="64" fillId="30" borderId="130" xfId="8" applyFont="1" applyFill="1" applyBorder="1" applyAlignment="1">
      <alignment horizontal="center" vertical="center" wrapText="1"/>
    </xf>
    <xf numFmtId="0" fontId="0" fillId="0" borderId="8" xfId="0" applyBorder="1" applyAlignment="1">
      <alignment horizontal="center" vertical="top" wrapText="1"/>
    </xf>
    <xf numFmtId="0" fontId="0" fillId="0" borderId="74" xfId="0" applyBorder="1" applyAlignment="1">
      <alignment horizontal="center" vertical="top" wrapText="1"/>
    </xf>
    <xf numFmtId="0" fontId="0" fillId="0" borderId="9" xfId="0" applyBorder="1" applyAlignment="1">
      <alignment horizontal="center" vertical="top" wrapText="1"/>
    </xf>
    <xf numFmtId="1" fontId="60" fillId="22" borderId="130" xfId="0" applyNumberFormat="1" applyFont="1" applyFill="1" applyBorder="1" applyAlignment="1">
      <alignment horizontal="center" vertical="center"/>
    </xf>
    <xf numFmtId="169" fontId="60" fillId="22" borderId="130" xfId="0" applyNumberFormat="1" applyFont="1" applyFill="1" applyBorder="1" applyAlignment="1">
      <alignment horizontal="right" vertical="center"/>
    </xf>
    <xf numFmtId="0" fontId="57" fillId="25" borderId="139" xfId="0" applyFont="1" applyFill="1" applyBorder="1" applyAlignment="1">
      <alignment horizontal="center" vertical="center" wrapText="1"/>
    </xf>
    <xf numFmtId="0" fontId="57" fillId="25" borderId="139" xfId="0" applyFont="1" applyFill="1" applyBorder="1" applyAlignment="1">
      <alignment horizontal="left" vertical="center" wrapText="1"/>
    </xf>
    <xf numFmtId="169" fontId="62" fillId="22" borderId="131" xfId="10" applyNumberFormat="1" applyFont="1" applyFill="1" applyBorder="1" applyAlignment="1">
      <alignment vertical="center" wrapText="1"/>
    </xf>
    <xf numFmtId="1" fontId="59" fillId="0" borderId="0" xfId="0" applyNumberFormat="1" applyFont="1"/>
    <xf numFmtId="169" fontId="54" fillId="22" borderId="130" xfId="0" applyNumberFormat="1" applyFont="1" applyFill="1" applyBorder="1" applyAlignment="1">
      <alignment horizontal="center" vertical="center"/>
    </xf>
    <xf numFmtId="42" fontId="60" fillId="22" borderId="130" xfId="0" applyNumberFormat="1" applyFont="1" applyFill="1" applyBorder="1" applyAlignment="1">
      <alignment horizontal="center" vertical="center"/>
    </xf>
    <xf numFmtId="169" fontId="62" fillId="22" borderId="131" xfId="10" applyNumberFormat="1" applyFont="1" applyFill="1" applyBorder="1" applyAlignment="1" applyProtection="1">
      <alignment vertical="center" wrapText="1"/>
      <protection locked="0"/>
    </xf>
    <xf numFmtId="42" fontId="54" fillId="0" borderId="0" xfId="0" applyNumberFormat="1" applyFont="1"/>
    <xf numFmtId="1" fontId="62" fillId="26" borderId="130" xfId="8" applyNumberFormat="1" applyFont="1" applyFill="1" applyBorder="1"/>
    <xf numFmtId="1" fontId="69" fillId="22" borderId="0" xfId="8" applyNumberFormat="1" applyFont="1" applyFill="1"/>
    <xf numFmtId="0" fontId="77" fillId="0" borderId="0" xfId="0" applyFont="1" applyAlignment="1">
      <alignment wrapText="1"/>
    </xf>
    <xf numFmtId="0" fontId="76" fillId="33" borderId="135" xfId="0" applyFont="1" applyFill="1" applyBorder="1" applyAlignment="1">
      <alignment horizontal="center" vertical="center" wrapText="1"/>
    </xf>
    <xf numFmtId="0" fontId="76" fillId="33" borderId="135" xfId="0" applyFont="1" applyFill="1" applyBorder="1" applyAlignment="1">
      <alignment wrapText="1"/>
    </xf>
    <xf numFmtId="0" fontId="77" fillId="10" borderId="135" xfId="0" applyFont="1" applyFill="1" applyBorder="1"/>
    <xf numFmtId="42" fontId="77" fillId="22" borderId="135" xfId="0" applyNumberFormat="1" applyFont="1" applyFill="1" applyBorder="1"/>
    <xf numFmtId="9" fontId="77" fillId="22" borderId="135" xfId="0" applyNumberFormat="1" applyFont="1" applyFill="1" applyBorder="1"/>
    <xf numFmtId="169" fontId="77" fillId="22" borderId="135" xfId="0" applyNumberFormat="1" applyFont="1" applyFill="1" applyBorder="1"/>
    <xf numFmtId="0" fontId="77" fillId="0" borderId="0" xfId="0" applyFont="1"/>
    <xf numFmtId="169" fontId="77" fillId="10" borderId="135" xfId="0" applyNumberFormat="1" applyFont="1" applyFill="1" applyBorder="1" applyAlignment="1">
      <alignment vertical="center"/>
    </xf>
    <xf numFmtId="42" fontId="77" fillId="0" borderId="135" xfId="0" applyNumberFormat="1" applyFont="1" applyBorder="1"/>
    <xf numFmtId="0" fontId="77" fillId="0" borderId="135" xfId="0" applyFont="1" applyBorder="1"/>
    <xf numFmtId="0" fontId="78" fillId="15" borderId="22" xfId="0" applyFont="1" applyFill="1" applyBorder="1"/>
    <xf numFmtId="0" fontId="79" fillId="19" borderId="104" xfId="6" applyFont="1" applyFill="1" applyBorder="1" applyAlignment="1">
      <alignment vertical="center"/>
    </xf>
    <xf numFmtId="0" fontId="79" fillId="19" borderId="22" xfId="6" applyFont="1" applyFill="1" applyBorder="1" applyAlignment="1">
      <alignment vertical="center"/>
    </xf>
    <xf numFmtId="0" fontId="8" fillId="9" borderId="124" xfId="0" applyFont="1" applyFill="1" applyBorder="1"/>
    <xf numFmtId="0" fontId="0" fillId="34" borderId="104" xfId="0" applyFill="1" applyBorder="1"/>
    <xf numFmtId="0" fontId="0" fillId="6" borderId="104" xfId="0" applyFill="1" applyBorder="1"/>
    <xf numFmtId="0" fontId="0" fillId="6" borderId="22" xfId="0" applyFill="1" applyBorder="1"/>
    <xf numFmtId="0" fontId="0" fillId="35" borderId="22" xfId="0" applyFill="1" applyBorder="1"/>
    <xf numFmtId="0" fontId="0" fillId="30" borderId="22" xfId="0" applyFill="1" applyBorder="1"/>
    <xf numFmtId="0" fontId="0" fillId="36" borderId="22" xfId="0" applyFill="1" applyBorder="1"/>
    <xf numFmtId="0" fontId="0" fillId="34" borderId="22" xfId="0" applyFill="1" applyBorder="1"/>
    <xf numFmtId="0" fontId="57" fillId="25" borderId="130" xfId="0" applyFont="1" applyFill="1" applyBorder="1" applyAlignment="1">
      <alignment vertical="center"/>
    </xf>
    <xf numFmtId="0" fontId="63" fillId="26" borderId="131" xfId="8" applyFont="1" applyFill="1" applyBorder="1" applyAlignment="1">
      <alignment vertical="center" wrapText="1"/>
    </xf>
    <xf numFmtId="0" fontId="62" fillId="26" borderId="131" xfId="8" applyFont="1" applyFill="1" applyBorder="1" applyAlignment="1">
      <alignment horizontal="left" vertical="center" wrapText="1"/>
    </xf>
    <xf numFmtId="0" fontId="68" fillId="26" borderId="131" xfId="8" applyFont="1" applyFill="1" applyBorder="1" applyAlignment="1">
      <alignment vertical="center" wrapText="1"/>
    </xf>
    <xf numFmtId="0" fontId="62" fillId="26" borderId="131" xfId="8" applyFont="1" applyFill="1" applyBorder="1" applyAlignment="1">
      <alignment horizontal="left" vertical="center"/>
    </xf>
    <xf numFmtId="0" fontId="62" fillId="26" borderId="131" xfId="8" applyFont="1" applyFill="1" applyBorder="1" applyAlignment="1">
      <alignment vertical="center" wrapText="1"/>
    </xf>
    <xf numFmtId="0" fontId="0" fillId="26" borderId="130" xfId="0" applyFill="1" applyBorder="1"/>
    <xf numFmtId="167" fontId="13" fillId="26" borderId="78" xfId="5" applyNumberFormat="1" applyFont="1" applyFill="1" applyBorder="1" applyAlignment="1" applyProtection="1">
      <alignment horizontal="center" vertical="center" wrapText="1"/>
    </xf>
    <xf numFmtId="167" fontId="13" fillId="26" borderId="51" xfId="5" applyNumberFormat="1" applyFont="1" applyFill="1" applyBorder="1" applyAlignment="1" applyProtection="1">
      <alignment horizontal="center" vertical="center" wrapText="1"/>
    </xf>
    <xf numFmtId="167" fontId="13" fillId="26" borderId="40" xfId="5" applyNumberFormat="1" applyFont="1" applyFill="1" applyBorder="1" applyAlignment="1" applyProtection="1">
      <alignment horizontal="center" vertical="center" wrapText="1"/>
    </xf>
    <xf numFmtId="167" fontId="13" fillId="26" borderId="17" xfId="5" applyNumberFormat="1" applyFont="1" applyFill="1" applyBorder="1" applyAlignment="1" applyProtection="1">
      <alignment horizontal="center" vertical="center" wrapText="1"/>
    </xf>
    <xf numFmtId="167" fontId="13" fillId="26" borderId="79" xfId="5" applyNumberFormat="1" applyFont="1" applyFill="1" applyBorder="1" applyAlignment="1" applyProtection="1">
      <alignment horizontal="center" vertical="center" wrapText="1"/>
    </xf>
    <xf numFmtId="167" fontId="13" fillId="26" borderId="52" xfId="5" applyNumberFormat="1" applyFont="1" applyFill="1" applyBorder="1" applyAlignment="1" applyProtection="1">
      <alignment horizontal="center" vertical="center" wrapText="1"/>
    </xf>
    <xf numFmtId="168" fontId="13" fillId="26" borderId="78" xfId="3" applyNumberFormat="1" applyFont="1" applyFill="1" applyBorder="1" applyAlignment="1" applyProtection="1">
      <alignment horizontal="center" vertical="center" wrapText="1"/>
    </xf>
    <xf numFmtId="168" fontId="13" fillId="26" borderId="51" xfId="3" applyNumberFormat="1" applyFont="1" applyFill="1" applyBorder="1" applyAlignment="1" applyProtection="1">
      <alignment horizontal="center" vertical="center" wrapText="1"/>
    </xf>
    <xf numFmtId="168" fontId="13" fillId="26" borderId="40" xfId="3" applyNumberFormat="1" applyFont="1" applyFill="1" applyBorder="1" applyAlignment="1" applyProtection="1">
      <alignment horizontal="center" vertical="center" wrapText="1"/>
    </xf>
    <xf numFmtId="168" fontId="13" fillId="26" borderId="17" xfId="3" applyNumberFormat="1" applyFont="1" applyFill="1" applyAlignment="1" applyProtection="1">
      <alignment horizontal="center" vertical="center" wrapText="1"/>
    </xf>
    <xf numFmtId="168" fontId="13" fillId="26" borderId="79" xfId="3" applyNumberFormat="1" applyFont="1" applyFill="1" applyBorder="1" applyAlignment="1" applyProtection="1">
      <alignment horizontal="center" vertical="center" wrapText="1"/>
    </xf>
    <xf numFmtId="168" fontId="13" fillId="26" borderId="52" xfId="3" applyNumberFormat="1" applyFont="1" applyFill="1" applyBorder="1" applyAlignment="1" applyProtection="1">
      <alignment horizontal="center" vertical="center" wrapText="1"/>
    </xf>
    <xf numFmtId="0" fontId="54" fillId="26" borderId="130" xfId="0" applyFont="1" applyFill="1" applyBorder="1"/>
    <xf numFmtId="10" fontId="54" fillId="26" borderId="130" xfId="0" applyNumberFormat="1" applyFont="1" applyFill="1" applyBorder="1"/>
    <xf numFmtId="9" fontId="54" fillId="26" borderId="130" xfId="0" applyNumberFormat="1" applyFont="1" applyFill="1" applyBorder="1"/>
    <xf numFmtId="169" fontId="62" fillId="26" borderId="131" xfId="10" applyNumberFormat="1" applyFont="1" applyFill="1" applyBorder="1" applyAlignment="1" applyProtection="1">
      <alignment horizontal="center" vertical="center"/>
      <protection locked="0"/>
    </xf>
    <xf numFmtId="1" fontId="54" fillId="26" borderId="130" xfId="0" applyNumberFormat="1" applyFont="1" applyFill="1" applyBorder="1"/>
    <xf numFmtId="1" fontId="62" fillId="26" borderId="131" xfId="10" applyNumberFormat="1" applyFont="1" applyFill="1" applyBorder="1" applyAlignment="1" applyProtection="1">
      <alignment horizontal="center" vertical="center" wrapText="1"/>
      <protection locked="0"/>
    </xf>
    <xf numFmtId="0" fontId="62" fillId="26" borderId="131" xfId="10" applyFont="1" applyFill="1" applyBorder="1" applyAlignment="1" applyProtection="1">
      <alignment vertical="center" wrapText="1"/>
      <protection locked="0"/>
    </xf>
    <xf numFmtId="0" fontId="54" fillId="26" borderId="130" xfId="0" applyFont="1" applyFill="1" applyBorder="1" applyAlignment="1">
      <alignment vertical="center"/>
    </xf>
    <xf numFmtId="0" fontId="54" fillId="26" borderId="130" xfId="3" applyFont="1" applyFill="1" applyBorder="1" applyAlignment="1">
      <alignment horizontal="center"/>
    </xf>
    <xf numFmtId="0" fontId="54" fillId="26" borderId="140" xfId="0" applyFont="1" applyFill="1" applyBorder="1" applyAlignment="1">
      <alignment horizontal="left" vertical="center"/>
    </xf>
    <xf numFmtId="0" fontId="54" fillId="26" borderId="130" xfId="0" applyFont="1" applyFill="1" applyBorder="1" applyAlignment="1">
      <alignment horizontal="left" vertical="center"/>
    </xf>
    <xf numFmtId="0" fontId="54" fillId="26" borderId="130" xfId="0" applyFont="1" applyFill="1" applyBorder="1" applyAlignment="1">
      <alignment horizontal="center" vertical="center"/>
    </xf>
    <xf numFmtId="8" fontId="54" fillId="26" borderId="130" xfId="7" applyNumberFormat="1" applyFont="1" applyFill="1" applyBorder="1" applyAlignment="1">
      <alignment horizontal="center" vertical="center"/>
    </xf>
    <xf numFmtId="0" fontId="54" fillId="26" borderId="141" xfId="0" applyFont="1" applyFill="1" applyBorder="1" applyAlignment="1">
      <alignment horizontal="left" vertical="center"/>
    </xf>
    <xf numFmtId="44" fontId="54" fillId="26" borderId="130" xfId="7" applyFont="1" applyFill="1" applyBorder="1" applyAlignment="1">
      <alignment horizontal="center" vertical="center"/>
    </xf>
    <xf numFmtId="44" fontId="54" fillId="26" borderId="130" xfId="7" applyFont="1" applyFill="1" applyBorder="1" applyAlignment="1">
      <alignment horizontal="left" vertical="center"/>
    </xf>
    <xf numFmtId="3" fontId="7" fillId="26" borderId="14" xfId="2" applyNumberFormat="1" applyFill="1" applyBorder="1" applyAlignment="1">
      <alignment horizontal="right" vertical="top" wrapText="1"/>
    </xf>
    <xf numFmtId="3" fontId="7" fillId="26" borderId="24" xfId="2" applyNumberFormat="1" applyFill="1" applyBorder="1" applyAlignment="1">
      <alignment horizontal="right" vertical="top" wrapText="1"/>
    </xf>
    <xf numFmtId="3" fontId="7" fillId="26" borderId="15" xfId="2" applyNumberFormat="1" applyFill="1" applyBorder="1" applyAlignment="1">
      <alignment horizontal="right" vertical="top" wrapText="1"/>
    </xf>
    <xf numFmtId="3" fontId="7" fillId="26" borderId="14" xfId="2" applyNumberFormat="1" applyFill="1" applyBorder="1" applyAlignment="1">
      <alignment vertical="top" wrapText="1"/>
    </xf>
    <xf numFmtId="3" fontId="7" fillId="26" borderId="24" xfId="2" applyNumberFormat="1" applyFill="1" applyBorder="1" applyAlignment="1">
      <alignment vertical="top" wrapText="1"/>
    </xf>
    <xf numFmtId="3" fontId="7" fillId="26" borderId="15" xfId="2" applyNumberFormat="1" applyFill="1" applyBorder="1" applyAlignment="1">
      <alignment vertical="top" wrapText="1"/>
    </xf>
    <xf numFmtId="0" fontId="0" fillId="22" borderId="22" xfId="0" applyFill="1" applyBorder="1" applyAlignment="1">
      <alignment horizontal="center" vertical="top" wrapText="1"/>
    </xf>
    <xf numFmtId="0" fontId="19" fillId="0" borderId="23" xfId="0" applyFont="1" applyBorder="1" applyAlignment="1">
      <alignment vertical="center" wrapText="1"/>
    </xf>
    <xf numFmtId="0" fontId="19" fillId="0" borderId="0" xfId="0" applyFont="1" applyAlignment="1">
      <alignment vertical="center" wrapText="1"/>
    </xf>
    <xf numFmtId="3" fontId="13" fillId="9" borderId="78" xfId="3" applyNumberFormat="1" applyFont="1" applyFill="1" applyBorder="1" applyAlignment="1">
      <alignment vertical="top" wrapText="1"/>
    </xf>
    <xf numFmtId="3" fontId="13" fillId="9" borderId="40" xfId="3" applyNumberFormat="1" applyFont="1" applyFill="1" applyBorder="1" applyAlignment="1">
      <alignment vertical="top" wrapText="1"/>
    </xf>
    <xf numFmtId="3" fontId="13" fillId="9" borderId="79" xfId="3" applyNumberFormat="1" applyFont="1" applyFill="1" applyBorder="1" applyAlignment="1">
      <alignment vertical="top" wrapText="1"/>
    </xf>
    <xf numFmtId="3" fontId="13" fillId="26" borderId="78" xfId="3" applyNumberFormat="1" applyFont="1" applyFill="1" applyBorder="1" applyAlignment="1">
      <alignment vertical="top" wrapText="1"/>
    </xf>
    <xf numFmtId="3" fontId="13" fillId="26" borderId="40" xfId="3" applyNumberFormat="1" applyFont="1" applyFill="1" applyBorder="1" applyAlignment="1">
      <alignment vertical="top" wrapText="1"/>
    </xf>
    <xf numFmtId="3" fontId="13" fillId="26" borderId="78" xfId="3" applyNumberFormat="1" applyFont="1" applyFill="1" applyBorder="1" applyAlignment="1">
      <alignment horizontal="right" vertical="top" wrapText="1"/>
    </xf>
    <xf numFmtId="3" fontId="13" fillId="26" borderId="40" xfId="3" applyNumberFormat="1" applyFont="1" applyFill="1" applyBorder="1" applyAlignment="1">
      <alignment horizontal="right" vertical="top" wrapText="1"/>
    </xf>
    <xf numFmtId="3" fontId="13" fillId="26" borderId="79" xfId="3" applyNumberFormat="1" applyFont="1" applyFill="1" applyBorder="1" applyAlignment="1">
      <alignment horizontal="right" vertical="top" wrapText="1"/>
    </xf>
    <xf numFmtId="3" fontId="13" fillId="26" borderId="79" xfId="3" applyNumberFormat="1" applyFont="1" applyFill="1" applyBorder="1" applyAlignment="1">
      <alignment vertical="top" wrapText="1"/>
    </xf>
    <xf numFmtId="3" fontId="13" fillId="9" borderId="142" xfId="3" applyNumberFormat="1" applyFont="1" applyFill="1" applyBorder="1" applyAlignment="1">
      <alignment horizontal="right" vertical="top" wrapText="1"/>
    </xf>
    <xf numFmtId="3" fontId="13" fillId="9" borderId="117" xfId="3" applyNumberFormat="1" applyFont="1" applyFill="1" applyBorder="1" applyAlignment="1">
      <alignment horizontal="right" vertical="top" wrapText="1"/>
    </xf>
    <xf numFmtId="3" fontId="13" fillId="9" borderId="40" xfId="3" applyNumberFormat="1" applyFont="1" applyFill="1" applyBorder="1" applyAlignment="1">
      <alignment horizontal="right" vertical="top" wrapText="1"/>
    </xf>
    <xf numFmtId="3" fontId="13" fillId="9" borderId="78" xfId="3" applyNumberFormat="1" applyFont="1" applyFill="1" applyBorder="1" applyAlignment="1">
      <alignment horizontal="right" vertical="top" wrapText="1"/>
    </xf>
    <xf numFmtId="3" fontId="13" fillId="9" borderId="94" xfId="3" applyNumberFormat="1" applyFont="1" applyFill="1" applyBorder="1" applyAlignment="1">
      <alignment horizontal="right" vertical="top" wrapText="1"/>
    </xf>
    <xf numFmtId="0" fontId="9" fillId="17" borderId="6" xfId="0" applyFont="1" applyFill="1" applyBorder="1" applyAlignment="1">
      <alignment horizontal="center" vertical="top" wrapText="1"/>
    </xf>
    <xf numFmtId="0" fontId="9" fillId="37" borderId="6" xfId="0" applyFont="1" applyFill="1" applyBorder="1" applyAlignment="1">
      <alignment horizontal="center" vertical="top" wrapText="1"/>
    </xf>
    <xf numFmtId="2" fontId="3" fillId="26" borderId="74" xfId="1" applyNumberFormat="1" applyFont="1" applyFill="1" applyBorder="1" applyAlignment="1">
      <alignment vertical="top" wrapText="1"/>
    </xf>
    <xf numFmtId="2" fontId="3" fillId="26" borderId="64" xfId="1" applyNumberFormat="1" applyFont="1" applyFill="1" applyBorder="1" applyAlignment="1">
      <alignment vertical="top" wrapText="1"/>
    </xf>
    <xf numFmtId="2" fontId="3" fillId="26" borderId="6" xfId="1" applyNumberFormat="1" applyFont="1" applyFill="1" applyBorder="1" applyAlignment="1">
      <alignment vertical="top" wrapText="1"/>
    </xf>
    <xf numFmtId="0" fontId="3" fillId="26" borderId="30" xfId="3" applyFont="1" applyFill="1" applyBorder="1" applyAlignment="1">
      <alignment vertical="top"/>
    </xf>
    <xf numFmtId="0" fontId="0" fillId="0" borderId="22" xfId="0" applyBorder="1"/>
    <xf numFmtId="0" fontId="82" fillId="19" borderId="22" xfId="6" applyFont="1" applyFill="1" applyBorder="1" applyAlignment="1">
      <alignment vertical="center"/>
    </xf>
    <xf numFmtId="171" fontId="62" fillId="26" borderId="131" xfId="10" applyNumberFormat="1" applyFont="1" applyFill="1" applyBorder="1" applyAlignment="1" applyProtection="1">
      <alignment horizontal="center" vertical="center" wrapText="1"/>
      <protection locked="0"/>
    </xf>
    <xf numFmtId="0" fontId="59" fillId="0" borderId="0" xfId="0" applyFont="1" applyAlignment="1">
      <alignment horizontal="center" vertical="center"/>
    </xf>
    <xf numFmtId="171" fontId="62" fillId="22" borderId="131" xfId="10" applyNumberFormat="1" applyFont="1" applyFill="1" applyBorder="1" applyAlignment="1" applyProtection="1">
      <alignment horizontal="center" vertical="center"/>
      <protection locked="0"/>
    </xf>
    <xf numFmtId="9" fontId="54" fillId="0" borderId="130" xfId="0" applyNumberFormat="1" applyFont="1" applyBorder="1"/>
    <xf numFmtId="1" fontId="54" fillId="0" borderId="130" xfId="0" applyNumberFormat="1" applyFont="1" applyBorder="1"/>
    <xf numFmtId="42" fontId="54" fillId="0" borderId="130" xfId="0" applyNumberFormat="1" applyFont="1" applyBorder="1" applyAlignment="1">
      <alignment horizontal="center"/>
    </xf>
    <xf numFmtId="0" fontId="61" fillId="30" borderId="130" xfId="8" applyFill="1" applyBorder="1" applyAlignment="1">
      <alignment horizontal="center" vertical="center"/>
    </xf>
    <xf numFmtId="0" fontId="72" fillId="30" borderId="130" xfId="8" applyFont="1" applyFill="1" applyBorder="1" applyAlignment="1">
      <alignment horizontal="left" vertical="center" wrapText="1"/>
    </xf>
    <xf numFmtId="0" fontId="72" fillId="13" borderId="130" xfId="8" applyFont="1" applyFill="1" applyBorder="1" applyAlignment="1">
      <alignment horizontal="center" vertical="center"/>
    </xf>
    <xf numFmtId="0" fontId="73" fillId="26" borderId="130" xfId="8" applyFont="1" applyFill="1" applyBorder="1" applyAlignment="1">
      <alignment horizontal="center" vertical="center"/>
    </xf>
    <xf numFmtId="0" fontId="73" fillId="22" borderId="130" xfId="8" applyFont="1" applyFill="1" applyBorder="1" applyAlignment="1">
      <alignment horizontal="center" vertical="center"/>
    </xf>
    <xf numFmtId="0" fontId="61" fillId="22" borderId="0" xfId="8" applyFill="1"/>
    <xf numFmtId="0" fontId="61" fillId="30" borderId="0" xfId="8" applyFill="1"/>
    <xf numFmtId="0" fontId="61" fillId="30" borderId="130" xfId="8" applyFill="1" applyBorder="1" applyAlignment="1">
      <alignment horizontal="center" vertical="top"/>
    </xf>
    <xf numFmtId="0" fontId="72" fillId="30" borderId="130" xfId="8" applyFont="1" applyFill="1" applyBorder="1" applyAlignment="1">
      <alignment vertical="top" wrapText="1"/>
    </xf>
    <xf numFmtId="0" fontId="71" fillId="22" borderId="64" xfId="8" applyFont="1" applyFill="1" applyBorder="1"/>
    <xf numFmtId="0" fontId="71" fillId="22" borderId="0" xfId="8" applyFont="1" applyFill="1"/>
    <xf numFmtId="0" fontId="61" fillId="30" borderId="147" xfId="8" applyFill="1" applyBorder="1" applyAlignment="1">
      <alignment horizontal="center" vertical="center"/>
    </xf>
    <xf numFmtId="0" fontId="72" fillId="13" borderId="130" xfId="8" applyFont="1" applyFill="1" applyBorder="1" applyAlignment="1">
      <alignment horizontal="left" vertical="top" wrapText="1"/>
    </xf>
    <xf numFmtId="0" fontId="62" fillId="0" borderId="0" xfId="0" applyFont="1" applyAlignment="1">
      <alignment horizontal="left" vertical="top" wrapText="1"/>
    </xf>
    <xf numFmtId="0" fontId="71" fillId="30" borderId="143" xfId="8" applyFont="1" applyFill="1" applyBorder="1" applyAlignment="1">
      <alignment horizontal="left" vertical="top" wrapText="1"/>
    </xf>
    <xf numFmtId="0" fontId="71" fillId="30" borderId="139" xfId="8" applyFont="1" applyFill="1" applyBorder="1" applyAlignment="1">
      <alignment horizontal="left" vertical="top" wrapText="1"/>
    </xf>
    <xf numFmtId="0" fontId="71" fillId="30" borderId="143" xfId="8" applyFont="1" applyFill="1" applyBorder="1" applyAlignment="1">
      <alignment vertical="top" wrapText="1"/>
    </xf>
    <xf numFmtId="0" fontId="71" fillId="30" borderId="144" xfId="8" applyFont="1" applyFill="1" applyBorder="1" applyAlignment="1">
      <alignment vertical="top" wrapText="1"/>
    </xf>
    <xf numFmtId="0" fontId="71" fillId="0" borderId="0" xfId="8" applyFont="1"/>
    <xf numFmtId="9" fontId="77" fillId="15" borderId="135" xfId="0" applyNumberFormat="1" applyFont="1" applyFill="1" applyBorder="1"/>
    <xf numFmtId="2" fontId="54" fillId="26" borderId="130" xfId="0" applyNumberFormat="1" applyFont="1" applyFill="1" applyBorder="1"/>
    <xf numFmtId="169" fontId="62" fillId="26" borderId="131" xfId="10" applyNumberFormat="1" applyFont="1" applyFill="1" applyBorder="1" applyAlignment="1" applyProtection="1">
      <alignment horizontal="left" vertical="center"/>
      <protection locked="0"/>
    </xf>
    <xf numFmtId="10" fontId="59" fillId="31" borderId="0" xfId="0" applyNumberFormat="1" applyFont="1" applyFill="1"/>
    <xf numFmtId="42" fontId="77" fillId="15" borderId="135" xfId="0" applyNumberFormat="1" applyFont="1" applyFill="1" applyBorder="1"/>
    <xf numFmtId="169" fontId="85" fillId="0" borderId="135" xfId="0" applyNumberFormat="1" applyFont="1" applyBorder="1"/>
    <xf numFmtId="0" fontId="62" fillId="0" borderId="0" xfId="10" applyFont="1" applyAlignment="1" applyProtection="1">
      <alignment vertical="center" wrapText="1"/>
      <protection locked="0"/>
    </xf>
    <xf numFmtId="0" fontId="86" fillId="0" borderId="0" xfId="0" applyFont="1"/>
    <xf numFmtId="0" fontId="86" fillId="0" borderId="0" xfId="0" applyFont="1" applyAlignment="1">
      <alignment vertical="center"/>
    </xf>
    <xf numFmtId="0" fontId="86" fillId="0" borderId="0" xfId="0" applyFont="1" applyAlignment="1">
      <alignment horizontal="left" vertical="center"/>
    </xf>
    <xf numFmtId="0" fontId="86" fillId="0" borderId="0" xfId="0" applyFont="1" applyAlignment="1">
      <alignment horizontal="right" vertical="center" wrapText="1"/>
    </xf>
    <xf numFmtId="0" fontId="86" fillId="0" borderId="0" xfId="0" applyFont="1" applyAlignment="1">
      <alignment horizontal="right" wrapText="1"/>
    </xf>
    <xf numFmtId="0" fontId="59" fillId="31" borderId="0" xfId="0" applyFont="1" applyFill="1" applyAlignment="1">
      <alignment wrapText="1"/>
    </xf>
    <xf numFmtId="0" fontId="59" fillId="31" borderId="148" xfId="0" applyFont="1" applyFill="1" applyBorder="1" applyAlignment="1">
      <alignment wrapText="1"/>
    </xf>
    <xf numFmtId="0" fontId="59" fillId="26" borderId="0" xfId="0" applyFont="1" applyFill="1" applyAlignment="1">
      <alignment vertical="center"/>
    </xf>
    <xf numFmtId="10" fontId="59" fillId="26" borderId="148" xfId="0" applyNumberFormat="1" applyFont="1" applyFill="1" applyBorder="1" applyAlignment="1">
      <alignment vertical="center"/>
    </xf>
    <xf numFmtId="170" fontId="54" fillId="22" borderId="130" xfId="0" applyNumberFormat="1" applyFont="1" applyFill="1" applyBorder="1" applyAlignment="1">
      <alignment horizontal="center"/>
    </xf>
    <xf numFmtId="2" fontId="60" fillId="22" borderId="130" xfId="0" applyNumberFormat="1" applyFont="1" applyFill="1" applyBorder="1" applyAlignment="1">
      <alignment horizontal="center" vertical="center"/>
    </xf>
    <xf numFmtId="2" fontId="62" fillId="22" borderId="130" xfId="8" applyNumberFormat="1" applyFont="1" applyFill="1" applyBorder="1"/>
    <xf numFmtId="169" fontId="62" fillId="22" borderId="131" xfId="10" applyNumberFormat="1" applyFont="1" applyFill="1" applyBorder="1" applyAlignment="1" applyProtection="1">
      <alignment horizontal="left" vertical="center"/>
      <protection locked="0"/>
    </xf>
    <xf numFmtId="0" fontId="87" fillId="0" borderId="0" xfId="0" applyFont="1"/>
    <xf numFmtId="0" fontId="63" fillId="23" borderId="131" xfId="8" applyFont="1" applyFill="1" applyBorder="1" applyAlignment="1">
      <alignment horizontal="center" vertical="center" wrapText="1"/>
    </xf>
    <xf numFmtId="2" fontId="63" fillId="23" borderId="131" xfId="8" applyNumberFormat="1" applyFont="1" applyFill="1" applyBorder="1" applyAlignment="1">
      <alignment horizontal="center" vertical="center" wrapText="1"/>
    </xf>
    <xf numFmtId="2" fontId="63" fillId="23" borderId="131" xfId="8" applyNumberFormat="1" applyFont="1" applyFill="1" applyBorder="1" applyAlignment="1">
      <alignment horizontal="right" vertical="center" wrapText="1"/>
    </xf>
    <xf numFmtId="0" fontId="90" fillId="0" borderId="0" xfId="0" applyFont="1"/>
    <xf numFmtId="169" fontId="77" fillId="10" borderId="135" xfId="0" applyNumberFormat="1" applyFont="1" applyFill="1" applyBorder="1" applyAlignment="1">
      <alignment horizontal="center" vertical="center"/>
    </xf>
    <xf numFmtId="169" fontId="77" fillId="10" borderId="151" xfId="0" applyNumberFormat="1" applyFont="1" applyFill="1" applyBorder="1" applyAlignment="1">
      <alignment horizontal="center" vertical="center"/>
    </xf>
    <xf numFmtId="0" fontId="63" fillId="0" borderId="131" xfId="8" applyFont="1" applyBorder="1" applyAlignment="1">
      <alignment horizontal="center" vertical="center"/>
    </xf>
    <xf numFmtId="0" fontId="0" fillId="6" borderId="5" xfId="0" applyFill="1" applyBorder="1" applyAlignment="1">
      <alignment horizontal="left" vertical="top" wrapText="1"/>
    </xf>
    <xf numFmtId="4" fontId="7" fillId="4" borderId="161" xfId="2" applyNumberFormat="1" applyBorder="1" applyAlignment="1">
      <alignment horizontal="right" vertical="top" wrapText="1"/>
    </xf>
    <xf numFmtId="0" fontId="0" fillId="6" borderId="26" xfId="0" applyFill="1" applyBorder="1" applyAlignment="1">
      <alignment horizontal="left" vertical="top" wrapText="1"/>
    </xf>
    <xf numFmtId="0" fontId="9" fillId="7" borderId="29" xfId="0" applyFont="1" applyFill="1" applyBorder="1" applyAlignment="1">
      <alignment horizontal="left" vertical="top" wrapText="1"/>
    </xf>
    <xf numFmtId="0" fontId="0" fillId="6" borderId="14" xfId="0" applyFill="1" applyBorder="1" applyAlignment="1">
      <alignment horizontal="left" vertical="top" wrapText="1"/>
    </xf>
    <xf numFmtId="0" fontId="0" fillId="6" borderId="13" xfId="0" applyFill="1" applyBorder="1" applyAlignment="1">
      <alignment horizontal="left" vertical="top" wrapText="1"/>
    </xf>
    <xf numFmtId="0" fontId="0" fillId="6" borderId="15" xfId="0" applyFill="1" applyBorder="1" applyAlignment="1">
      <alignment horizontal="left" vertical="top" wrapText="1"/>
    </xf>
    <xf numFmtId="4" fontId="50" fillId="22" borderId="162" xfId="2" applyNumberFormat="1" applyFont="1" applyFill="1" applyBorder="1" applyAlignment="1">
      <alignment horizontal="right" vertical="top" wrapText="1"/>
    </xf>
    <xf numFmtId="4" fontId="50" fillId="22" borderId="163" xfId="2" applyNumberFormat="1" applyFont="1" applyFill="1" applyBorder="1" applyAlignment="1">
      <alignment horizontal="right" vertical="top" wrapText="1"/>
    </xf>
    <xf numFmtId="4" fontId="50" fillId="22" borderId="164" xfId="2" applyNumberFormat="1" applyFont="1" applyFill="1" applyBorder="1" applyAlignment="1">
      <alignment horizontal="right" vertical="top" wrapText="1"/>
    </xf>
    <xf numFmtId="0" fontId="9" fillId="7" borderId="28" xfId="0" applyFont="1" applyFill="1" applyBorder="1" applyAlignment="1">
      <alignment horizontal="left" vertical="top" wrapText="1"/>
    </xf>
    <xf numFmtId="0" fontId="76" fillId="33" borderId="136" xfId="0" applyFont="1" applyFill="1" applyBorder="1" applyAlignment="1">
      <alignment horizontal="center" wrapText="1"/>
    </xf>
    <xf numFmtId="0" fontId="54" fillId="31" borderId="0" xfId="0" applyFont="1" applyFill="1"/>
    <xf numFmtId="0" fontId="77" fillId="10" borderId="136" xfId="0" applyFont="1" applyFill="1" applyBorder="1"/>
    <xf numFmtId="169" fontId="77" fillId="10" borderId="135" xfId="0" applyNumberFormat="1" applyFont="1" applyFill="1" applyBorder="1" applyAlignment="1">
      <alignment horizontal="left" vertical="center"/>
    </xf>
    <xf numFmtId="0" fontId="62" fillId="26" borderId="131" xfId="0" applyFont="1" applyFill="1" applyBorder="1" applyAlignment="1">
      <alignment vertical="center" wrapText="1"/>
    </xf>
    <xf numFmtId="0" fontId="72" fillId="26" borderId="131" xfId="0" applyFont="1" applyFill="1" applyBorder="1" applyAlignment="1">
      <alignment vertical="center" wrapText="1"/>
    </xf>
    <xf numFmtId="172" fontId="43" fillId="18" borderId="0" xfId="5" applyNumberFormat="1" applyFont="1" applyFill="1" applyBorder="1" applyAlignment="1" applyProtection="1">
      <alignment horizontal="center" vertical="center" wrapText="1"/>
    </xf>
    <xf numFmtId="172" fontId="43" fillId="18" borderId="26" xfId="5" applyNumberFormat="1" applyFont="1" applyFill="1" applyBorder="1" applyAlignment="1" applyProtection="1">
      <alignment horizontal="center" vertical="center" wrapText="1"/>
    </xf>
    <xf numFmtId="170" fontId="55" fillId="32" borderId="130" xfId="0" applyNumberFormat="1" applyFont="1" applyFill="1" applyBorder="1" applyAlignment="1">
      <alignment horizontal="center" vertical="center"/>
    </xf>
    <xf numFmtId="2" fontId="54" fillId="22" borderId="130" xfId="0" applyNumberFormat="1" applyFont="1" applyFill="1" applyBorder="1"/>
    <xf numFmtId="173" fontId="54" fillId="22" borderId="130" xfId="0" applyNumberFormat="1" applyFont="1" applyFill="1" applyBorder="1"/>
    <xf numFmtId="174" fontId="62" fillId="26" borderId="130" xfId="8" applyNumberFormat="1" applyFont="1" applyFill="1" applyBorder="1"/>
    <xf numFmtId="174" fontId="69" fillId="22" borderId="0" xfId="8" applyNumberFormat="1" applyFont="1" applyFill="1"/>
    <xf numFmtId="174" fontId="62" fillId="22" borderId="130" xfId="8" applyNumberFormat="1" applyFont="1" applyFill="1" applyBorder="1"/>
    <xf numFmtId="173" fontId="59" fillId="31" borderId="0" xfId="0" applyNumberFormat="1" applyFont="1" applyFill="1"/>
    <xf numFmtId="4" fontId="7" fillId="4" borderId="76" xfId="2" applyNumberFormat="1" applyBorder="1" applyAlignment="1">
      <alignment horizontal="right"/>
    </xf>
    <xf numFmtId="175" fontId="7" fillId="4" borderId="76" xfId="2" applyNumberFormat="1" applyBorder="1" applyAlignment="1">
      <alignment horizontal="right"/>
    </xf>
    <xf numFmtId="175" fontId="7" fillId="4" borderId="74" xfId="2" applyNumberFormat="1" applyBorder="1" applyAlignment="1">
      <alignment horizontal="right"/>
    </xf>
    <xf numFmtId="176" fontId="59" fillId="31" borderId="0" xfId="0" applyNumberFormat="1" applyFont="1" applyFill="1"/>
    <xf numFmtId="0" fontId="60" fillId="6" borderId="139" xfId="0" applyFont="1" applyFill="1" applyBorder="1" applyAlignment="1">
      <alignment vertical="center"/>
    </xf>
    <xf numFmtId="0" fontId="60" fillId="6" borderId="143" xfId="0" applyFont="1" applyFill="1" applyBorder="1" applyAlignment="1">
      <alignment vertical="center"/>
    </xf>
    <xf numFmtId="0" fontId="64" fillId="26" borderId="131" xfId="8" applyNumberFormat="1" applyFont="1" applyFill="1" applyBorder="1" applyAlignment="1">
      <alignment horizontal="center" vertical="center" wrapText="1"/>
    </xf>
    <xf numFmtId="3" fontId="62" fillId="0" borderId="0" xfId="8" applyNumberFormat="1" applyFont="1" applyAlignment="1">
      <alignment vertical="center"/>
    </xf>
    <xf numFmtId="3" fontId="62" fillId="0" borderId="0" xfId="8" applyNumberFormat="1" applyFont="1" applyAlignment="1">
      <alignment horizontal="center" vertical="center"/>
    </xf>
    <xf numFmtId="0" fontId="63" fillId="26" borderId="131" xfId="8" applyFont="1" applyFill="1" applyBorder="1" applyAlignment="1">
      <alignment horizontal="left" vertical="center" wrapText="1"/>
    </xf>
    <xf numFmtId="0" fontId="64" fillId="26" borderId="131" xfId="8" applyFont="1" applyFill="1" applyBorder="1" applyAlignment="1">
      <alignment horizontal="center" vertical="center" wrapText="1"/>
    </xf>
    <xf numFmtId="0" fontId="63" fillId="26" borderId="131" xfId="8" applyFont="1" applyFill="1" applyBorder="1" applyAlignment="1">
      <alignment vertical="center" wrapText="1"/>
    </xf>
    <xf numFmtId="0" fontId="63" fillId="0" borderId="131" xfId="8" applyFont="1" applyFill="1" applyBorder="1" applyAlignment="1">
      <alignment horizontal="center" vertical="center" wrapText="1"/>
    </xf>
    <xf numFmtId="0" fontId="63" fillId="26" borderId="131" xfId="8" applyFont="1" applyFill="1" applyBorder="1" applyAlignment="1">
      <alignment horizontal="left" vertical="center" wrapText="1"/>
    </xf>
    <xf numFmtId="0" fontId="64" fillId="26" borderId="131" xfId="8" applyFont="1" applyFill="1" applyBorder="1" applyAlignment="1">
      <alignment horizontal="center" vertical="center" wrapText="1"/>
    </xf>
    <xf numFmtId="0" fontId="63" fillId="26" borderId="131" xfId="8" applyFont="1" applyFill="1" applyBorder="1" applyAlignment="1">
      <alignment vertical="center" wrapText="1"/>
    </xf>
    <xf numFmtId="0" fontId="63" fillId="0" borderId="131" xfId="8" applyFont="1" applyFill="1" applyBorder="1" applyAlignment="1">
      <alignment horizontal="center" vertical="center" wrapText="1"/>
    </xf>
    <xf numFmtId="0" fontId="62" fillId="0" borderId="0" xfId="8" applyFont="1" applyAlignment="1">
      <alignment vertical="center"/>
    </xf>
    <xf numFmtId="0" fontId="62" fillId="0" borderId="0" xfId="8" applyFont="1" applyAlignment="1">
      <alignment horizontal="center" vertical="center"/>
    </xf>
    <xf numFmtId="2" fontId="63" fillId="0" borderId="131" xfId="8" applyNumberFormat="1" applyFont="1" applyBorder="1" applyAlignment="1">
      <alignment horizontal="right" vertical="center" wrapText="1"/>
    </xf>
    <xf numFmtId="2" fontId="63" fillId="0" borderId="131" xfId="8" applyNumberFormat="1" applyFont="1" applyBorder="1" applyAlignment="1">
      <alignment horizontal="center" vertical="center" wrapText="1"/>
    </xf>
    <xf numFmtId="0" fontId="63" fillId="0" borderId="131" xfId="8" applyFont="1" applyBorder="1" applyAlignment="1">
      <alignment horizontal="center" vertical="center" wrapText="1"/>
    </xf>
    <xf numFmtId="0" fontId="63" fillId="26" borderId="131" xfId="8" applyFont="1" applyFill="1" applyBorder="1" applyAlignment="1">
      <alignment horizontal="left" vertical="center" wrapText="1"/>
    </xf>
    <xf numFmtId="0" fontId="64" fillId="26" borderId="131" xfId="8" applyFont="1" applyFill="1" applyBorder="1" applyAlignment="1">
      <alignment horizontal="center" vertical="center" wrapText="1"/>
    </xf>
    <xf numFmtId="0" fontId="63" fillId="22" borderId="131" xfId="8" applyFont="1" applyFill="1" applyBorder="1" applyAlignment="1">
      <alignment horizontal="left" vertical="center" wrapText="1"/>
    </xf>
    <xf numFmtId="0" fontId="63" fillId="26" borderId="131" xfId="8" applyFont="1" applyFill="1" applyBorder="1" applyAlignment="1">
      <alignment vertical="center" wrapText="1"/>
    </xf>
    <xf numFmtId="2" fontId="63" fillId="23" borderId="131" xfId="8" applyNumberFormat="1" applyFont="1" applyFill="1" applyBorder="1" applyAlignment="1">
      <alignment horizontal="center" vertical="center" wrapText="1"/>
    </xf>
    <xf numFmtId="0" fontId="63" fillId="0" borderId="131" xfId="8" applyFont="1" applyFill="1" applyBorder="1" applyAlignment="1">
      <alignment horizontal="center" vertical="center" wrapText="1"/>
    </xf>
    <xf numFmtId="0" fontId="62" fillId="0" borderId="0" xfId="8" applyFont="1" applyAlignment="1">
      <alignment vertical="center"/>
    </xf>
    <xf numFmtId="0" fontId="63" fillId="0" borderId="131" xfId="8" applyFont="1" applyBorder="1" applyAlignment="1">
      <alignment horizontal="left" vertical="center"/>
    </xf>
    <xf numFmtId="2" fontId="63" fillId="0" borderId="131" xfId="8" applyNumberFormat="1" applyFont="1" applyBorder="1" applyAlignment="1">
      <alignment horizontal="right" vertical="center" wrapText="1"/>
    </xf>
    <xf numFmtId="2" fontId="63" fillId="0" borderId="131" xfId="8" applyNumberFormat="1" applyFont="1" applyBorder="1" applyAlignment="1">
      <alignment horizontal="center" vertical="center" wrapText="1"/>
    </xf>
    <xf numFmtId="0" fontId="63" fillId="0" borderId="131" xfId="8" applyFont="1" applyBorder="1" applyAlignment="1">
      <alignment horizontal="center" vertical="center" wrapText="1"/>
    </xf>
    <xf numFmtId="0" fontId="63" fillId="26" borderId="131" xfId="8" applyFont="1" applyFill="1" applyBorder="1" applyAlignment="1">
      <alignment horizontal="left" vertical="center" wrapText="1"/>
    </xf>
    <xf numFmtId="0" fontId="64" fillId="26" borderId="131" xfId="8" applyFont="1" applyFill="1" applyBorder="1" applyAlignment="1">
      <alignment horizontal="center" vertical="center" wrapText="1"/>
    </xf>
    <xf numFmtId="0" fontId="63" fillId="22" borderId="131" xfId="8" applyFont="1" applyFill="1" applyBorder="1" applyAlignment="1">
      <alignment horizontal="left" vertical="center" wrapText="1"/>
    </xf>
    <xf numFmtId="0" fontId="63" fillId="26" borderId="131" xfId="8" applyFont="1" applyFill="1" applyBorder="1" applyAlignment="1">
      <alignment vertical="center" wrapText="1"/>
    </xf>
    <xf numFmtId="2" fontId="63" fillId="23" borderId="131" xfId="8" applyNumberFormat="1" applyFont="1" applyFill="1" applyBorder="1" applyAlignment="1">
      <alignment horizontal="center" vertical="center" wrapText="1"/>
    </xf>
    <xf numFmtId="0" fontId="63" fillId="0" borderId="131" xfId="8" applyFont="1" applyFill="1" applyBorder="1" applyAlignment="1">
      <alignment horizontal="center" vertical="center" wrapText="1"/>
    </xf>
    <xf numFmtId="0" fontId="63" fillId="26" borderId="131" xfId="8" applyFont="1" applyFill="1" applyBorder="1" applyAlignment="1">
      <alignment horizontal="left" vertical="center" wrapText="1"/>
    </xf>
    <xf numFmtId="0" fontId="64" fillId="26" borderId="131" xfId="8" applyFont="1" applyFill="1" applyBorder="1" applyAlignment="1">
      <alignment horizontal="center" vertical="center" wrapText="1"/>
    </xf>
    <xf numFmtId="0" fontId="63" fillId="26" borderId="131" xfId="8" applyFont="1" applyFill="1" applyBorder="1" applyAlignment="1">
      <alignment vertical="center" wrapText="1"/>
    </xf>
    <xf numFmtId="0" fontId="63" fillId="0" borderId="131" xfId="8" applyFont="1" applyFill="1" applyBorder="1" applyAlignment="1">
      <alignment horizontal="center" vertical="center" wrapText="1"/>
    </xf>
    <xf numFmtId="0" fontId="62" fillId="0" borderId="0" xfId="8" applyFont="1" applyAlignment="1">
      <alignment vertical="center"/>
    </xf>
    <xf numFmtId="2" fontId="62" fillId="0" borderId="0" xfId="8" applyNumberFormat="1" applyFont="1" applyAlignment="1">
      <alignment horizontal="center" vertical="center"/>
    </xf>
    <xf numFmtId="2" fontId="63" fillId="0" borderId="131" xfId="8" applyNumberFormat="1" applyFont="1" applyBorder="1" applyAlignment="1">
      <alignment horizontal="right" vertical="center" wrapText="1"/>
    </xf>
    <xf numFmtId="2" fontId="63" fillId="0" borderId="131" xfId="8" applyNumberFormat="1" applyFont="1" applyBorder="1" applyAlignment="1">
      <alignment horizontal="center" vertical="center" wrapText="1"/>
    </xf>
    <xf numFmtId="0" fontId="63" fillId="0" borderId="131" xfId="8" applyFont="1" applyBorder="1" applyAlignment="1">
      <alignment horizontal="center" vertical="center" wrapText="1"/>
    </xf>
    <xf numFmtId="0" fontId="63" fillId="26" borderId="131" xfId="8" applyFont="1" applyFill="1" applyBorder="1" applyAlignment="1">
      <alignment horizontal="left" vertical="center" wrapText="1"/>
    </xf>
    <xf numFmtId="0" fontId="64" fillId="26" borderId="131" xfId="8" applyFont="1" applyFill="1" applyBorder="1" applyAlignment="1">
      <alignment horizontal="center" vertical="center" wrapText="1"/>
    </xf>
    <xf numFmtId="0" fontId="63" fillId="22" borderId="131" xfId="8" applyFont="1" applyFill="1" applyBorder="1" applyAlignment="1">
      <alignment horizontal="left" vertical="center" wrapText="1"/>
    </xf>
    <xf numFmtId="0" fontId="63" fillId="26" borderId="131" xfId="8" applyFont="1" applyFill="1" applyBorder="1" applyAlignment="1">
      <alignment vertical="center" wrapText="1"/>
    </xf>
    <xf numFmtId="2" fontId="63" fillId="23" borderId="131" xfId="8" applyNumberFormat="1" applyFont="1" applyFill="1" applyBorder="1" applyAlignment="1">
      <alignment horizontal="center" vertical="center" wrapText="1"/>
    </xf>
    <xf numFmtId="0" fontId="63" fillId="0" borderId="131" xfId="8" applyFont="1" applyFill="1" applyBorder="1" applyAlignment="1">
      <alignment horizontal="center" vertical="center" wrapText="1"/>
    </xf>
    <xf numFmtId="0" fontId="19" fillId="9" borderId="156" xfId="0" applyFont="1" applyFill="1" applyBorder="1" applyAlignment="1">
      <alignment horizontal="center" vertical="center" wrapText="1"/>
    </xf>
    <xf numFmtId="0" fontId="19" fillId="9" borderId="157" xfId="0" applyFont="1" applyFill="1" applyBorder="1" applyAlignment="1">
      <alignment horizontal="center" vertical="center" wrapText="1"/>
    </xf>
    <xf numFmtId="0" fontId="19" fillId="9" borderId="158" xfId="0" applyFont="1" applyFill="1" applyBorder="1" applyAlignment="1">
      <alignment horizontal="center" vertical="center" wrapText="1"/>
    </xf>
    <xf numFmtId="0" fontId="19" fillId="9" borderId="159" xfId="0" applyFont="1" applyFill="1" applyBorder="1" applyAlignment="1">
      <alignment horizontal="center" vertical="center" wrapText="1"/>
    </xf>
    <xf numFmtId="0" fontId="20" fillId="26" borderId="51" xfId="3" applyFont="1" applyFill="1" applyBorder="1" applyAlignment="1">
      <alignment horizontal="center" vertical="center" wrapText="1"/>
    </xf>
    <xf numFmtId="0" fontId="20" fillId="26" borderId="52" xfId="3" applyFont="1" applyFill="1" applyBorder="1" applyAlignment="1">
      <alignment horizontal="center" vertical="center" wrapText="1"/>
    </xf>
    <xf numFmtId="0" fontId="22" fillId="3" borderId="62" xfId="1" applyFont="1" applyBorder="1" applyAlignment="1">
      <alignment horizontal="center" vertical="center" wrapText="1"/>
    </xf>
    <xf numFmtId="0" fontId="22" fillId="3" borderId="63" xfId="1" applyFont="1" applyBorder="1" applyAlignment="1">
      <alignment horizontal="center" vertical="center" wrapText="1"/>
    </xf>
    <xf numFmtId="0" fontId="15" fillId="8" borderId="57" xfId="0" applyFont="1" applyFill="1" applyBorder="1" applyAlignment="1">
      <alignment horizontal="right" vertical="center" wrapText="1"/>
    </xf>
    <xf numFmtId="0" fontId="15" fillId="8" borderId="33" xfId="0" applyFont="1" applyFill="1" applyBorder="1" applyAlignment="1">
      <alignment horizontal="right" vertical="center" wrapText="1"/>
    </xf>
    <xf numFmtId="0" fontId="17" fillId="15" borderId="22" xfId="0" applyFont="1" applyFill="1" applyBorder="1" applyAlignment="1">
      <alignment horizontal="left" vertical="center" wrapText="1"/>
    </xf>
    <xf numFmtId="0" fontId="17" fillId="15" borderId="37" xfId="0" applyFont="1" applyFill="1" applyBorder="1" applyAlignment="1">
      <alignment horizontal="left" vertical="center" wrapText="1"/>
    </xf>
    <xf numFmtId="0" fontId="15" fillId="8" borderId="58" xfId="0" applyFont="1" applyFill="1" applyBorder="1" applyAlignment="1">
      <alignment horizontal="right" vertical="center" wrapText="1"/>
    </xf>
    <xf numFmtId="0" fontId="15" fillId="8" borderId="59" xfId="0" applyFont="1" applyFill="1" applyBorder="1" applyAlignment="1">
      <alignment horizontal="right" vertical="center" wrapText="1"/>
    </xf>
    <xf numFmtId="0" fontId="18" fillId="0" borderId="0" xfId="0" applyFont="1" applyAlignment="1">
      <alignment horizontal="center"/>
    </xf>
    <xf numFmtId="0" fontId="19" fillId="8" borderId="14" xfId="0" applyFont="1" applyFill="1" applyBorder="1" applyAlignment="1">
      <alignment horizontal="center" vertical="center" wrapText="1"/>
    </xf>
    <xf numFmtId="0" fontId="19" fillId="8" borderId="13" xfId="0" applyFont="1" applyFill="1" applyBorder="1" applyAlignment="1">
      <alignment horizontal="center" vertical="center" wrapText="1"/>
    </xf>
    <xf numFmtId="0" fontId="19" fillId="8" borderId="15" xfId="0" applyFont="1" applyFill="1" applyBorder="1" applyAlignment="1">
      <alignment horizontal="center" vertical="center" wrapText="1"/>
    </xf>
    <xf numFmtId="0" fontId="19" fillId="8" borderId="5" xfId="0" applyFont="1" applyFill="1" applyBorder="1" applyAlignment="1">
      <alignment horizontal="center" vertical="center" wrapText="1"/>
    </xf>
    <xf numFmtId="0" fontId="19" fillId="0" borderId="23" xfId="0" applyFont="1" applyBorder="1" applyAlignment="1">
      <alignment horizontal="center" vertical="center" wrapText="1"/>
    </xf>
    <xf numFmtId="0" fontId="19" fillId="0" borderId="0" xfId="0" applyFont="1" applyAlignment="1">
      <alignment horizontal="center" vertical="center" wrapText="1"/>
    </xf>
    <xf numFmtId="0" fontId="21" fillId="4" borderId="50" xfId="2" applyFont="1" applyBorder="1" applyAlignment="1">
      <alignment horizontal="center" vertical="center" wrapText="1"/>
    </xf>
    <xf numFmtId="0" fontId="21" fillId="4" borderId="43" xfId="2" applyFont="1" applyBorder="1" applyAlignment="1">
      <alignment horizontal="center" vertical="center" wrapText="1"/>
    </xf>
    <xf numFmtId="0" fontId="15" fillId="15" borderId="22" xfId="0" applyFont="1" applyFill="1" applyBorder="1" applyAlignment="1">
      <alignment horizontal="left" vertical="center" wrapText="1"/>
    </xf>
    <xf numFmtId="0" fontId="15" fillId="15" borderId="37" xfId="0" applyFont="1" applyFill="1" applyBorder="1" applyAlignment="1">
      <alignment horizontal="left" vertical="center" wrapText="1"/>
    </xf>
    <xf numFmtId="0" fontId="45" fillId="15" borderId="22" xfId="6" applyFill="1" applyBorder="1" applyAlignment="1">
      <alignment horizontal="left" vertical="center" wrapText="1"/>
    </xf>
    <xf numFmtId="0" fontId="83" fillId="0" borderId="0" xfId="0" applyFont="1" applyAlignment="1">
      <alignment horizontal="center" wrapText="1"/>
    </xf>
    <xf numFmtId="0" fontId="84" fillId="0" borderId="0" xfId="0" applyFont="1" applyAlignment="1">
      <alignment horizontal="center" wrapText="1"/>
    </xf>
    <xf numFmtId="0" fontId="15" fillId="8" borderId="53" xfId="0" applyFont="1" applyFill="1" applyBorder="1" applyAlignment="1">
      <alignment horizontal="right" vertical="center" wrapText="1"/>
    </xf>
    <xf numFmtId="0" fontId="15" fillId="8" borderId="54" xfId="0" applyFont="1" applyFill="1" applyBorder="1" applyAlignment="1">
      <alignment horizontal="right" vertical="center" wrapText="1"/>
    </xf>
    <xf numFmtId="0" fontId="16" fillId="15" borderId="55" xfId="0" applyFont="1" applyFill="1" applyBorder="1" applyAlignment="1">
      <alignment horizontal="left" vertical="center" wrapText="1"/>
    </xf>
    <xf numFmtId="0" fontId="16" fillId="15" borderId="56" xfId="0" applyFont="1" applyFill="1" applyBorder="1" applyAlignment="1">
      <alignment horizontal="left" vertical="center" wrapText="1"/>
    </xf>
    <xf numFmtId="0" fontId="8" fillId="0" borderId="130" xfId="0" applyFont="1" applyBorder="1" applyAlignment="1">
      <alignment horizontal="center"/>
    </xf>
    <xf numFmtId="169" fontId="77" fillId="10" borderId="135" xfId="0" applyNumberFormat="1" applyFont="1" applyFill="1" applyBorder="1" applyAlignment="1">
      <alignment horizontal="center" vertical="center"/>
    </xf>
    <xf numFmtId="0" fontId="77" fillId="10" borderId="151" xfId="0" applyFont="1" applyFill="1" applyBorder="1" applyAlignment="1">
      <alignment horizontal="center"/>
    </xf>
    <xf numFmtId="0" fontId="77" fillId="10" borderId="136" xfId="0" applyFont="1" applyFill="1" applyBorder="1" applyAlignment="1">
      <alignment horizontal="center"/>
    </xf>
    <xf numFmtId="169" fontId="77" fillId="10" borderId="151" xfId="0" applyNumberFormat="1" applyFont="1" applyFill="1" applyBorder="1" applyAlignment="1">
      <alignment horizontal="center" vertical="center"/>
    </xf>
    <xf numFmtId="169" fontId="77" fillId="10" borderId="155" xfId="0" applyNumberFormat="1" applyFont="1" applyFill="1" applyBorder="1" applyAlignment="1">
      <alignment horizontal="center" vertical="center"/>
    </xf>
    <xf numFmtId="0" fontId="77" fillId="10" borderId="151" xfId="0" applyFont="1" applyFill="1" applyBorder="1" applyAlignment="1">
      <alignment horizontal="left" vertical="center"/>
    </xf>
    <xf numFmtId="0" fontId="77" fillId="10" borderId="136" xfId="0" applyFont="1" applyFill="1" applyBorder="1" applyAlignment="1">
      <alignment horizontal="left" vertical="center"/>
    </xf>
    <xf numFmtId="0" fontId="77" fillId="10" borderId="152" xfId="0" applyFont="1" applyFill="1" applyBorder="1" applyAlignment="1">
      <alignment horizontal="left" vertical="center"/>
    </xf>
    <xf numFmtId="0" fontId="77" fillId="10" borderId="134" xfId="0" applyFont="1" applyFill="1" applyBorder="1" applyAlignment="1">
      <alignment horizontal="left" vertical="center"/>
    </xf>
    <xf numFmtId="0" fontId="77" fillId="10" borderId="153" xfId="0" applyFont="1" applyFill="1" applyBorder="1" applyAlignment="1">
      <alignment horizontal="left" vertical="center"/>
    </xf>
    <xf numFmtId="0" fontId="77" fillId="10" borderId="154" xfId="0" applyFont="1" applyFill="1" applyBorder="1" applyAlignment="1">
      <alignment horizontal="left" vertical="center"/>
    </xf>
    <xf numFmtId="0" fontId="77" fillId="10" borderId="133" xfId="0" applyFont="1" applyFill="1" applyBorder="1" applyAlignment="1">
      <alignment horizontal="left" vertical="center"/>
    </xf>
    <xf numFmtId="0" fontId="77" fillId="10" borderId="150" xfId="0" applyFont="1" applyFill="1" applyBorder="1" applyAlignment="1">
      <alignment horizontal="left" vertical="center"/>
    </xf>
    <xf numFmtId="0" fontId="77" fillId="10" borderId="152" xfId="0" applyFont="1" applyFill="1" applyBorder="1" applyAlignment="1">
      <alignment horizontal="center" vertical="center"/>
    </xf>
    <xf numFmtId="0" fontId="77" fillId="10" borderId="160" xfId="0" applyFont="1" applyFill="1" applyBorder="1" applyAlignment="1">
      <alignment horizontal="center" vertical="center"/>
    </xf>
    <xf numFmtId="0" fontId="77" fillId="10" borderId="153" xfId="0" applyFont="1" applyFill="1" applyBorder="1" applyAlignment="1">
      <alignment horizontal="center" vertical="center"/>
    </xf>
    <xf numFmtId="0" fontId="77" fillId="10" borderId="149" xfId="0" applyFont="1" applyFill="1" applyBorder="1" applyAlignment="1">
      <alignment horizontal="left" vertical="center"/>
    </xf>
    <xf numFmtId="0" fontId="76" fillId="33" borderId="160" xfId="0" applyFont="1" applyFill="1" applyBorder="1" applyAlignment="1">
      <alignment horizontal="center" wrapText="1"/>
    </xf>
    <xf numFmtId="0" fontId="76" fillId="33" borderId="0" xfId="0" applyFont="1" applyFill="1" applyAlignment="1">
      <alignment horizontal="center" wrapText="1"/>
    </xf>
    <xf numFmtId="0" fontId="76" fillId="33" borderId="135" xfId="0" applyFont="1" applyFill="1" applyBorder="1" applyAlignment="1">
      <alignment horizontal="center" wrapText="1"/>
    </xf>
    <xf numFmtId="0" fontId="76" fillId="33" borderId="135" xfId="0" applyFont="1" applyFill="1" applyBorder="1" applyAlignment="1">
      <alignment horizontal="center" vertical="center" wrapText="1"/>
    </xf>
    <xf numFmtId="0" fontId="76" fillId="33" borderId="151" xfId="0" applyFont="1" applyFill="1" applyBorder="1" applyAlignment="1">
      <alignment horizontal="center" wrapText="1"/>
    </xf>
    <xf numFmtId="0" fontId="76" fillId="33" borderId="155" xfId="0" applyFont="1" applyFill="1" applyBorder="1" applyAlignment="1">
      <alignment horizontal="center" wrapText="1"/>
    </xf>
    <xf numFmtId="0" fontId="76" fillId="33" borderId="136" xfId="0" applyFont="1" applyFill="1" applyBorder="1" applyAlignment="1">
      <alignment horizontal="center" wrapText="1"/>
    </xf>
    <xf numFmtId="0" fontId="76" fillId="33" borderId="152" xfId="0" applyFont="1" applyFill="1" applyBorder="1" applyAlignment="1">
      <alignment horizontal="center" vertical="center" wrapText="1"/>
    </xf>
    <xf numFmtId="0" fontId="76" fillId="33" borderId="134" xfId="0" applyFont="1" applyFill="1" applyBorder="1" applyAlignment="1">
      <alignment horizontal="center" vertical="center" wrapText="1"/>
    </xf>
    <xf numFmtId="0" fontId="76" fillId="33" borderId="153" xfId="0" applyFont="1" applyFill="1" applyBorder="1" applyAlignment="1">
      <alignment horizontal="center" vertical="center" wrapText="1"/>
    </xf>
    <xf numFmtId="0" fontId="76" fillId="33" borderId="154" xfId="0" applyFont="1" applyFill="1" applyBorder="1" applyAlignment="1">
      <alignment horizontal="center" vertical="center" wrapText="1"/>
    </xf>
    <xf numFmtId="0" fontId="76" fillId="33" borderId="133" xfId="0" applyFont="1" applyFill="1" applyBorder="1" applyAlignment="1">
      <alignment horizontal="center" vertical="center" wrapText="1"/>
    </xf>
    <xf numFmtId="0" fontId="76" fillId="33" borderId="150" xfId="0" applyFont="1" applyFill="1" applyBorder="1" applyAlignment="1">
      <alignment horizontal="center" vertical="center" wrapText="1"/>
    </xf>
    <xf numFmtId="0" fontId="0" fillId="6" borderId="25" xfId="0" applyFill="1" applyBorder="1" applyAlignment="1">
      <alignment horizontal="center" vertical="top" wrapText="1"/>
    </xf>
    <xf numFmtId="0" fontId="0" fillId="6" borderId="5" xfId="0" applyFill="1" applyBorder="1" applyAlignment="1">
      <alignment horizontal="center" vertical="top" wrapText="1"/>
    </xf>
    <xf numFmtId="0" fontId="9" fillId="6" borderId="28" xfId="0" applyFont="1" applyFill="1" applyBorder="1" applyAlignment="1">
      <alignment horizontal="center" vertical="top" wrapText="1"/>
    </xf>
    <xf numFmtId="0" fontId="9" fillId="6" borderId="29" xfId="0" applyFont="1" applyFill="1" applyBorder="1" applyAlignment="1">
      <alignment horizontal="center" vertical="top" wrapText="1"/>
    </xf>
    <xf numFmtId="0" fontId="9" fillId="6" borderId="30" xfId="0" applyFont="1" applyFill="1" applyBorder="1" applyAlignment="1">
      <alignment horizontal="center" vertical="top" wrapText="1"/>
    </xf>
    <xf numFmtId="0" fontId="9" fillId="6" borderId="14" xfId="0" applyFont="1" applyFill="1" applyBorder="1" applyAlignment="1">
      <alignment horizontal="center" vertical="top" wrapText="1"/>
    </xf>
    <xf numFmtId="0" fontId="9" fillId="6" borderId="23" xfId="0" applyFont="1" applyFill="1" applyBorder="1" applyAlignment="1">
      <alignment horizontal="center" vertical="top" wrapText="1"/>
    </xf>
    <xf numFmtId="0" fontId="9" fillId="6" borderId="13" xfId="0" applyFont="1" applyFill="1" applyBorder="1" applyAlignment="1">
      <alignment horizontal="center" vertical="top" wrapText="1"/>
    </xf>
    <xf numFmtId="0" fontId="0" fillId="6" borderId="31" xfId="0" applyFill="1" applyBorder="1" applyAlignment="1">
      <alignment horizontal="center" vertical="top" wrapText="1"/>
    </xf>
    <xf numFmtId="0" fontId="0" fillId="6" borderId="13" xfId="0" applyFill="1" applyBorder="1" applyAlignment="1">
      <alignment horizontal="center" vertical="top" wrapText="1"/>
    </xf>
    <xf numFmtId="0" fontId="50" fillId="22" borderId="53" xfId="0" applyFont="1" applyFill="1" applyBorder="1" applyAlignment="1">
      <alignment horizontal="center" vertical="top" wrapText="1"/>
    </xf>
    <xf numFmtId="0" fontId="50" fillId="22" borderId="110" xfId="0" applyFont="1" applyFill="1" applyBorder="1" applyAlignment="1">
      <alignment horizontal="center" vertical="top" wrapText="1"/>
    </xf>
    <xf numFmtId="0" fontId="50" fillId="22" borderId="58" xfId="0" applyFont="1" applyFill="1" applyBorder="1" applyAlignment="1">
      <alignment horizontal="center" vertical="top" wrapText="1"/>
    </xf>
    <xf numFmtId="0" fontId="50" fillId="22" borderId="129" xfId="0" applyFont="1" applyFill="1" applyBorder="1" applyAlignment="1">
      <alignment horizontal="center" vertical="top" wrapText="1"/>
    </xf>
    <xf numFmtId="0" fontId="9" fillId="6" borderId="18" xfId="0" applyFont="1" applyFill="1" applyBorder="1" applyAlignment="1">
      <alignment horizontal="center" vertical="top" wrapText="1"/>
    </xf>
    <xf numFmtId="0" fontId="9" fillId="6" borderId="58" xfId="0" applyFont="1" applyFill="1" applyBorder="1" applyAlignment="1">
      <alignment horizontal="center" vertical="top" wrapText="1"/>
    </xf>
    <xf numFmtId="0" fontId="9" fillId="6" borderId="128" xfId="0" applyFont="1" applyFill="1" applyBorder="1" applyAlignment="1">
      <alignment horizontal="center" vertical="top" wrapText="1"/>
    </xf>
    <xf numFmtId="0" fontId="9" fillId="6" borderId="129" xfId="0" applyFont="1" applyFill="1" applyBorder="1" applyAlignment="1">
      <alignment horizontal="center" vertical="top" wrapText="1"/>
    </xf>
    <xf numFmtId="0" fontId="8" fillId="0" borderId="14" xfId="0" applyFont="1" applyBorder="1" applyAlignment="1">
      <alignment horizontal="center" vertical="top" wrapText="1"/>
    </xf>
    <xf numFmtId="0" fontId="8" fillId="0" borderId="23" xfId="0" applyFont="1" applyBorder="1" applyAlignment="1">
      <alignment horizontal="center" vertical="top" wrapText="1"/>
    </xf>
    <xf numFmtId="0" fontId="8" fillId="0" borderId="15" xfId="0" applyFont="1" applyBorder="1" applyAlignment="1">
      <alignment horizontal="center" vertical="top" wrapText="1"/>
    </xf>
    <xf numFmtId="0" fontId="8" fillId="0" borderId="26" xfId="0" applyFont="1" applyBorder="1" applyAlignment="1">
      <alignment horizontal="center" vertical="top" wrapText="1"/>
    </xf>
    <xf numFmtId="0" fontId="9" fillId="6" borderId="24" xfId="0" applyFont="1" applyFill="1" applyBorder="1" applyAlignment="1">
      <alignment horizontal="center" vertical="top" wrapText="1"/>
    </xf>
    <xf numFmtId="0" fontId="9" fillId="6" borderId="0" xfId="0" applyFont="1" applyFill="1" applyAlignment="1">
      <alignment horizontal="center" vertical="top" wrapText="1"/>
    </xf>
    <xf numFmtId="0" fontId="9" fillId="6" borderId="20" xfId="0" applyFont="1" applyFill="1" applyBorder="1" applyAlignment="1">
      <alignment horizontal="center" vertical="top" wrapText="1"/>
    </xf>
    <xf numFmtId="0" fontId="9" fillId="6" borderId="19" xfId="0" applyFont="1" applyFill="1" applyBorder="1" applyAlignment="1">
      <alignment horizontal="center" vertical="top" wrapText="1"/>
    </xf>
    <xf numFmtId="0" fontId="9" fillId="6" borderId="6" xfId="0" applyFont="1" applyFill="1" applyBorder="1" applyAlignment="1">
      <alignment horizontal="center" vertical="top" wrapText="1"/>
    </xf>
    <xf numFmtId="0" fontId="8" fillId="0" borderId="14" xfId="0" applyFont="1" applyBorder="1" applyAlignment="1">
      <alignment horizontal="left" vertical="top" wrapText="1"/>
    </xf>
    <xf numFmtId="0" fontId="8" fillId="0" borderId="24" xfId="0" applyFont="1" applyBorder="1" applyAlignment="1">
      <alignment horizontal="left" vertical="top" wrapText="1"/>
    </xf>
    <xf numFmtId="0" fontId="8" fillId="0" borderId="15" xfId="0" applyFont="1" applyBorder="1" applyAlignment="1">
      <alignment horizontal="left" vertical="top" wrapText="1"/>
    </xf>
    <xf numFmtId="0" fontId="0" fillId="0" borderId="23" xfId="0" applyBorder="1" applyAlignment="1">
      <alignment horizontal="left" vertical="top" wrapText="1"/>
    </xf>
    <xf numFmtId="0" fontId="0" fillId="0" borderId="0" xfId="0" applyAlignment="1">
      <alignment horizontal="left" vertical="top" wrapText="1"/>
    </xf>
    <xf numFmtId="0" fontId="0" fillId="0" borderId="26" xfId="0" applyBorder="1" applyAlignment="1">
      <alignment horizontal="left" vertical="top" wrapText="1"/>
    </xf>
    <xf numFmtId="0" fontId="0" fillId="22" borderId="14" xfId="0" applyFill="1" applyBorder="1" applyAlignment="1">
      <alignment horizontal="center" vertical="top" wrapText="1"/>
    </xf>
    <xf numFmtId="0" fontId="0" fillId="22" borderId="23" xfId="0" applyFill="1" applyBorder="1" applyAlignment="1">
      <alignment horizontal="center" vertical="top" wrapText="1"/>
    </xf>
    <xf numFmtId="0" fontId="0" fillId="22" borderId="13" xfId="0" applyFill="1" applyBorder="1" applyAlignment="1">
      <alignment horizontal="center" vertical="top" wrapText="1"/>
    </xf>
    <xf numFmtId="0" fontId="0" fillId="16" borderId="14" xfId="0" applyFill="1" applyBorder="1" applyAlignment="1">
      <alignment horizontal="center" vertical="top" wrapText="1"/>
    </xf>
    <xf numFmtId="0" fontId="0" fillId="16" borderId="23" xfId="0" applyFill="1" applyBorder="1" applyAlignment="1">
      <alignment horizontal="center" vertical="top" wrapText="1"/>
    </xf>
    <xf numFmtId="0" fontId="0" fillId="16" borderId="13" xfId="0" applyFill="1" applyBorder="1" applyAlignment="1">
      <alignment horizontal="center" vertical="top" wrapText="1"/>
    </xf>
    <xf numFmtId="0" fontId="0" fillId="0" borderId="15" xfId="0" applyBorder="1" applyAlignment="1">
      <alignment horizontal="center" vertical="top" wrapText="1"/>
    </xf>
    <xf numFmtId="0" fontId="0" fillId="0" borderId="26" xfId="0" applyBorder="1" applyAlignment="1">
      <alignment horizontal="center" vertical="top" wrapText="1"/>
    </xf>
    <xf numFmtId="0" fontId="0" fillId="0" borderId="5" xfId="0" applyBorder="1" applyAlignment="1">
      <alignment horizontal="center" vertical="top" wrapText="1"/>
    </xf>
    <xf numFmtId="0" fontId="8" fillId="7" borderId="24" xfId="0" applyFont="1" applyFill="1" applyBorder="1" applyAlignment="1">
      <alignment horizontal="left" vertical="top" wrapText="1"/>
    </xf>
    <xf numFmtId="0" fontId="8" fillId="7" borderId="15" xfId="0" applyFont="1" applyFill="1" applyBorder="1" applyAlignment="1">
      <alignment horizontal="left" vertical="top" wrapText="1"/>
    </xf>
    <xf numFmtId="0" fontId="0" fillId="7" borderId="0" xfId="0" applyFill="1" applyAlignment="1">
      <alignment horizontal="left" vertical="top" wrapText="1"/>
    </xf>
    <xf numFmtId="0" fontId="0" fillId="7" borderId="26" xfId="0" applyFill="1" applyBorder="1" applyAlignment="1">
      <alignment horizontal="left" vertical="top" wrapText="1"/>
    </xf>
    <xf numFmtId="0" fontId="52" fillId="0" borderId="0" xfId="0" applyFont="1" applyAlignment="1">
      <alignment horizontal="left" vertical="top" wrapText="1"/>
    </xf>
    <xf numFmtId="0" fontId="74" fillId="0" borderId="112" xfId="0" applyFont="1" applyBorder="1" applyAlignment="1">
      <alignment horizontal="left" vertical="top" wrapText="1"/>
    </xf>
    <xf numFmtId="0" fontId="74" fillId="0" borderId="18" xfId="0" applyFont="1" applyBorder="1" applyAlignment="1">
      <alignment horizontal="left" vertical="top" wrapText="1"/>
    </xf>
    <xf numFmtId="0" fontId="74" fillId="0" borderId="33" xfId="0" applyFont="1" applyBorder="1" applyAlignment="1">
      <alignment horizontal="left" vertical="top" wrapText="1"/>
    </xf>
    <xf numFmtId="0" fontId="74" fillId="0" borderId="103" xfId="0" applyFont="1" applyBorder="1" applyAlignment="1">
      <alignment horizontal="left" vertical="top" wrapText="1"/>
    </xf>
    <xf numFmtId="0" fontId="64" fillId="22" borderId="137" xfId="8" applyFont="1" applyFill="1" applyBorder="1" applyAlignment="1">
      <alignment horizontal="center" vertical="center" wrapText="1"/>
    </xf>
    <xf numFmtId="0" fontId="64" fillId="22" borderId="138" xfId="8" applyFont="1" applyFill="1" applyBorder="1" applyAlignment="1">
      <alignment horizontal="center" vertical="center" wrapText="1"/>
    </xf>
    <xf numFmtId="0" fontId="64" fillId="22" borderId="132" xfId="8" applyFont="1" applyFill="1" applyBorder="1" applyAlignment="1">
      <alignment horizontal="center" vertical="center" wrapText="1"/>
    </xf>
    <xf numFmtId="0" fontId="64" fillId="28" borderId="137" xfId="8" applyFont="1" applyFill="1" applyBorder="1" applyAlignment="1">
      <alignment horizontal="center" vertical="center" wrapText="1"/>
    </xf>
    <xf numFmtId="0" fontId="64" fillId="28" borderId="138" xfId="8" applyFont="1" applyFill="1" applyBorder="1" applyAlignment="1">
      <alignment horizontal="center" vertical="center" wrapText="1"/>
    </xf>
    <xf numFmtId="0" fontId="64" fillId="28" borderId="132" xfId="8" applyFont="1" applyFill="1" applyBorder="1" applyAlignment="1">
      <alignment horizontal="center" vertical="center" wrapText="1"/>
    </xf>
    <xf numFmtId="0" fontId="64" fillId="26" borderId="137" xfId="8" applyFont="1" applyFill="1" applyBorder="1" applyAlignment="1">
      <alignment horizontal="center" vertical="center" wrapText="1"/>
    </xf>
    <xf numFmtId="0" fontId="64" fillId="26" borderId="132" xfId="8" applyFont="1" applyFill="1" applyBorder="1" applyAlignment="1">
      <alignment horizontal="center" vertical="center" wrapText="1"/>
    </xf>
    <xf numFmtId="0" fontId="63" fillId="27" borderId="137" xfId="8" applyFont="1" applyFill="1" applyBorder="1" applyAlignment="1">
      <alignment horizontal="center" vertical="center" wrapText="1"/>
    </xf>
    <xf numFmtId="0" fontId="63" fillId="27" borderId="138" xfId="8" applyFont="1" applyFill="1" applyBorder="1" applyAlignment="1">
      <alignment horizontal="center" vertical="center" wrapText="1"/>
    </xf>
    <xf numFmtId="0" fontId="63" fillId="27" borderId="132" xfId="8" applyFont="1" applyFill="1" applyBorder="1" applyAlignment="1">
      <alignment horizontal="center" vertical="center" wrapText="1"/>
    </xf>
    <xf numFmtId="0" fontId="61" fillId="22" borderId="130" xfId="8" applyFill="1" applyBorder="1" applyAlignment="1">
      <alignment horizontal="center"/>
    </xf>
    <xf numFmtId="0" fontId="55" fillId="32" borderId="145" xfId="0" applyFont="1" applyFill="1" applyBorder="1" applyAlignment="1">
      <alignment horizontal="center"/>
    </xf>
    <xf numFmtId="0" fontId="55" fillId="32" borderId="146" xfId="0" applyFont="1" applyFill="1" applyBorder="1" applyAlignment="1">
      <alignment horizontal="center"/>
    </xf>
    <xf numFmtId="0" fontId="55" fillId="32" borderId="147" xfId="0" applyFont="1" applyFill="1" applyBorder="1" applyAlignment="1">
      <alignment horizontal="center"/>
    </xf>
    <xf numFmtId="0" fontId="59" fillId="22" borderId="0" xfId="0" applyFont="1" applyFill="1" applyAlignment="1">
      <alignment horizontal="left"/>
    </xf>
    <xf numFmtId="0" fontId="59" fillId="22" borderId="148" xfId="0" applyFont="1" applyFill="1" applyBorder="1" applyAlignment="1">
      <alignment horizontal="left"/>
    </xf>
    <xf numFmtId="0" fontId="54" fillId="26" borderId="165" xfId="0" applyFont="1" applyFill="1" applyBorder="1" applyAlignment="1">
      <alignment horizontal="center"/>
    </xf>
    <xf numFmtId="0" fontId="54" fillId="26" borderId="0" xfId="0" applyFont="1" applyFill="1" applyAlignment="1">
      <alignment horizontal="center"/>
    </xf>
    <xf numFmtId="0" fontId="54" fillId="26" borderId="166" xfId="0" applyFont="1" applyFill="1" applyBorder="1" applyAlignment="1">
      <alignment horizontal="center"/>
    </xf>
    <xf numFmtId="0" fontId="54" fillId="26" borderId="165" xfId="0" applyFont="1" applyFill="1" applyBorder="1" applyAlignment="1">
      <alignment horizontal="left"/>
    </xf>
    <xf numFmtId="0" fontId="54" fillId="26" borderId="0" xfId="0" applyFont="1" applyFill="1" applyAlignment="1">
      <alignment horizontal="left"/>
    </xf>
    <xf numFmtId="0" fontId="57" fillId="25" borderId="130" xfId="0" applyFont="1" applyFill="1" applyBorder="1" applyAlignment="1">
      <alignment horizontal="center"/>
    </xf>
    <xf numFmtId="0" fontId="54" fillId="26" borderId="130" xfId="0" applyFont="1" applyFill="1" applyBorder="1" applyAlignment="1">
      <alignment horizontal="left" vertical="top"/>
    </xf>
    <xf numFmtId="0" fontId="54" fillId="22" borderId="130" xfId="0" applyFont="1" applyFill="1" applyBorder="1" applyAlignment="1">
      <alignment horizontal="left" vertical="top"/>
    </xf>
    <xf numFmtId="0" fontId="27" fillId="0" borderId="0" xfId="0" applyFont="1" applyAlignment="1">
      <alignment horizontal="center"/>
    </xf>
    <xf numFmtId="0" fontId="30" fillId="0" borderId="0" xfId="0" applyFont="1" applyAlignment="1">
      <alignment horizontal="left" vertical="top" wrapText="1"/>
    </xf>
    <xf numFmtId="0" fontId="24" fillId="0" borderId="26" xfId="0" applyFont="1" applyBorder="1" applyAlignment="1">
      <alignment horizontal="left"/>
    </xf>
    <xf numFmtId="0" fontId="24" fillId="0" borderId="27" xfId="0" applyFont="1" applyBorder="1" applyAlignment="1">
      <alignment horizontal="left"/>
    </xf>
    <xf numFmtId="0" fontId="23" fillId="11" borderId="28" xfId="0" applyFont="1" applyFill="1" applyBorder="1" applyAlignment="1">
      <alignment horizontal="left"/>
    </xf>
    <xf numFmtId="0" fontId="23" fillId="11" borderId="29" xfId="0" applyFont="1" applyFill="1" applyBorder="1" applyAlignment="1">
      <alignment horizontal="left"/>
    </xf>
    <xf numFmtId="0" fontId="0" fillId="0" borderId="0" xfId="0" applyAlignment="1">
      <alignment horizontal="center" vertical="center" wrapText="1"/>
    </xf>
    <xf numFmtId="0" fontId="0" fillId="0" borderId="0" xfId="0" applyAlignment="1">
      <alignment horizontal="center" vertical="center"/>
    </xf>
    <xf numFmtId="0" fontId="23" fillId="11" borderId="0" xfId="0" applyFont="1" applyFill="1" applyAlignment="1">
      <alignment horizontal="left"/>
    </xf>
    <xf numFmtId="0" fontId="52" fillId="0" borderId="21" xfId="0" applyFont="1" applyBorder="1" applyAlignment="1">
      <alignment horizontal="left"/>
    </xf>
    <xf numFmtId="0" fontId="23" fillId="17" borderId="28" xfId="0" applyFont="1" applyFill="1" applyBorder="1" applyAlignment="1">
      <alignment horizontal="left"/>
    </xf>
    <xf numFmtId="0" fontId="23" fillId="17" borderId="29" xfId="0" applyFont="1" applyFill="1" applyBorder="1" applyAlignment="1">
      <alignment horizontal="left"/>
    </xf>
    <xf numFmtId="0" fontId="51" fillId="0" borderId="0" xfId="0" applyFont="1"/>
    <xf numFmtId="0" fontId="23" fillId="37" borderId="28" xfId="0" applyFont="1" applyFill="1" applyBorder="1" applyAlignment="1">
      <alignment horizontal="left"/>
    </xf>
    <xf numFmtId="0" fontId="23" fillId="37" borderId="29" xfId="0" applyFont="1" applyFill="1" applyBorder="1" applyAlignment="1">
      <alignment horizontal="left"/>
    </xf>
    <xf numFmtId="0" fontId="53" fillId="0" borderId="21" xfId="0" applyFont="1" applyBorder="1" applyAlignment="1">
      <alignment horizontal="left"/>
    </xf>
    <xf numFmtId="0" fontId="51" fillId="0" borderId="0" xfId="0" applyFont="1" applyAlignment="1">
      <alignment wrapText="1"/>
    </xf>
    <xf numFmtId="0" fontId="23" fillId="17" borderId="0" xfId="0" applyFont="1" applyFill="1" applyAlignment="1">
      <alignment horizontal="left"/>
    </xf>
    <xf numFmtId="0" fontId="23" fillId="37" borderId="0" xfId="0" applyFont="1" applyFill="1" applyAlignment="1">
      <alignment horizontal="left"/>
    </xf>
    <xf numFmtId="0" fontId="1" fillId="24" borderId="8" xfId="0" applyFont="1" applyFill="1" applyBorder="1" applyAlignment="1">
      <alignment horizontal="center" vertical="top"/>
    </xf>
    <xf numFmtId="0" fontId="1" fillId="24" borderId="74" xfId="0" applyFont="1" applyFill="1" applyBorder="1" applyAlignment="1">
      <alignment horizontal="center" vertical="top"/>
    </xf>
    <xf numFmtId="0" fontId="5" fillId="24" borderId="8" xfId="0" applyFont="1" applyFill="1" applyBorder="1" applyAlignment="1">
      <alignment horizontal="left" vertical="top" wrapText="1"/>
    </xf>
    <xf numFmtId="0" fontId="5" fillId="24" borderId="74" xfId="0" applyFont="1" applyFill="1" applyBorder="1" applyAlignment="1">
      <alignment horizontal="left" vertical="top" wrapText="1"/>
    </xf>
    <xf numFmtId="0" fontId="1" fillId="24" borderId="8" xfId="0" applyFont="1" applyFill="1" applyBorder="1" applyAlignment="1">
      <alignment vertical="top" wrapText="1"/>
    </xf>
    <xf numFmtId="0" fontId="1" fillId="24" borderId="74" xfId="0" applyFont="1" applyFill="1" applyBorder="1" applyAlignment="1">
      <alignment vertical="top" wrapText="1"/>
    </xf>
    <xf numFmtId="2" fontId="3" fillId="26" borderId="85" xfId="3" applyNumberFormat="1" applyFont="1" applyFill="1" applyBorder="1" applyAlignment="1">
      <alignment horizontal="right" vertical="top" wrapText="1"/>
    </xf>
    <xf numFmtId="2" fontId="3" fillId="26" borderId="86" xfId="3" applyNumberFormat="1" applyFont="1" applyFill="1" applyBorder="1" applyAlignment="1">
      <alignment horizontal="right" vertical="top" wrapText="1"/>
    </xf>
    <xf numFmtId="0" fontId="5" fillId="24" borderId="7" xfId="0" applyFont="1" applyFill="1" applyBorder="1" applyAlignment="1">
      <alignment horizontal="left" vertical="top" wrapText="1"/>
    </xf>
    <xf numFmtId="0" fontId="5" fillId="24" borderId="4" xfId="0" applyFont="1" applyFill="1" applyBorder="1" applyAlignment="1">
      <alignment horizontal="left" vertical="top" wrapText="1"/>
    </xf>
    <xf numFmtId="166" fontId="39" fillId="3" borderId="8" xfId="4" applyNumberFormat="1" applyFont="1" applyFill="1" applyBorder="1" applyAlignment="1">
      <alignment horizontal="right" vertical="top" wrapText="1"/>
    </xf>
    <xf numFmtId="166" fontId="39" fillId="3" borderId="9" xfId="4" applyNumberFormat="1" applyFont="1" applyFill="1" applyBorder="1" applyAlignment="1">
      <alignment horizontal="right" vertical="top" wrapText="1"/>
    </xf>
    <xf numFmtId="166" fontId="39" fillId="3" borderId="8" xfId="4" applyNumberFormat="1" applyFont="1" applyFill="1" applyBorder="1" applyAlignment="1">
      <alignment vertical="top" wrapText="1"/>
    </xf>
    <xf numFmtId="166" fontId="39" fillId="3" borderId="9" xfId="4" applyNumberFormat="1" applyFont="1" applyFill="1" applyBorder="1" applyAlignment="1">
      <alignment vertical="top" wrapText="1"/>
    </xf>
    <xf numFmtId="0" fontId="5" fillId="24" borderId="14" xfId="0" applyFont="1" applyFill="1" applyBorder="1" applyAlignment="1">
      <alignment horizontal="left" vertical="top" wrapText="1"/>
    </xf>
    <xf numFmtId="0" fontId="5" fillId="24" borderId="15" xfId="0" applyFont="1" applyFill="1" applyBorder="1" applyAlignment="1">
      <alignment horizontal="left" vertical="top" wrapText="1"/>
    </xf>
    <xf numFmtId="2" fontId="39" fillId="3" borderId="8" xfId="4" applyNumberFormat="1" applyFont="1" applyFill="1" applyBorder="1" applyAlignment="1">
      <alignment vertical="top" wrapText="1"/>
    </xf>
    <xf numFmtId="2" fontId="39" fillId="3" borderId="9" xfId="4" applyNumberFormat="1" applyFont="1" applyFill="1" applyBorder="1" applyAlignment="1">
      <alignment vertical="top" wrapText="1"/>
    </xf>
    <xf numFmtId="0" fontId="1" fillId="24" borderId="9" xfId="0" applyFont="1" applyFill="1" applyBorder="1" applyAlignment="1">
      <alignment vertical="top" wrapText="1"/>
    </xf>
    <xf numFmtId="0" fontId="5" fillId="24" borderId="11" xfId="0" applyFont="1" applyFill="1" applyBorder="1" applyAlignment="1">
      <alignment horizontal="left" vertical="top" wrapText="1"/>
    </xf>
    <xf numFmtId="0" fontId="5" fillId="24" borderId="12" xfId="0" applyFont="1" applyFill="1" applyBorder="1" applyAlignment="1">
      <alignment horizontal="left" vertical="top" wrapText="1"/>
    </xf>
    <xf numFmtId="0" fontId="5" fillId="24" borderId="8" xfId="0" applyFont="1" applyFill="1" applyBorder="1" applyAlignment="1">
      <alignment horizontal="center" vertical="top" wrapText="1"/>
    </xf>
    <xf numFmtId="0" fontId="5" fillId="24" borderId="9" xfId="0" applyFont="1" applyFill="1" applyBorder="1" applyAlignment="1">
      <alignment horizontal="center" vertical="top" wrapText="1"/>
    </xf>
    <xf numFmtId="0" fontId="1" fillId="24" borderId="13" xfId="0" applyFont="1" applyFill="1" applyBorder="1" applyAlignment="1">
      <alignment horizontal="center" vertical="top"/>
    </xf>
    <xf numFmtId="0" fontId="1" fillId="24" borderId="5" xfId="0" applyFont="1" applyFill="1" applyBorder="1" applyAlignment="1">
      <alignment horizontal="center" vertical="top"/>
    </xf>
    <xf numFmtId="0" fontId="8" fillId="17" borderId="115" xfId="0" applyFont="1" applyFill="1" applyBorder="1" applyAlignment="1">
      <alignment horizontal="left" wrapText="1"/>
    </xf>
    <xf numFmtId="0" fontId="8" fillId="17" borderId="33" xfId="0" applyFont="1" applyFill="1" applyBorder="1" applyAlignment="1">
      <alignment horizontal="left" wrapText="1"/>
    </xf>
    <xf numFmtId="0" fontId="8" fillId="17" borderId="103" xfId="0" applyFont="1" applyFill="1" applyBorder="1" applyAlignment="1">
      <alignment horizontal="left" wrapText="1"/>
    </xf>
    <xf numFmtId="0" fontId="8" fillId="17" borderId="80" xfId="0" applyFont="1" applyFill="1" applyBorder="1" applyAlignment="1">
      <alignment horizontal="center" vertical="top" wrapText="1"/>
    </xf>
    <xf numFmtId="0" fontId="8" fillId="17" borderId="116" xfId="0" applyFont="1" applyFill="1" applyBorder="1" applyAlignment="1">
      <alignment horizontal="center" vertical="top" wrapText="1"/>
    </xf>
    <xf numFmtId="0" fontId="8" fillId="17" borderId="104" xfId="0" applyFont="1" applyFill="1" applyBorder="1" applyAlignment="1">
      <alignment horizontal="center" vertical="top" wrapText="1"/>
    </xf>
    <xf numFmtId="0" fontId="8" fillId="10" borderId="115" xfId="0" applyFont="1" applyFill="1" applyBorder="1" applyAlignment="1">
      <alignment horizontal="center" wrapText="1"/>
    </xf>
    <xf numFmtId="0" fontId="8" fillId="10" borderId="103" xfId="0" applyFont="1" applyFill="1" applyBorder="1" applyAlignment="1">
      <alignment horizontal="center" wrapText="1"/>
    </xf>
    <xf numFmtId="0" fontId="8" fillId="10" borderId="115" xfId="0" applyFont="1" applyFill="1" applyBorder="1" applyAlignment="1">
      <alignment horizontal="center" vertical="center" wrapText="1"/>
    </xf>
    <xf numFmtId="0" fontId="8" fillId="10" borderId="103" xfId="0" applyFont="1" applyFill="1" applyBorder="1" applyAlignment="1">
      <alignment horizontal="center" vertical="center" wrapText="1"/>
    </xf>
    <xf numFmtId="0" fontId="8" fillId="0" borderId="24" xfId="0" applyFont="1" applyBorder="1" applyAlignment="1">
      <alignment horizontal="center" vertical="top" wrapText="1"/>
    </xf>
    <xf numFmtId="0" fontId="0" fillId="0" borderId="23" xfId="0" applyBorder="1" applyAlignment="1">
      <alignment horizontal="center" vertical="top"/>
    </xf>
    <xf numFmtId="0" fontId="0" fillId="0" borderId="0" xfId="0" applyAlignment="1">
      <alignment horizontal="center" vertical="top"/>
    </xf>
    <xf numFmtId="0" fontId="0" fillId="0" borderId="26" xfId="0" applyBorder="1" applyAlignment="1">
      <alignment horizontal="center" vertical="top"/>
    </xf>
    <xf numFmtId="0" fontId="8" fillId="0" borderId="14" xfId="0" applyFont="1" applyBorder="1" applyAlignment="1">
      <alignment horizontal="center" vertical="center"/>
    </xf>
    <xf numFmtId="0" fontId="8" fillId="0" borderId="23" xfId="0" applyFont="1" applyBorder="1" applyAlignment="1">
      <alignment horizontal="center" vertical="center"/>
    </xf>
    <xf numFmtId="0" fontId="8" fillId="0" borderId="13" xfId="0" applyFont="1" applyBorder="1" applyAlignment="1">
      <alignment horizontal="center" vertical="center"/>
    </xf>
    <xf numFmtId="0" fontId="8" fillId="0" borderId="15" xfId="0" applyFont="1" applyBorder="1" applyAlignment="1">
      <alignment horizontal="center" vertical="center"/>
    </xf>
    <xf numFmtId="0" fontId="8" fillId="0" borderId="26" xfId="0" applyFont="1" applyBorder="1" applyAlignment="1">
      <alignment horizontal="center" vertical="center"/>
    </xf>
    <xf numFmtId="0" fontId="8" fillId="0" borderId="5" xfId="0" applyFont="1" applyBorder="1" applyAlignment="1">
      <alignment horizontal="center" vertical="center"/>
    </xf>
    <xf numFmtId="0" fontId="48" fillId="20" borderId="14" xfId="0" applyFont="1" applyFill="1" applyBorder="1" applyAlignment="1">
      <alignment horizontal="center"/>
    </xf>
    <xf numFmtId="0" fontId="48" fillId="20" borderId="23" xfId="0" applyFont="1" applyFill="1" applyBorder="1" applyAlignment="1">
      <alignment horizontal="center"/>
    </xf>
    <xf numFmtId="0" fontId="17" fillId="15" borderId="60" xfId="0" applyFont="1" applyFill="1" applyBorder="1" applyAlignment="1">
      <alignment horizontal="left" vertical="center" wrapText="1"/>
    </xf>
    <xf numFmtId="0" fontId="17" fillId="15" borderId="61" xfId="0" applyFont="1" applyFill="1" applyBorder="1" applyAlignment="1">
      <alignment horizontal="left" vertical="center" wrapText="1"/>
    </xf>
  </cellXfs>
  <cellStyles count="16">
    <cellStyle name="Čiarka" xfId="5" builtinId="3"/>
    <cellStyle name="Dobrá" xfId="1" builtinId="26"/>
    <cellStyle name="Hypertextové prepojenie" xfId="6" builtinId="8"/>
    <cellStyle name="Hypertextové prepojenie 2" xfId="9"/>
    <cellStyle name="Mena" xfId="7" builtinId="4"/>
    <cellStyle name="Mena 2" xfId="11"/>
    <cellStyle name="Mena 2 2" xfId="14"/>
    <cellStyle name="Mena 3" xfId="12"/>
    <cellStyle name="Mena 3 2" xfId="15"/>
    <cellStyle name="Mena 4" xfId="13"/>
    <cellStyle name="Normálna" xfId="0" builtinId="0"/>
    <cellStyle name="Normálna 2" xfId="8"/>
    <cellStyle name="Normálne 2" xfId="10"/>
    <cellStyle name="Percentá" xfId="4" builtinId="5"/>
    <cellStyle name="Poznámka" xfId="3" builtinId="10"/>
    <cellStyle name="Výpočet" xfId="2" builtinId="22"/>
  </cellStyles>
  <dxfs count="34">
    <dxf>
      <font>
        <color theme="0" tint="-0.14996795556505021"/>
      </font>
    </dxf>
    <dxf>
      <font>
        <color theme="0" tint="-0.14996795556505021"/>
      </font>
    </dxf>
    <dxf>
      <fill>
        <patternFill>
          <bgColor theme="0" tint="-0.14996795556505021"/>
        </patternFill>
      </fill>
    </dxf>
    <dxf>
      <font>
        <b/>
        <i/>
        <color rgb="FFFF0000"/>
      </font>
    </dxf>
    <dxf>
      <font>
        <b/>
        <i/>
        <color rgb="FFFF0000"/>
      </font>
    </dxf>
    <dxf>
      <font>
        <b/>
        <i/>
        <color rgb="FFFF0000"/>
      </font>
    </dxf>
    <dxf>
      <font>
        <b/>
        <i val="0"/>
        <color rgb="FF00B050"/>
      </font>
    </dxf>
    <dxf>
      <font>
        <b/>
        <i/>
        <color rgb="FFFF0000"/>
      </font>
    </dxf>
    <dxf>
      <font>
        <b/>
        <i/>
        <color rgb="FFCA9D0C"/>
      </font>
    </dxf>
    <dxf>
      <font>
        <b/>
        <i/>
        <color rgb="FFCA9D0C"/>
      </font>
    </dxf>
    <dxf>
      <font>
        <b/>
        <i/>
        <color rgb="FFFF0000"/>
      </font>
    </dxf>
    <dxf>
      <font>
        <b/>
        <i/>
        <color rgb="FFFF0000"/>
      </font>
    </dxf>
    <dxf>
      <font>
        <b/>
        <i/>
        <color rgb="FFFF0000"/>
      </font>
    </dxf>
    <dxf>
      <font>
        <b/>
        <i/>
        <color rgb="FFFF0000"/>
      </font>
    </dxf>
    <dxf>
      <font>
        <b/>
        <i/>
        <color rgb="FFFF0000"/>
      </font>
    </dxf>
    <dxf>
      <fill>
        <patternFill>
          <bgColor theme="7" tint="0.79998168889431442"/>
        </patternFill>
      </fill>
    </dxf>
    <dxf>
      <font>
        <color theme="0"/>
      </font>
    </dxf>
    <dxf>
      <fill>
        <patternFill>
          <bgColor theme="7" tint="0.79998168889431442"/>
        </patternFill>
      </fill>
    </dxf>
    <dxf>
      <font>
        <color theme="0"/>
      </font>
    </dxf>
    <dxf>
      <font>
        <color auto="1"/>
      </font>
      <fill>
        <patternFill>
          <bgColor theme="0" tint="-0.14996795556505021"/>
        </patternFill>
      </fill>
    </dxf>
    <dxf>
      <fill>
        <patternFill>
          <bgColor theme="7" tint="0.79998168889431442"/>
        </patternFill>
      </fill>
    </dxf>
    <dxf>
      <font>
        <b/>
        <i/>
        <color rgb="FFFF0000"/>
      </font>
    </dxf>
    <dxf>
      <font>
        <b/>
        <i val="0"/>
        <condense val="0"/>
        <extend val="0"/>
        <color indexed="10"/>
      </font>
    </dxf>
    <dxf>
      <font>
        <b/>
        <i/>
        <color rgb="FFFF0000"/>
      </font>
    </dxf>
    <dxf>
      <font>
        <b/>
        <i/>
        <color rgb="FFFF0000"/>
      </font>
    </dxf>
    <dxf>
      <font>
        <b/>
        <i val="0"/>
        <color rgb="FF00B050"/>
      </font>
    </dxf>
    <dxf>
      <font>
        <b/>
        <i/>
        <color rgb="FFFF0000"/>
      </font>
    </dxf>
    <dxf>
      <font>
        <b/>
        <i val="0"/>
        <color rgb="FF00B050"/>
      </font>
    </dxf>
    <dxf>
      <font>
        <b/>
        <i/>
        <color rgb="FFFF0000"/>
      </font>
    </dxf>
    <dxf>
      <font>
        <b/>
        <i val="0"/>
        <color rgb="FF00B050"/>
      </font>
      <numFmt numFmtId="13" formatCode="0%"/>
    </dxf>
    <dxf>
      <font>
        <b/>
        <i/>
        <color rgb="FFFF0000"/>
      </font>
    </dxf>
    <dxf>
      <font>
        <b/>
        <i val="0"/>
        <color rgb="FF00B050"/>
      </font>
    </dxf>
    <dxf>
      <font>
        <color theme="0" tint="-0.24994659260841701"/>
      </font>
    </dxf>
    <dxf>
      <font>
        <color theme="0" tint="-0.24994659260841701"/>
      </font>
    </dxf>
  </dxfs>
  <tableStyles count="0" defaultTableStyle="TableStyleMedium2" defaultPivotStyle="PivotStyleLight16"/>
  <colors>
    <mruColors>
      <color rgb="FFFFFFCC"/>
      <color rgb="FFCA9D0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spPr>
            <a:noFill/>
            <a:ln>
              <a:noFill/>
            </a:ln>
            <a:effectLst/>
          </c:spPr>
          <c:invertIfNegative val="0"/>
          <c:cat>
            <c:multiLvlStrRef>
              <c:f>Harmonogram!$B$3:$C$97</c:f>
              <c:multiLvlStrCache>
                <c:ptCount val="95"/>
                <c:lvl>
                  <c:pt idx="0">
                    <c:v>Analýza a dizajn</c:v>
                  </c:pt>
                  <c:pt idx="1">
                    <c:v>Nákupo HW a krabicový SW</c:v>
                  </c:pt>
                  <c:pt idx="2">
                    <c:v>Implementácia</c:v>
                  </c:pt>
                  <c:pt idx="3">
                    <c:v>Testovanie</c:v>
                  </c:pt>
                  <c:pt idx="4">
                    <c:v>Nasadenie</c:v>
                  </c:pt>
                  <c:pt idx="5">
                    <c:v>Analýza a dizajn</c:v>
                  </c:pt>
                  <c:pt idx="6">
                    <c:v>Nákupo HW a krabicový SW</c:v>
                  </c:pt>
                  <c:pt idx="7">
                    <c:v>Implementácia</c:v>
                  </c:pt>
                  <c:pt idx="8">
                    <c:v>Testovanie</c:v>
                  </c:pt>
                  <c:pt idx="9">
                    <c:v>Nasadenie</c:v>
                  </c:pt>
                  <c:pt idx="10">
                    <c:v>Analýza a dizajn</c:v>
                  </c:pt>
                  <c:pt idx="11">
                    <c:v>Nákupo HW a krabicový SW</c:v>
                  </c:pt>
                  <c:pt idx="12">
                    <c:v>Implementácia</c:v>
                  </c:pt>
                  <c:pt idx="13">
                    <c:v>Testovanie</c:v>
                  </c:pt>
                  <c:pt idx="14">
                    <c:v>Nasadenie</c:v>
                  </c:pt>
                  <c:pt idx="15">
                    <c:v>Analýza a dizajn</c:v>
                  </c:pt>
                  <c:pt idx="16">
                    <c:v>Nákupo HW a krabicový SW</c:v>
                  </c:pt>
                  <c:pt idx="17">
                    <c:v>Implementácia</c:v>
                  </c:pt>
                  <c:pt idx="18">
                    <c:v>Testovanie</c:v>
                  </c:pt>
                  <c:pt idx="19">
                    <c:v>Nasadenie</c:v>
                  </c:pt>
                  <c:pt idx="20">
                    <c:v>Analýza a dizajn</c:v>
                  </c:pt>
                  <c:pt idx="21">
                    <c:v>Nákupo HW a krabicový SW</c:v>
                  </c:pt>
                  <c:pt idx="22">
                    <c:v>Implementácia</c:v>
                  </c:pt>
                  <c:pt idx="23">
                    <c:v>Testovanie</c:v>
                  </c:pt>
                  <c:pt idx="24">
                    <c:v>Nasadenie</c:v>
                  </c:pt>
                  <c:pt idx="25">
                    <c:v>Analýza a dizajn</c:v>
                  </c:pt>
                  <c:pt idx="26">
                    <c:v>Nákupo HW a krabicový SW</c:v>
                  </c:pt>
                  <c:pt idx="27">
                    <c:v>Implementácia</c:v>
                  </c:pt>
                  <c:pt idx="28">
                    <c:v>Testovanie</c:v>
                  </c:pt>
                  <c:pt idx="29">
                    <c:v>Nasadenie</c:v>
                  </c:pt>
                  <c:pt idx="30">
                    <c:v>Analýza a dizajn</c:v>
                  </c:pt>
                  <c:pt idx="31">
                    <c:v>Nákupo HW a krabicový SW</c:v>
                  </c:pt>
                  <c:pt idx="32">
                    <c:v>Implementácia</c:v>
                  </c:pt>
                  <c:pt idx="33">
                    <c:v>Testovanie</c:v>
                  </c:pt>
                  <c:pt idx="34">
                    <c:v>Nasadenie</c:v>
                  </c:pt>
                  <c:pt idx="35">
                    <c:v>Analýza a dizajn</c:v>
                  </c:pt>
                  <c:pt idx="36">
                    <c:v>Nákupo HW a krabicový SW</c:v>
                  </c:pt>
                  <c:pt idx="37">
                    <c:v>Implementácia</c:v>
                  </c:pt>
                  <c:pt idx="38">
                    <c:v>Testovanie</c:v>
                  </c:pt>
                  <c:pt idx="39">
                    <c:v>Nasadenie</c:v>
                  </c:pt>
                  <c:pt idx="40">
                    <c:v>Analýza a dizajn</c:v>
                  </c:pt>
                  <c:pt idx="41">
                    <c:v>Nákupo HW a krabicový SW</c:v>
                  </c:pt>
                  <c:pt idx="42">
                    <c:v>Implementácia</c:v>
                  </c:pt>
                  <c:pt idx="43">
                    <c:v>Testovanie</c:v>
                  </c:pt>
                  <c:pt idx="44">
                    <c:v>Nasadenie</c:v>
                  </c:pt>
                  <c:pt idx="45">
                    <c:v>Analýza a dizajn</c:v>
                  </c:pt>
                  <c:pt idx="46">
                    <c:v>Nákupo HW a krabicový SW</c:v>
                  </c:pt>
                  <c:pt idx="47">
                    <c:v>Implementácia</c:v>
                  </c:pt>
                  <c:pt idx="48">
                    <c:v>Testovanie</c:v>
                  </c:pt>
                  <c:pt idx="49">
                    <c:v>Nasadenie</c:v>
                  </c:pt>
                  <c:pt idx="50">
                    <c:v>Analýza a dizajn</c:v>
                  </c:pt>
                  <c:pt idx="51">
                    <c:v>Nákupo HW a krabicový SW</c:v>
                  </c:pt>
                  <c:pt idx="52">
                    <c:v>Implementácia</c:v>
                  </c:pt>
                  <c:pt idx="53">
                    <c:v>Testovanie</c:v>
                  </c:pt>
                  <c:pt idx="54">
                    <c:v>Nasadenie</c:v>
                  </c:pt>
                  <c:pt idx="55">
                    <c:v>Analýza a dizajn</c:v>
                  </c:pt>
                  <c:pt idx="56">
                    <c:v>Nákupo HW a krabicový SW</c:v>
                  </c:pt>
                  <c:pt idx="57">
                    <c:v>Implementácia</c:v>
                  </c:pt>
                  <c:pt idx="58">
                    <c:v>Testovanie</c:v>
                  </c:pt>
                  <c:pt idx="59">
                    <c:v>Nasadenie</c:v>
                  </c:pt>
                  <c:pt idx="60">
                    <c:v>Analýza a dizajn</c:v>
                  </c:pt>
                  <c:pt idx="61">
                    <c:v>Nákupo HW a krabicový SW</c:v>
                  </c:pt>
                  <c:pt idx="62">
                    <c:v>Implementácia</c:v>
                  </c:pt>
                  <c:pt idx="63">
                    <c:v>Testovanie</c:v>
                  </c:pt>
                  <c:pt idx="64">
                    <c:v>Nasadenie</c:v>
                  </c:pt>
                  <c:pt idx="65">
                    <c:v>Analýza a dizajn</c:v>
                  </c:pt>
                  <c:pt idx="66">
                    <c:v>Nákupo HW a krabicový SW</c:v>
                  </c:pt>
                  <c:pt idx="67">
                    <c:v>Implementácia</c:v>
                  </c:pt>
                  <c:pt idx="68">
                    <c:v>Testovanie</c:v>
                  </c:pt>
                  <c:pt idx="69">
                    <c:v>Nasadenie</c:v>
                  </c:pt>
                  <c:pt idx="70">
                    <c:v>Analýza a dizajn</c:v>
                  </c:pt>
                  <c:pt idx="71">
                    <c:v>Nákupo HW a krabicový SW</c:v>
                  </c:pt>
                  <c:pt idx="72">
                    <c:v>Implementácia</c:v>
                  </c:pt>
                  <c:pt idx="73">
                    <c:v>Testovanie</c:v>
                  </c:pt>
                  <c:pt idx="74">
                    <c:v>Nasadenie</c:v>
                  </c:pt>
                  <c:pt idx="75">
                    <c:v>Analýza a dizajn</c:v>
                  </c:pt>
                  <c:pt idx="76">
                    <c:v>Nákupo HW a krabicový SW</c:v>
                  </c:pt>
                  <c:pt idx="77">
                    <c:v>Implementácia</c:v>
                  </c:pt>
                  <c:pt idx="78">
                    <c:v>Testovanie</c:v>
                  </c:pt>
                  <c:pt idx="79">
                    <c:v>Nasadenie</c:v>
                  </c:pt>
                  <c:pt idx="80">
                    <c:v>Analýza a dizajn</c:v>
                  </c:pt>
                  <c:pt idx="81">
                    <c:v>Nákupo HW a krabicový SW</c:v>
                  </c:pt>
                  <c:pt idx="82">
                    <c:v>Implementácia</c:v>
                  </c:pt>
                  <c:pt idx="83">
                    <c:v>Testovanie</c:v>
                  </c:pt>
                  <c:pt idx="84">
                    <c:v>Nasadenie</c:v>
                  </c:pt>
                  <c:pt idx="85">
                    <c:v>Analýza a dizajn</c:v>
                  </c:pt>
                  <c:pt idx="86">
                    <c:v>Nákupo HW a krabicový SW</c:v>
                  </c:pt>
                  <c:pt idx="87">
                    <c:v>Implementácia</c:v>
                  </c:pt>
                  <c:pt idx="88">
                    <c:v>Testovanie</c:v>
                  </c:pt>
                  <c:pt idx="89">
                    <c:v>Nasadenie</c:v>
                  </c:pt>
                  <c:pt idx="90">
                    <c:v>Analýza a dizajn</c:v>
                  </c:pt>
                  <c:pt idx="91">
                    <c:v>Nákupo HW a krabicový SW</c:v>
                  </c:pt>
                  <c:pt idx="92">
                    <c:v>Implementácia</c:v>
                  </c:pt>
                  <c:pt idx="93">
                    <c:v>Testovanie</c:v>
                  </c:pt>
                  <c:pt idx="94">
                    <c:v>Nasadenie</c:v>
                  </c:pt>
                </c:lvl>
                <c:lvl>
                  <c:pt idx="0">
                    <c:v>Portál eNRI DOP</c:v>
                  </c:pt>
                  <c:pt idx="5">
                    <c:v>Intranet </c:v>
                  </c:pt>
                  <c:pt idx="10">
                    <c:v>API Gateway eNRI</c:v>
                  </c:pt>
                  <c:pt idx="15">
                    <c:v>Transformačný modul</c:v>
                  </c:pt>
                  <c:pt idx="20">
                    <c:v>Modul GIS</c:v>
                  </c:pt>
                  <c:pt idx="25">
                    <c:v>Správa dopravných grafikonov</c:v>
                  </c:pt>
                  <c:pt idx="30">
                    <c:v>Agendový modul bezpečných a chránených parkovacích miest pre nákladné a úžitkové vozidlá</c:v>
                  </c:pt>
                  <c:pt idx="35">
                    <c:v>Rezervačný a plánovací modul pre vybrané agendy</c:v>
                  </c:pt>
                  <c:pt idx="40">
                    <c:v>Modul optimalizácie osobnej verejnej dopravy a rezervácie kapacít</c:v>
                  </c:pt>
                  <c:pt idx="45">
                    <c:v>Agendový modul licencovania hromadnej dopravy</c:v>
                  </c:pt>
                  <c:pt idx="50">
                    <c:v>Správa licencovaných dopravných prostriedkov vo verejnej osobnej doprave</c:v>
                  </c:pt>
                  <c:pt idx="55">
                    <c:v>Agendový modul dopravných povolení</c:v>
                  </c:pt>
                  <c:pt idx="60">
                    <c:v>Žurnál a log server</c:v>
                  </c:pt>
                  <c:pt idx="65">
                    <c:v>Objektové úložisko dopravných informácii</c:v>
                  </c:pt>
                  <c:pt idx="70">
                    <c:v>Monitoring</c:v>
                  </c:pt>
                  <c:pt idx="75">
                    <c:v>IAM</c:v>
                  </c:pt>
                  <c:pt idx="80">
                    <c:v>DMS</c:v>
                  </c:pt>
                  <c:pt idx="85">
                    <c:v>CMS</c:v>
                  </c:pt>
                  <c:pt idx="90">
                    <c:v>Správa registratúry</c:v>
                  </c:pt>
                </c:lvl>
              </c:multiLvlStrCache>
            </c:multiLvlStrRef>
          </c:cat>
          <c:val>
            <c:numRef>
              <c:f>Harmonogram!$H$3:$H$97</c:f>
              <c:numCache>
                <c:formatCode>General</c:formatCode>
                <c:ptCount val="95"/>
                <c:pt idx="0">
                  <c:v>0</c:v>
                </c:pt>
                <c:pt idx="1">
                  <c:v>7</c:v>
                </c:pt>
                <c:pt idx="2">
                  <c:v>7</c:v>
                </c:pt>
                <c:pt idx="3">
                  <c:v>7</c:v>
                </c:pt>
                <c:pt idx="4">
                  <c:v>18</c:v>
                </c:pt>
                <c:pt idx="5">
                  <c:v>0</c:v>
                </c:pt>
                <c:pt idx="6">
                  <c:v>7</c:v>
                </c:pt>
                <c:pt idx="7">
                  <c:v>7</c:v>
                </c:pt>
                <c:pt idx="8">
                  <c:v>7</c:v>
                </c:pt>
                <c:pt idx="9">
                  <c:v>18</c:v>
                </c:pt>
                <c:pt idx="10">
                  <c:v>0</c:v>
                </c:pt>
                <c:pt idx="11">
                  <c:v>7</c:v>
                </c:pt>
                <c:pt idx="12">
                  <c:v>7</c:v>
                </c:pt>
                <c:pt idx="13">
                  <c:v>7</c:v>
                </c:pt>
                <c:pt idx="14">
                  <c:v>18</c:v>
                </c:pt>
                <c:pt idx="15">
                  <c:v>0</c:v>
                </c:pt>
                <c:pt idx="16">
                  <c:v>7</c:v>
                </c:pt>
                <c:pt idx="17">
                  <c:v>7</c:v>
                </c:pt>
                <c:pt idx="18">
                  <c:v>7</c:v>
                </c:pt>
                <c:pt idx="19">
                  <c:v>18</c:v>
                </c:pt>
                <c:pt idx="20">
                  <c:v>0</c:v>
                </c:pt>
                <c:pt idx="21">
                  <c:v>7</c:v>
                </c:pt>
                <c:pt idx="22">
                  <c:v>7</c:v>
                </c:pt>
                <c:pt idx="23">
                  <c:v>7</c:v>
                </c:pt>
                <c:pt idx="24">
                  <c:v>18</c:v>
                </c:pt>
                <c:pt idx="25">
                  <c:v>0</c:v>
                </c:pt>
                <c:pt idx="26">
                  <c:v>7</c:v>
                </c:pt>
                <c:pt idx="27">
                  <c:v>7</c:v>
                </c:pt>
                <c:pt idx="28">
                  <c:v>7</c:v>
                </c:pt>
                <c:pt idx="29">
                  <c:v>18</c:v>
                </c:pt>
                <c:pt idx="30">
                  <c:v>24</c:v>
                </c:pt>
                <c:pt idx="31">
                  <c:v>27</c:v>
                </c:pt>
                <c:pt idx="32">
                  <c:v>27</c:v>
                </c:pt>
                <c:pt idx="33">
                  <c:v>27</c:v>
                </c:pt>
                <c:pt idx="34">
                  <c:v>33</c:v>
                </c:pt>
                <c:pt idx="35">
                  <c:v>24</c:v>
                </c:pt>
                <c:pt idx="36">
                  <c:v>27</c:v>
                </c:pt>
                <c:pt idx="37">
                  <c:v>27</c:v>
                </c:pt>
                <c:pt idx="38">
                  <c:v>27</c:v>
                </c:pt>
                <c:pt idx="39">
                  <c:v>33</c:v>
                </c:pt>
                <c:pt idx="40">
                  <c:v>24</c:v>
                </c:pt>
                <c:pt idx="41">
                  <c:v>27</c:v>
                </c:pt>
                <c:pt idx="42">
                  <c:v>27</c:v>
                </c:pt>
                <c:pt idx="43">
                  <c:v>27</c:v>
                </c:pt>
                <c:pt idx="44">
                  <c:v>33</c:v>
                </c:pt>
                <c:pt idx="45">
                  <c:v>0</c:v>
                </c:pt>
                <c:pt idx="46">
                  <c:v>7</c:v>
                </c:pt>
                <c:pt idx="47">
                  <c:v>7</c:v>
                </c:pt>
                <c:pt idx="48">
                  <c:v>7</c:v>
                </c:pt>
                <c:pt idx="49">
                  <c:v>18</c:v>
                </c:pt>
                <c:pt idx="50">
                  <c:v>24</c:v>
                </c:pt>
                <c:pt idx="51">
                  <c:v>27</c:v>
                </c:pt>
                <c:pt idx="52">
                  <c:v>27</c:v>
                </c:pt>
                <c:pt idx="53">
                  <c:v>27</c:v>
                </c:pt>
                <c:pt idx="54">
                  <c:v>33</c:v>
                </c:pt>
                <c:pt idx="55">
                  <c:v>24</c:v>
                </c:pt>
                <c:pt idx="56">
                  <c:v>27</c:v>
                </c:pt>
                <c:pt idx="57">
                  <c:v>27</c:v>
                </c:pt>
                <c:pt idx="58">
                  <c:v>27</c:v>
                </c:pt>
                <c:pt idx="59">
                  <c:v>33</c:v>
                </c:pt>
                <c:pt idx="60">
                  <c:v>0</c:v>
                </c:pt>
                <c:pt idx="61">
                  <c:v>7</c:v>
                </c:pt>
                <c:pt idx="62">
                  <c:v>7</c:v>
                </c:pt>
                <c:pt idx="63">
                  <c:v>7</c:v>
                </c:pt>
                <c:pt idx="64">
                  <c:v>18</c:v>
                </c:pt>
                <c:pt idx="65">
                  <c:v>0</c:v>
                </c:pt>
                <c:pt idx="66">
                  <c:v>7</c:v>
                </c:pt>
                <c:pt idx="67">
                  <c:v>7</c:v>
                </c:pt>
                <c:pt idx="68">
                  <c:v>7</c:v>
                </c:pt>
                <c:pt idx="69">
                  <c:v>18</c:v>
                </c:pt>
                <c:pt idx="70">
                  <c:v>0</c:v>
                </c:pt>
                <c:pt idx="71">
                  <c:v>7</c:v>
                </c:pt>
                <c:pt idx="72">
                  <c:v>7</c:v>
                </c:pt>
                <c:pt idx="73">
                  <c:v>7</c:v>
                </c:pt>
                <c:pt idx="74">
                  <c:v>18</c:v>
                </c:pt>
                <c:pt idx="75">
                  <c:v>0</c:v>
                </c:pt>
                <c:pt idx="76">
                  <c:v>7</c:v>
                </c:pt>
                <c:pt idx="77">
                  <c:v>7</c:v>
                </c:pt>
                <c:pt idx="78">
                  <c:v>7</c:v>
                </c:pt>
                <c:pt idx="79">
                  <c:v>18</c:v>
                </c:pt>
                <c:pt idx="80">
                  <c:v>0</c:v>
                </c:pt>
                <c:pt idx="81">
                  <c:v>7</c:v>
                </c:pt>
                <c:pt idx="82">
                  <c:v>7</c:v>
                </c:pt>
                <c:pt idx="83">
                  <c:v>7</c:v>
                </c:pt>
                <c:pt idx="84">
                  <c:v>18</c:v>
                </c:pt>
                <c:pt idx="85">
                  <c:v>0</c:v>
                </c:pt>
                <c:pt idx="86">
                  <c:v>7</c:v>
                </c:pt>
                <c:pt idx="87">
                  <c:v>7</c:v>
                </c:pt>
                <c:pt idx="88">
                  <c:v>7</c:v>
                </c:pt>
                <c:pt idx="89">
                  <c:v>18</c:v>
                </c:pt>
                <c:pt idx="90">
                  <c:v>0</c:v>
                </c:pt>
                <c:pt idx="91">
                  <c:v>7</c:v>
                </c:pt>
                <c:pt idx="92">
                  <c:v>7</c:v>
                </c:pt>
                <c:pt idx="93">
                  <c:v>7</c:v>
                </c:pt>
                <c:pt idx="94">
                  <c:v>18</c:v>
                </c:pt>
              </c:numCache>
            </c:numRef>
          </c:val>
          <c:extLst>
            <c:ext xmlns:c16="http://schemas.microsoft.com/office/drawing/2014/chart" uri="{C3380CC4-5D6E-409C-BE32-E72D297353CC}">
              <c16:uniqueId val="{00000000-1BEF-452E-B8C6-F82A3524DD3D}"/>
            </c:ext>
          </c:extLst>
        </c:ser>
        <c:ser>
          <c:idx val="1"/>
          <c:order val="1"/>
          <c:spPr>
            <a:solidFill>
              <a:schemeClr val="tx2">
                <a:lumMod val="75000"/>
              </a:schemeClr>
            </a:solidFill>
            <a:ln>
              <a:noFill/>
            </a:ln>
            <a:effectLst/>
          </c:spPr>
          <c:invertIfNegative val="0"/>
          <c:cat>
            <c:multiLvlStrRef>
              <c:f>Harmonogram!$B$3:$C$97</c:f>
              <c:multiLvlStrCache>
                <c:ptCount val="95"/>
                <c:lvl>
                  <c:pt idx="0">
                    <c:v>Analýza a dizajn</c:v>
                  </c:pt>
                  <c:pt idx="1">
                    <c:v>Nákupo HW a krabicový SW</c:v>
                  </c:pt>
                  <c:pt idx="2">
                    <c:v>Implementácia</c:v>
                  </c:pt>
                  <c:pt idx="3">
                    <c:v>Testovanie</c:v>
                  </c:pt>
                  <c:pt idx="4">
                    <c:v>Nasadenie</c:v>
                  </c:pt>
                  <c:pt idx="5">
                    <c:v>Analýza a dizajn</c:v>
                  </c:pt>
                  <c:pt idx="6">
                    <c:v>Nákupo HW a krabicový SW</c:v>
                  </c:pt>
                  <c:pt idx="7">
                    <c:v>Implementácia</c:v>
                  </c:pt>
                  <c:pt idx="8">
                    <c:v>Testovanie</c:v>
                  </c:pt>
                  <c:pt idx="9">
                    <c:v>Nasadenie</c:v>
                  </c:pt>
                  <c:pt idx="10">
                    <c:v>Analýza a dizajn</c:v>
                  </c:pt>
                  <c:pt idx="11">
                    <c:v>Nákupo HW a krabicový SW</c:v>
                  </c:pt>
                  <c:pt idx="12">
                    <c:v>Implementácia</c:v>
                  </c:pt>
                  <c:pt idx="13">
                    <c:v>Testovanie</c:v>
                  </c:pt>
                  <c:pt idx="14">
                    <c:v>Nasadenie</c:v>
                  </c:pt>
                  <c:pt idx="15">
                    <c:v>Analýza a dizajn</c:v>
                  </c:pt>
                  <c:pt idx="16">
                    <c:v>Nákupo HW a krabicový SW</c:v>
                  </c:pt>
                  <c:pt idx="17">
                    <c:v>Implementácia</c:v>
                  </c:pt>
                  <c:pt idx="18">
                    <c:v>Testovanie</c:v>
                  </c:pt>
                  <c:pt idx="19">
                    <c:v>Nasadenie</c:v>
                  </c:pt>
                  <c:pt idx="20">
                    <c:v>Analýza a dizajn</c:v>
                  </c:pt>
                  <c:pt idx="21">
                    <c:v>Nákupo HW a krabicový SW</c:v>
                  </c:pt>
                  <c:pt idx="22">
                    <c:v>Implementácia</c:v>
                  </c:pt>
                  <c:pt idx="23">
                    <c:v>Testovanie</c:v>
                  </c:pt>
                  <c:pt idx="24">
                    <c:v>Nasadenie</c:v>
                  </c:pt>
                  <c:pt idx="25">
                    <c:v>Analýza a dizajn</c:v>
                  </c:pt>
                  <c:pt idx="26">
                    <c:v>Nákupo HW a krabicový SW</c:v>
                  </c:pt>
                  <c:pt idx="27">
                    <c:v>Implementácia</c:v>
                  </c:pt>
                  <c:pt idx="28">
                    <c:v>Testovanie</c:v>
                  </c:pt>
                  <c:pt idx="29">
                    <c:v>Nasadenie</c:v>
                  </c:pt>
                  <c:pt idx="30">
                    <c:v>Analýza a dizajn</c:v>
                  </c:pt>
                  <c:pt idx="31">
                    <c:v>Nákupo HW a krabicový SW</c:v>
                  </c:pt>
                  <c:pt idx="32">
                    <c:v>Implementácia</c:v>
                  </c:pt>
                  <c:pt idx="33">
                    <c:v>Testovanie</c:v>
                  </c:pt>
                  <c:pt idx="34">
                    <c:v>Nasadenie</c:v>
                  </c:pt>
                  <c:pt idx="35">
                    <c:v>Analýza a dizajn</c:v>
                  </c:pt>
                  <c:pt idx="36">
                    <c:v>Nákupo HW a krabicový SW</c:v>
                  </c:pt>
                  <c:pt idx="37">
                    <c:v>Implementácia</c:v>
                  </c:pt>
                  <c:pt idx="38">
                    <c:v>Testovanie</c:v>
                  </c:pt>
                  <c:pt idx="39">
                    <c:v>Nasadenie</c:v>
                  </c:pt>
                  <c:pt idx="40">
                    <c:v>Analýza a dizajn</c:v>
                  </c:pt>
                  <c:pt idx="41">
                    <c:v>Nákupo HW a krabicový SW</c:v>
                  </c:pt>
                  <c:pt idx="42">
                    <c:v>Implementácia</c:v>
                  </c:pt>
                  <c:pt idx="43">
                    <c:v>Testovanie</c:v>
                  </c:pt>
                  <c:pt idx="44">
                    <c:v>Nasadenie</c:v>
                  </c:pt>
                  <c:pt idx="45">
                    <c:v>Analýza a dizajn</c:v>
                  </c:pt>
                  <c:pt idx="46">
                    <c:v>Nákupo HW a krabicový SW</c:v>
                  </c:pt>
                  <c:pt idx="47">
                    <c:v>Implementácia</c:v>
                  </c:pt>
                  <c:pt idx="48">
                    <c:v>Testovanie</c:v>
                  </c:pt>
                  <c:pt idx="49">
                    <c:v>Nasadenie</c:v>
                  </c:pt>
                  <c:pt idx="50">
                    <c:v>Analýza a dizajn</c:v>
                  </c:pt>
                  <c:pt idx="51">
                    <c:v>Nákupo HW a krabicový SW</c:v>
                  </c:pt>
                  <c:pt idx="52">
                    <c:v>Implementácia</c:v>
                  </c:pt>
                  <c:pt idx="53">
                    <c:v>Testovanie</c:v>
                  </c:pt>
                  <c:pt idx="54">
                    <c:v>Nasadenie</c:v>
                  </c:pt>
                  <c:pt idx="55">
                    <c:v>Analýza a dizajn</c:v>
                  </c:pt>
                  <c:pt idx="56">
                    <c:v>Nákupo HW a krabicový SW</c:v>
                  </c:pt>
                  <c:pt idx="57">
                    <c:v>Implementácia</c:v>
                  </c:pt>
                  <c:pt idx="58">
                    <c:v>Testovanie</c:v>
                  </c:pt>
                  <c:pt idx="59">
                    <c:v>Nasadenie</c:v>
                  </c:pt>
                  <c:pt idx="60">
                    <c:v>Analýza a dizajn</c:v>
                  </c:pt>
                  <c:pt idx="61">
                    <c:v>Nákupo HW a krabicový SW</c:v>
                  </c:pt>
                  <c:pt idx="62">
                    <c:v>Implementácia</c:v>
                  </c:pt>
                  <c:pt idx="63">
                    <c:v>Testovanie</c:v>
                  </c:pt>
                  <c:pt idx="64">
                    <c:v>Nasadenie</c:v>
                  </c:pt>
                  <c:pt idx="65">
                    <c:v>Analýza a dizajn</c:v>
                  </c:pt>
                  <c:pt idx="66">
                    <c:v>Nákupo HW a krabicový SW</c:v>
                  </c:pt>
                  <c:pt idx="67">
                    <c:v>Implementácia</c:v>
                  </c:pt>
                  <c:pt idx="68">
                    <c:v>Testovanie</c:v>
                  </c:pt>
                  <c:pt idx="69">
                    <c:v>Nasadenie</c:v>
                  </c:pt>
                  <c:pt idx="70">
                    <c:v>Analýza a dizajn</c:v>
                  </c:pt>
                  <c:pt idx="71">
                    <c:v>Nákupo HW a krabicový SW</c:v>
                  </c:pt>
                  <c:pt idx="72">
                    <c:v>Implementácia</c:v>
                  </c:pt>
                  <c:pt idx="73">
                    <c:v>Testovanie</c:v>
                  </c:pt>
                  <c:pt idx="74">
                    <c:v>Nasadenie</c:v>
                  </c:pt>
                  <c:pt idx="75">
                    <c:v>Analýza a dizajn</c:v>
                  </c:pt>
                  <c:pt idx="76">
                    <c:v>Nákupo HW a krabicový SW</c:v>
                  </c:pt>
                  <c:pt idx="77">
                    <c:v>Implementácia</c:v>
                  </c:pt>
                  <c:pt idx="78">
                    <c:v>Testovanie</c:v>
                  </c:pt>
                  <c:pt idx="79">
                    <c:v>Nasadenie</c:v>
                  </c:pt>
                  <c:pt idx="80">
                    <c:v>Analýza a dizajn</c:v>
                  </c:pt>
                  <c:pt idx="81">
                    <c:v>Nákupo HW a krabicový SW</c:v>
                  </c:pt>
                  <c:pt idx="82">
                    <c:v>Implementácia</c:v>
                  </c:pt>
                  <c:pt idx="83">
                    <c:v>Testovanie</c:v>
                  </c:pt>
                  <c:pt idx="84">
                    <c:v>Nasadenie</c:v>
                  </c:pt>
                  <c:pt idx="85">
                    <c:v>Analýza a dizajn</c:v>
                  </c:pt>
                  <c:pt idx="86">
                    <c:v>Nákupo HW a krabicový SW</c:v>
                  </c:pt>
                  <c:pt idx="87">
                    <c:v>Implementácia</c:v>
                  </c:pt>
                  <c:pt idx="88">
                    <c:v>Testovanie</c:v>
                  </c:pt>
                  <c:pt idx="89">
                    <c:v>Nasadenie</c:v>
                  </c:pt>
                  <c:pt idx="90">
                    <c:v>Analýza a dizajn</c:v>
                  </c:pt>
                  <c:pt idx="91">
                    <c:v>Nákupo HW a krabicový SW</c:v>
                  </c:pt>
                  <c:pt idx="92">
                    <c:v>Implementácia</c:v>
                  </c:pt>
                  <c:pt idx="93">
                    <c:v>Testovanie</c:v>
                  </c:pt>
                  <c:pt idx="94">
                    <c:v>Nasadenie</c:v>
                  </c:pt>
                </c:lvl>
                <c:lvl>
                  <c:pt idx="0">
                    <c:v>Portál eNRI DOP</c:v>
                  </c:pt>
                  <c:pt idx="5">
                    <c:v>Intranet </c:v>
                  </c:pt>
                  <c:pt idx="10">
                    <c:v>API Gateway eNRI</c:v>
                  </c:pt>
                  <c:pt idx="15">
                    <c:v>Transformačný modul</c:v>
                  </c:pt>
                  <c:pt idx="20">
                    <c:v>Modul GIS</c:v>
                  </c:pt>
                  <c:pt idx="25">
                    <c:v>Správa dopravných grafikonov</c:v>
                  </c:pt>
                  <c:pt idx="30">
                    <c:v>Agendový modul bezpečných a chránených parkovacích miest pre nákladné a úžitkové vozidlá</c:v>
                  </c:pt>
                  <c:pt idx="35">
                    <c:v>Rezervačný a plánovací modul pre vybrané agendy</c:v>
                  </c:pt>
                  <c:pt idx="40">
                    <c:v>Modul optimalizácie osobnej verejnej dopravy a rezervácie kapacít</c:v>
                  </c:pt>
                  <c:pt idx="45">
                    <c:v>Agendový modul licencovania hromadnej dopravy</c:v>
                  </c:pt>
                  <c:pt idx="50">
                    <c:v>Správa licencovaných dopravných prostriedkov vo verejnej osobnej doprave</c:v>
                  </c:pt>
                  <c:pt idx="55">
                    <c:v>Agendový modul dopravných povolení</c:v>
                  </c:pt>
                  <c:pt idx="60">
                    <c:v>Žurnál a log server</c:v>
                  </c:pt>
                  <c:pt idx="65">
                    <c:v>Objektové úložisko dopravných informácii</c:v>
                  </c:pt>
                  <c:pt idx="70">
                    <c:v>Monitoring</c:v>
                  </c:pt>
                  <c:pt idx="75">
                    <c:v>IAM</c:v>
                  </c:pt>
                  <c:pt idx="80">
                    <c:v>DMS</c:v>
                  </c:pt>
                  <c:pt idx="85">
                    <c:v>CMS</c:v>
                  </c:pt>
                  <c:pt idx="90">
                    <c:v>Správa registratúry</c:v>
                  </c:pt>
                </c:lvl>
              </c:multiLvlStrCache>
            </c:multiLvlStrRef>
          </c:cat>
          <c:val>
            <c:numRef>
              <c:f>Harmonogram!$I$3:$I$97</c:f>
              <c:numCache>
                <c:formatCode>General</c:formatCode>
                <c:ptCount val="95"/>
                <c:pt idx="0">
                  <c:v>10</c:v>
                </c:pt>
                <c:pt idx="1">
                  <c:v>14</c:v>
                </c:pt>
                <c:pt idx="2">
                  <c:v>14</c:v>
                </c:pt>
                <c:pt idx="3">
                  <c:v>14</c:v>
                </c:pt>
                <c:pt idx="4">
                  <c:v>6</c:v>
                </c:pt>
                <c:pt idx="5">
                  <c:v>10</c:v>
                </c:pt>
                <c:pt idx="6">
                  <c:v>14</c:v>
                </c:pt>
                <c:pt idx="7">
                  <c:v>14</c:v>
                </c:pt>
                <c:pt idx="8">
                  <c:v>14</c:v>
                </c:pt>
                <c:pt idx="9">
                  <c:v>6</c:v>
                </c:pt>
                <c:pt idx="10">
                  <c:v>10</c:v>
                </c:pt>
                <c:pt idx="11">
                  <c:v>14</c:v>
                </c:pt>
                <c:pt idx="12">
                  <c:v>14</c:v>
                </c:pt>
                <c:pt idx="13">
                  <c:v>14</c:v>
                </c:pt>
                <c:pt idx="14">
                  <c:v>6</c:v>
                </c:pt>
                <c:pt idx="15">
                  <c:v>10</c:v>
                </c:pt>
                <c:pt idx="16">
                  <c:v>14</c:v>
                </c:pt>
                <c:pt idx="17">
                  <c:v>14</c:v>
                </c:pt>
                <c:pt idx="18">
                  <c:v>14</c:v>
                </c:pt>
                <c:pt idx="19">
                  <c:v>6</c:v>
                </c:pt>
                <c:pt idx="20">
                  <c:v>10</c:v>
                </c:pt>
                <c:pt idx="21">
                  <c:v>14</c:v>
                </c:pt>
                <c:pt idx="22">
                  <c:v>14</c:v>
                </c:pt>
                <c:pt idx="23">
                  <c:v>14</c:v>
                </c:pt>
                <c:pt idx="24">
                  <c:v>6</c:v>
                </c:pt>
                <c:pt idx="25">
                  <c:v>10</c:v>
                </c:pt>
                <c:pt idx="26">
                  <c:v>14</c:v>
                </c:pt>
                <c:pt idx="27">
                  <c:v>14</c:v>
                </c:pt>
                <c:pt idx="28">
                  <c:v>14</c:v>
                </c:pt>
                <c:pt idx="29">
                  <c:v>6</c:v>
                </c:pt>
                <c:pt idx="30">
                  <c:v>4</c:v>
                </c:pt>
                <c:pt idx="31">
                  <c:v>8</c:v>
                </c:pt>
                <c:pt idx="32">
                  <c:v>8</c:v>
                </c:pt>
                <c:pt idx="33">
                  <c:v>8</c:v>
                </c:pt>
                <c:pt idx="34">
                  <c:v>3</c:v>
                </c:pt>
                <c:pt idx="35">
                  <c:v>4</c:v>
                </c:pt>
                <c:pt idx="36">
                  <c:v>8</c:v>
                </c:pt>
                <c:pt idx="37">
                  <c:v>8</c:v>
                </c:pt>
                <c:pt idx="38">
                  <c:v>8</c:v>
                </c:pt>
                <c:pt idx="39">
                  <c:v>3</c:v>
                </c:pt>
                <c:pt idx="40">
                  <c:v>4</c:v>
                </c:pt>
                <c:pt idx="41">
                  <c:v>8</c:v>
                </c:pt>
                <c:pt idx="42">
                  <c:v>8</c:v>
                </c:pt>
                <c:pt idx="43">
                  <c:v>8</c:v>
                </c:pt>
                <c:pt idx="44">
                  <c:v>3</c:v>
                </c:pt>
                <c:pt idx="45">
                  <c:v>10</c:v>
                </c:pt>
                <c:pt idx="46">
                  <c:v>14</c:v>
                </c:pt>
                <c:pt idx="47">
                  <c:v>14</c:v>
                </c:pt>
                <c:pt idx="48">
                  <c:v>14</c:v>
                </c:pt>
                <c:pt idx="49">
                  <c:v>6</c:v>
                </c:pt>
                <c:pt idx="50">
                  <c:v>4</c:v>
                </c:pt>
                <c:pt idx="51">
                  <c:v>8</c:v>
                </c:pt>
                <c:pt idx="52">
                  <c:v>8</c:v>
                </c:pt>
                <c:pt idx="53">
                  <c:v>8</c:v>
                </c:pt>
                <c:pt idx="54">
                  <c:v>3</c:v>
                </c:pt>
                <c:pt idx="55">
                  <c:v>4</c:v>
                </c:pt>
                <c:pt idx="56">
                  <c:v>8</c:v>
                </c:pt>
                <c:pt idx="57">
                  <c:v>8</c:v>
                </c:pt>
                <c:pt idx="58">
                  <c:v>8</c:v>
                </c:pt>
                <c:pt idx="59">
                  <c:v>3</c:v>
                </c:pt>
                <c:pt idx="60">
                  <c:v>10</c:v>
                </c:pt>
                <c:pt idx="61">
                  <c:v>14</c:v>
                </c:pt>
                <c:pt idx="62">
                  <c:v>14</c:v>
                </c:pt>
                <c:pt idx="63">
                  <c:v>14</c:v>
                </c:pt>
                <c:pt idx="64">
                  <c:v>6</c:v>
                </c:pt>
                <c:pt idx="65">
                  <c:v>10</c:v>
                </c:pt>
                <c:pt idx="66">
                  <c:v>14</c:v>
                </c:pt>
                <c:pt idx="67">
                  <c:v>14</c:v>
                </c:pt>
                <c:pt idx="68">
                  <c:v>14</c:v>
                </c:pt>
                <c:pt idx="69">
                  <c:v>6</c:v>
                </c:pt>
                <c:pt idx="70">
                  <c:v>10</c:v>
                </c:pt>
                <c:pt idx="71">
                  <c:v>14</c:v>
                </c:pt>
                <c:pt idx="72">
                  <c:v>14</c:v>
                </c:pt>
                <c:pt idx="73">
                  <c:v>14</c:v>
                </c:pt>
                <c:pt idx="74">
                  <c:v>6</c:v>
                </c:pt>
                <c:pt idx="75">
                  <c:v>10</c:v>
                </c:pt>
                <c:pt idx="76">
                  <c:v>14</c:v>
                </c:pt>
                <c:pt idx="77">
                  <c:v>14</c:v>
                </c:pt>
                <c:pt idx="78">
                  <c:v>14</c:v>
                </c:pt>
                <c:pt idx="79">
                  <c:v>6</c:v>
                </c:pt>
                <c:pt idx="80">
                  <c:v>10</c:v>
                </c:pt>
                <c:pt idx="81">
                  <c:v>14</c:v>
                </c:pt>
                <c:pt idx="82">
                  <c:v>14</c:v>
                </c:pt>
                <c:pt idx="83">
                  <c:v>14</c:v>
                </c:pt>
                <c:pt idx="84">
                  <c:v>6</c:v>
                </c:pt>
                <c:pt idx="85">
                  <c:v>10</c:v>
                </c:pt>
                <c:pt idx="86">
                  <c:v>14</c:v>
                </c:pt>
                <c:pt idx="87">
                  <c:v>14</c:v>
                </c:pt>
                <c:pt idx="88">
                  <c:v>14</c:v>
                </c:pt>
                <c:pt idx="89">
                  <c:v>6</c:v>
                </c:pt>
                <c:pt idx="90">
                  <c:v>10</c:v>
                </c:pt>
                <c:pt idx="91">
                  <c:v>14</c:v>
                </c:pt>
                <c:pt idx="92">
                  <c:v>14</c:v>
                </c:pt>
                <c:pt idx="93">
                  <c:v>14</c:v>
                </c:pt>
                <c:pt idx="94">
                  <c:v>6</c:v>
                </c:pt>
              </c:numCache>
            </c:numRef>
          </c:val>
          <c:extLst>
            <c:ext xmlns:c16="http://schemas.microsoft.com/office/drawing/2014/chart" uri="{C3380CC4-5D6E-409C-BE32-E72D297353CC}">
              <c16:uniqueId val="{00000003-1BEF-452E-B8C6-F82A3524DD3D}"/>
            </c:ext>
          </c:extLst>
        </c:ser>
        <c:dLbls>
          <c:showLegendKey val="0"/>
          <c:showVal val="0"/>
          <c:showCatName val="0"/>
          <c:showSerName val="0"/>
          <c:showPercent val="0"/>
          <c:showBubbleSize val="0"/>
        </c:dLbls>
        <c:gapWidth val="150"/>
        <c:overlap val="100"/>
        <c:axId val="315036191"/>
        <c:axId val="243043167"/>
      </c:barChart>
      <c:catAx>
        <c:axId val="31503619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k-SK"/>
          </a:p>
        </c:txPr>
        <c:crossAx val="243043167"/>
        <c:crosses val="autoZero"/>
        <c:auto val="1"/>
        <c:lblAlgn val="ctr"/>
        <c:lblOffset val="100"/>
        <c:noMultiLvlLbl val="0"/>
      </c:catAx>
      <c:valAx>
        <c:axId val="243043167"/>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k-SK"/>
          </a:p>
        </c:txPr>
        <c:crossAx val="315036191"/>
        <c:crosses val="autoZero"/>
        <c:crossBetween val="between"/>
        <c:majorUnit val="1"/>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sk-SK"/>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11</xdr:col>
      <xdr:colOff>7620</xdr:colOff>
      <xdr:row>1</xdr:row>
      <xdr:rowOff>91440</xdr:rowOff>
    </xdr:from>
    <xdr:to>
      <xdr:col>23</xdr:col>
      <xdr:colOff>502920</xdr:colOff>
      <xdr:row>97</xdr:row>
      <xdr:rowOff>53340</xdr:rowOff>
    </xdr:to>
    <xdr:graphicFrame macro="">
      <xdr:nvGraphicFramePr>
        <xdr:cNvPr id="2" name="Graf 1">
          <a:extLst>
            <a:ext uri="{FF2B5EF4-FFF2-40B4-BE49-F238E27FC236}">
              <a16:creationId xmlns:a16="http://schemas.microsoft.com/office/drawing/2014/main" id="{18A32D78-6FAE-47C1-8BC5-7F720AC5882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xdr:row>
      <xdr:rowOff>19050</xdr:rowOff>
    </xdr:from>
    <xdr:to>
      <xdr:col>11</xdr:col>
      <xdr:colOff>552450</xdr:colOff>
      <xdr:row>35</xdr:row>
      <xdr:rowOff>140105</xdr:rowOff>
    </xdr:to>
    <xdr:pic>
      <xdr:nvPicPr>
        <xdr:cNvPr id="2" name="Obrázok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90550"/>
          <a:ext cx="7258050" cy="6217055"/>
        </a:xfrm>
        <a:prstGeom prst="rect">
          <a:avLst/>
        </a:prstGeom>
      </xdr:spPr>
    </xdr:pic>
    <xdr:clientData/>
  </xdr:twoCellAnchor>
  <xdr:twoCellAnchor editAs="oneCell">
    <xdr:from>
      <xdr:col>18</xdr:col>
      <xdr:colOff>600074</xdr:colOff>
      <xdr:row>3</xdr:row>
      <xdr:rowOff>0</xdr:rowOff>
    </xdr:from>
    <xdr:to>
      <xdr:col>44</xdr:col>
      <xdr:colOff>508192</xdr:colOff>
      <xdr:row>35</xdr:row>
      <xdr:rowOff>0</xdr:rowOff>
    </xdr:to>
    <xdr:pic>
      <xdr:nvPicPr>
        <xdr:cNvPr id="3" name="Obrázok 2">
          <a:extLst>
            <a:ext uri="{FF2B5EF4-FFF2-40B4-BE49-F238E27FC236}">
              <a16:creationId xmlns:a16="http://schemas.microsoft.com/office/drawing/2014/main" id="{00000000-0008-0000-1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572874" y="571500"/>
          <a:ext cx="15757718" cy="6096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7ec55e5b485898c3/MIRRI_Dokumentacia/P_01_a_I_01_a_P_03_a_I_03_PRILOHA_KATALOG_POZIADAVIEK_mapovanie-a-zivotny-cyklus_Projekt_AA_OVM_BB_OsobaXY_DDMMYY_v0.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I_02_BC_CBA_PRILOHA_Projekt_eNRI.DOP_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VINNE_STANDARDY_ISVS"/>
      <sheetName val="KATALOG_POZIADAVKY"/>
      <sheetName val="FINAL_UCPA_Moduly"/>
      <sheetName val="MODULY"/>
      <sheetName val="TFC_v02"/>
      <sheetName val="ECF_v02"/>
      <sheetName val="UAW_v02"/>
      <sheetName val="INKREMENTY"/>
      <sheetName val="VZOR_OTAZKY_DO_VO"/>
      <sheetName val="VZOR_TESTOVANIE"/>
      <sheetName val="VZOR_POZIADAVKY_PROCESY_EVS"/>
      <sheetName val="Skratky"/>
      <sheetName val="CISELNIK"/>
      <sheetName val="POVINNE_STANDARDY_ISVS1"/>
      <sheetName val="VZOR_OTAZKY_DO_VO1"/>
      <sheetName val="VZOR_POZIADAVKY_PROCESY_EVS1"/>
      <sheetName val="POVINNE STANDARDY_ISVS"/>
      <sheetName val="VZOR_OTAZKY DO VO"/>
      <sheetName val="VZOR_POZIADAVKY PROCESY_EVS"/>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A2">
            <v>0</v>
          </cell>
          <cell r="B2" t="str">
            <v>Funkcna poziadavka</v>
          </cell>
        </row>
        <row r="3">
          <cell r="A3">
            <v>15</v>
          </cell>
          <cell r="B3" t="str">
            <v>Nefunkcna poziadavka</v>
          </cell>
        </row>
        <row r="4">
          <cell r="A4">
            <v>20</v>
          </cell>
          <cell r="B4" t="str">
            <v>Technicka poziadavka</v>
          </cell>
        </row>
        <row r="5">
          <cell r="A5">
            <v>25</v>
          </cell>
        </row>
        <row r="6">
          <cell r="A6">
            <v>30</v>
          </cell>
        </row>
      </sheetData>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vod"/>
      <sheetName val="Zoznam_Harkov"/>
      <sheetName val="Sumarizácia"/>
      <sheetName val="Zdroje Financovania"/>
      <sheetName val="CBA - Agendové IS"/>
      <sheetName val="Výdavky - Agendové IS"/>
      <sheetName val="Prínosy - Agendové IS"/>
      <sheetName val="Parametre - Agendové IS"/>
      <sheetName val="MODULY_CBA"/>
      <sheetName val="Parametre_ECF_TCF"/>
      <sheetName val="INKREMENTY"/>
      <sheetName val="KATALOG_POZIADAVKY"/>
      <sheetName val="TCF_v02"/>
      <sheetName val="ECF_v02"/>
      <sheetName val="UAW_v02"/>
      <sheetName val="AKTIVITY_POZICIE"/>
      <sheetName val="POZICIE_INTERNE"/>
      <sheetName val="Rozpocet - Vyvoj aplikacii"/>
      <sheetName val="ISCO_Prevodnik"/>
      <sheetName val="Rozpočet - HW a licencie"/>
      <sheetName val="Harmonogram"/>
      <sheetName val="ROZPOCET_NFP"/>
      <sheetName val="LIMITY"/>
      <sheetName val="Kontrola"/>
      <sheetName val="TCO"/>
      <sheetName val="TCO AS IS - SW"/>
      <sheetName val="TCO AS IS - HW"/>
      <sheetName val="TCO TO BE- SW"/>
      <sheetName val="TCO TO BE - HW"/>
      <sheetName val="Faktory"/>
      <sheetName val="Ciselnik"/>
      <sheetName val="Procesné mapy"/>
      <sheetName val="Procesy - AS IS"/>
      <sheetName val="Procesy - TO BE"/>
      <sheetName val="Analyza citlivosti - AgendovéIS"/>
      <sheetName val="Rozdelenie prínosov"/>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0">
          <cell r="A10" t="str">
            <v>Projektový manažér IT projektu</v>
          </cell>
          <cell r="B10" t="str">
            <v>Projektovy_manazer</v>
          </cell>
          <cell r="E10" t="str">
            <v>Riadiaci pracovník (manažér) riešení IT</v>
          </cell>
          <cell r="F10">
            <v>1330001</v>
          </cell>
        </row>
        <row r="11">
          <cell r="A11" t="str">
            <v>IT programátor/vývojár</v>
          </cell>
          <cell r="B11" t="str">
            <v>IT_programator</v>
          </cell>
          <cell r="E11" t="str">
            <v>Systémový programátor</v>
          </cell>
          <cell r="F11">
            <v>2512001</v>
          </cell>
        </row>
        <row r="12">
          <cell r="A12" t="str">
            <v>IT analytik</v>
          </cell>
          <cell r="B12" t="str">
            <v>IT_analytik</v>
          </cell>
          <cell r="E12" t="str">
            <v>Softvérový architekt, dizajnér</v>
          </cell>
          <cell r="F12">
            <v>2512002</v>
          </cell>
        </row>
        <row r="13">
          <cell r="A13" t="str">
            <v>IT architekt</v>
          </cell>
          <cell r="B13" t="str">
            <v>IT_architekt</v>
          </cell>
          <cell r="E13" t="str">
            <v>Analytik IKT</v>
          </cell>
          <cell r="F13">
            <v>2511003</v>
          </cell>
        </row>
        <row r="14">
          <cell r="A14" t="str">
            <v>Odborník pre IT dohľad/Quality Assurance</v>
          </cell>
          <cell r="B14" t="str">
            <v>Kvalita</v>
          </cell>
          <cell r="E14" t="str">
            <v>IT architekt, projektant</v>
          </cell>
          <cell r="F14">
            <v>2511002</v>
          </cell>
        </row>
        <row r="15">
          <cell r="A15" t="str">
            <v>IT tester</v>
          </cell>
          <cell r="B15" t="str">
            <v>IT_tester</v>
          </cell>
          <cell r="E15" t="str">
            <v>Databázový dizajnér</v>
          </cell>
          <cell r="F15">
            <v>2521001</v>
          </cell>
        </row>
        <row r="16">
          <cell r="A16" t="str">
            <v>Špecialista pre infraštruktúrny/HW špecialista</v>
          </cell>
          <cell r="B16" t="str">
            <v>Infrastrutkura</v>
          </cell>
          <cell r="E16" t="str">
            <v>Špecialista riadenia systému kvality</v>
          </cell>
          <cell r="F16">
            <v>2421002</v>
          </cell>
        </row>
        <row r="17">
          <cell r="A17" t="str">
            <v>Špecialista pre databázy</v>
          </cell>
          <cell r="B17" t="str">
            <v>Databazy</v>
          </cell>
          <cell r="E17" t="str">
            <v>IT tester</v>
          </cell>
          <cell r="F17">
            <v>2519001</v>
          </cell>
        </row>
        <row r="18">
          <cell r="A18" t="str">
            <v>IT/IS konzultant (napr. SAP)</v>
          </cell>
          <cell r="B18" t="str">
            <v>IT_konzultant</v>
          </cell>
          <cell r="E18" t="str">
            <v>Riadiaci pracovník (manažér) informačnej a kybernetickej bezpečnosti</v>
          </cell>
          <cell r="F18">
            <v>1330004</v>
          </cell>
        </row>
        <row r="19">
          <cell r="A19" t="str">
            <v>Špecialista pre bezpečnosť IT</v>
          </cell>
          <cell r="B19" t="str">
            <v>Bezpecnost</v>
          </cell>
          <cell r="E19" t="str">
            <v>Špecialista v oblasti počítačových sietí</v>
          </cell>
          <cell r="F19">
            <v>2523000</v>
          </cell>
        </row>
        <row r="20">
          <cell r="A20" t="str">
            <v>Školiteľ pre IT systémy</v>
          </cell>
          <cell r="B20" t="str">
            <v>Skolenie</v>
          </cell>
          <cell r="E20" t="str">
            <v>Databázový dizajnér</v>
          </cell>
          <cell r="F20">
            <v>2521001</v>
          </cell>
        </row>
        <row r="21">
          <cell r="A21" t="str">
            <v xml:space="preserve">Iné </v>
          </cell>
          <cell r="B21" t="str">
            <v>Ine</v>
          </cell>
          <cell r="E21" t="str">
            <v>Databázový analytik</v>
          </cell>
          <cell r="F21">
            <v>2521003</v>
          </cell>
        </row>
        <row r="22">
          <cell r="E22" t="str">
            <v>IT konzultant</v>
          </cell>
          <cell r="F22">
            <v>2511001</v>
          </cell>
        </row>
        <row r="23">
          <cell r="E23" t="str">
            <v>Špecialista informačnej a kybernetickej bezpečnosti</v>
          </cell>
          <cell r="F23">
            <v>2529001</v>
          </cell>
        </row>
        <row r="25">
          <cell r="E25" t="str">
            <v>Mechanik počítačových sietí</v>
          </cell>
          <cell r="F25">
            <v>7422003</v>
          </cell>
        </row>
        <row r="26">
          <cell r="E26" t="str">
            <v>Špecialista prevádzky mobilných a pevných technológií</v>
          </cell>
          <cell r="F26">
            <v>2153003</v>
          </cell>
        </row>
        <row r="27">
          <cell r="E27" t="str">
            <v>Správca digitálneho obsahu (Digital Content Manager)</v>
          </cell>
          <cell r="F27">
            <v>2513003</v>
          </cell>
        </row>
        <row r="28">
          <cell r="E28" t="str">
            <v>Pracovníci informačných služieb inde neuvedení</v>
          </cell>
          <cell r="F28">
            <v>4229</v>
          </cell>
        </row>
        <row r="29">
          <cell r="E29" t="str">
            <v>Operátor klientskej podpory IKT</v>
          </cell>
          <cell r="F29">
            <v>3511002</v>
          </cell>
        </row>
        <row r="30">
          <cell r="E30" t="str">
            <v>Technik užívateľskej podpory IKT</v>
          </cell>
          <cell r="F30">
            <v>3512000</v>
          </cell>
        </row>
        <row r="31">
          <cell r="E31" t="str">
            <v>Aplikačný programátor</v>
          </cell>
          <cell r="F31">
            <v>2514000</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mindop.sk/"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xml"/><Relationship Id="rId1" Type="http://schemas.openxmlformats.org/officeDocument/2006/relationships/printerSettings" Target="../printerSettings/printerSettings21.bin"/><Relationship Id="rId4" Type="http://schemas.openxmlformats.org/officeDocument/2006/relationships/comments" Target="../comments14.x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1">
    <tabColor rgb="FFFFFF00"/>
  </sheetPr>
  <dimension ref="A1:R40"/>
  <sheetViews>
    <sheetView tabSelected="1" topLeftCell="A8" zoomScaleNormal="100" workbookViewId="0">
      <selection activeCell="F32" sqref="F32"/>
    </sheetView>
  </sheetViews>
  <sheetFormatPr defaultColWidth="8.85546875" defaultRowHeight="15"/>
  <cols>
    <col min="2" max="2" width="11.5703125" customWidth="1"/>
    <col min="4" max="4" width="6.42578125" customWidth="1"/>
    <col min="6" max="6" width="7.5703125" customWidth="1"/>
    <col min="7" max="7" width="12.42578125" customWidth="1"/>
    <col min="8" max="8" width="6" customWidth="1"/>
    <col min="9" max="9" width="14.42578125" customWidth="1"/>
  </cols>
  <sheetData>
    <row r="1" spans="1:18">
      <c r="A1" s="34"/>
      <c r="B1" s="34"/>
      <c r="C1" s="34"/>
      <c r="D1" s="34"/>
      <c r="E1" s="34"/>
      <c r="F1" s="34"/>
      <c r="G1" s="34"/>
      <c r="H1" s="34"/>
      <c r="I1" s="34"/>
      <c r="J1" s="236"/>
      <c r="K1" s="237"/>
      <c r="L1" s="237"/>
      <c r="M1" s="237"/>
      <c r="N1" s="237"/>
      <c r="O1" s="237"/>
      <c r="P1" s="237"/>
      <c r="Q1" s="237"/>
      <c r="R1" s="237"/>
    </row>
    <row r="2" spans="1:18">
      <c r="A2" s="34"/>
      <c r="B2" s="34"/>
      <c r="C2" s="34"/>
      <c r="D2" s="34"/>
      <c r="E2" s="34"/>
      <c r="F2" s="34"/>
      <c r="G2" s="34"/>
      <c r="H2" s="34"/>
      <c r="I2" s="34"/>
      <c r="J2" s="237"/>
      <c r="K2" s="237"/>
      <c r="L2" s="237"/>
      <c r="M2" s="237"/>
      <c r="N2" s="237"/>
      <c r="O2" s="237"/>
      <c r="P2" s="237"/>
      <c r="Q2" s="237"/>
      <c r="R2" s="237"/>
    </row>
    <row r="3" spans="1:18" ht="15" customHeight="1">
      <c r="A3" s="34"/>
      <c r="B3" s="34"/>
      <c r="C3" s="34"/>
      <c r="D3" s="34"/>
      <c r="E3" s="34"/>
      <c r="F3" s="34"/>
      <c r="G3" s="34"/>
      <c r="H3" s="34"/>
      <c r="I3" s="34"/>
      <c r="J3" s="237"/>
      <c r="K3" s="237"/>
      <c r="L3" s="237"/>
      <c r="M3" s="237"/>
      <c r="N3" s="237"/>
      <c r="O3" s="237"/>
      <c r="P3" s="237"/>
      <c r="Q3" s="237"/>
      <c r="R3" s="237"/>
    </row>
    <row r="4" spans="1:18" ht="15" customHeight="1">
      <c r="A4" s="34"/>
      <c r="B4" s="34"/>
      <c r="C4" s="34"/>
      <c r="D4" s="34"/>
      <c r="E4" s="34"/>
      <c r="F4" s="34"/>
      <c r="G4" s="34"/>
      <c r="H4" s="34"/>
      <c r="I4" s="34"/>
      <c r="J4" s="237"/>
      <c r="K4" s="237"/>
      <c r="L4" s="237"/>
      <c r="M4" s="237"/>
      <c r="N4" s="237"/>
      <c r="O4" s="237"/>
      <c r="P4" s="237"/>
      <c r="Q4" s="237"/>
      <c r="R4" s="237"/>
    </row>
    <row r="5" spans="1:18">
      <c r="A5" s="34"/>
      <c r="B5" s="34"/>
      <c r="C5" s="34"/>
      <c r="D5" s="34"/>
      <c r="E5" s="34"/>
      <c r="F5" s="34"/>
      <c r="G5" s="34"/>
      <c r="H5" s="34"/>
      <c r="I5" s="34"/>
      <c r="J5" s="237"/>
      <c r="K5" s="237"/>
      <c r="L5" s="237"/>
      <c r="M5" s="237"/>
      <c r="N5" s="237"/>
      <c r="O5" s="237"/>
      <c r="P5" s="237"/>
      <c r="Q5" s="237"/>
      <c r="R5" s="237"/>
    </row>
    <row r="6" spans="1:18" ht="57.75" customHeight="1">
      <c r="A6" s="756" t="s">
        <v>533</v>
      </c>
      <c r="B6" s="756"/>
      <c r="C6" s="756"/>
      <c r="D6" s="756"/>
      <c r="E6" s="756"/>
      <c r="F6" s="756"/>
      <c r="G6" s="756"/>
      <c r="H6" s="756"/>
      <c r="I6" s="756"/>
      <c r="J6" s="237"/>
      <c r="K6" s="237"/>
      <c r="L6" s="237"/>
      <c r="M6" s="237"/>
      <c r="N6" s="237"/>
      <c r="O6" s="237"/>
      <c r="P6" s="237"/>
      <c r="Q6" s="237"/>
      <c r="R6" s="237"/>
    </row>
    <row r="7" spans="1:18">
      <c r="A7" s="757"/>
      <c r="B7" s="757"/>
      <c r="C7" s="757"/>
      <c r="D7" s="757"/>
      <c r="E7" s="757"/>
      <c r="F7" s="757"/>
      <c r="G7" s="757"/>
      <c r="H7" s="757"/>
      <c r="I7" s="757"/>
      <c r="J7" s="237"/>
      <c r="K7" s="646" t="s">
        <v>776</v>
      </c>
      <c r="L7" s="237"/>
      <c r="M7" s="237"/>
      <c r="N7" s="237"/>
      <c r="O7" s="237"/>
      <c r="P7" s="237"/>
      <c r="Q7" s="237"/>
      <c r="R7" s="237"/>
    </row>
    <row r="8" spans="1:18" ht="3.75" customHeight="1">
      <c r="A8" s="757"/>
      <c r="B8" s="757"/>
      <c r="C8" s="757"/>
      <c r="D8" s="757"/>
      <c r="E8" s="757"/>
      <c r="F8" s="757"/>
      <c r="G8" s="757"/>
      <c r="H8" s="757"/>
      <c r="I8" s="757"/>
      <c r="J8" s="237"/>
      <c r="K8" s="237"/>
      <c r="L8" s="237"/>
      <c r="M8" s="237"/>
      <c r="N8" s="237"/>
      <c r="O8" s="237"/>
      <c r="P8" s="237"/>
      <c r="Q8" s="237"/>
      <c r="R8" s="237"/>
    </row>
    <row r="9" spans="1:18" ht="14.25" hidden="1" customHeight="1">
      <c r="A9" s="757"/>
      <c r="B9" s="757"/>
      <c r="C9" s="757"/>
      <c r="D9" s="757"/>
      <c r="E9" s="757"/>
      <c r="F9" s="757"/>
      <c r="G9" s="757"/>
      <c r="H9" s="757"/>
      <c r="I9" s="757"/>
      <c r="J9" s="237"/>
      <c r="K9" s="237"/>
      <c r="L9" s="237"/>
      <c r="M9" s="237"/>
      <c r="N9" s="237"/>
      <c r="O9" s="237"/>
      <c r="P9" s="237"/>
      <c r="Q9" s="237"/>
      <c r="R9" s="237"/>
    </row>
    <row r="10" spans="1:18" ht="15" customHeight="1">
      <c r="A10" s="34"/>
      <c r="B10" s="34"/>
      <c r="C10" s="34"/>
      <c r="D10" s="34"/>
      <c r="E10" s="34"/>
      <c r="F10" s="34"/>
      <c r="G10" s="34"/>
      <c r="H10" s="34"/>
      <c r="I10" s="34"/>
      <c r="J10" s="237"/>
      <c r="K10" s="237"/>
      <c r="L10" s="237"/>
      <c r="M10" s="237"/>
      <c r="N10" s="237"/>
      <c r="O10" s="237"/>
      <c r="P10" s="237"/>
      <c r="Q10" s="237"/>
      <c r="R10" s="237"/>
    </row>
    <row r="11" spans="1:18">
      <c r="B11" s="34"/>
      <c r="C11" s="34"/>
      <c r="D11" s="34"/>
      <c r="E11" s="34"/>
      <c r="F11" s="34"/>
      <c r="G11" s="34"/>
      <c r="H11" s="34"/>
      <c r="I11" s="34"/>
      <c r="J11" s="237"/>
      <c r="K11" s="237"/>
      <c r="L11" s="237"/>
      <c r="M11" s="237"/>
      <c r="N11" s="237"/>
      <c r="O11" s="237"/>
      <c r="P11" s="237"/>
      <c r="Q11" s="237"/>
      <c r="R11" s="237"/>
    </row>
    <row r="12" spans="1:18" ht="15.75" thickBot="1">
      <c r="B12" s="34"/>
      <c r="C12" s="34"/>
      <c r="D12" s="34"/>
      <c r="E12" s="34"/>
      <c r="F12" s="34"/>
      <c r="G12" s="34"/>
      <c r="H12" s="34"/>
      <c r="I12" s="34"/>
      <c r="J12" s="237"/>
      <c r="K12" s="237"/>
      <c r="L12" s="237"/>
      <c r="M12" s="237"/>
      <c r="N12" s="237"/>
      <c r="O12" s="237"/>
      <c r="P12" s="237"/>
      <c r="Q12" s="237"/>
      <c r="R12" s="237"/>
    </row>
    <row r="13" spans="1:18" ht="16.5">
      <c r="A13" s="758" t="s">
        <v>110</v>
      </c>
      <c r="B13" s="759"/>
      <c r="C13" s="760" t="s">
        <v>777</v>
      </c>
      <c r="D13" s="760"/>
      <c r="E13" s="760"/>
      <c r="F13" s="760"/>
      <c r="G13" s="760"/>
      <c r="H13" s="760"/>
      <c r="I13" s="761"/>
      <c r="J13" s="237"/>
      <c r="K13" s="237"/>
      <c r="L13" s="237"/>
      <c r="M13" s="237"/>
      <c r="N13" s="237"/>
      <c r="O13" s="237"/>
      <c r="P13" s="237"/>
      <c r="Q13" s="237"/>
      <c r="R13" s="237"/>
    </row>
    <row r="14" spans="1:18" ht="16.5">
      <c r="A14" s="738" t="s">
        <v>113</v>
      </c>
      <c r="B14" s="739"/>
      <c r="C14" s="753" t="s">
        <v>778</v>
      </c>
      <c r="D14" s="753"/>
      <c r="E14" s="753"/>
      <c r="F14" s="753"/>
      <c r="G14" s="753"/>
      <c r="H14" s="753"/>
      <c r="I14" s="754"/>
      <c r="J14" s="237"/>
      <c r="K14" s="237"/>
      <c r="L14" s="237"/>
      <c r="M14" s="237"/>
      <c r="N14" s="237"/>
      <c r="O14" s="237"/>
      <c r="P14" s="237"/>
      <c r="Q14" s="237"/>
      <c r="R14" s="237"/>
    </row>
    <row r="15" spans="1:18" ht="30.75" customHeight="1">
      <c r="A15" s="738" t="s">
        <v>534</v>
      </c>
      <c r="B15" s="739"/>
      <c r="C15" s="753" t="s">
        <v>779</v>
      </c>
      <c r="D15" s="753"/>
      <c r="E15" s="753"/>
      <c r="F15" s="753"/>
      <c r="G15" s="753"/>
      <c r="H15" s="753"/>
      <c r="I15" s="754"/>
      <c r="J15" s="237"/>
      <c r="K15" s="237"/>
      <c r="L15" s="237"/>
      <c r="M15" s="237"/>
      <c r="N15" s="237"/>
      <c r="O15" s="237"/>
      <c r="P15" s="237"/>
      <c r="Q15" s="237"/>
      <c r="R15" s="237"/>
    </row>
    <row r="16" spans="1:18" ht="14.45" customHeight="1">
      <c r="A16" s="738" t="s">
        <v>51</v>
      </c>
      <c r="B16" s="739"/>
      <c r="C16" s="753" t="s">
        <v>780</v>
      </c>
      <c r="D16" s="753"/>
      <c r="E16" s="753"/>
      <c r="F16" s="753"/>
      <c r="G16" s="753"/>
      <c r="H16" s="753"/>
      <c r="I16" s="754"/>
      <c r="J16" s="237"/>
      <c r="K16" s="237"/>
      <c r="L16" s="237"/>
      <c r="M16" s="237"/>
      <c r="N16" s="237"/>
      <c r="O16" s="237"/>
      <c r="P16" s="237"/>
      <c r="Q16" s="237"/>
      <c r="R16" s="237"/>
    </row>
    <row r="17" spans="1:18" ht="16.5">
      <c r="A17" s="738" t="s">
        <v>52</v>
      </c>
      <c r="B17" s="739"/>
      <c r="C17" s="753" t="s">
        <v>781</v>
      </c>
      <c r="D17" s="753"/>
      <c r="E17" s="753"/>
      <c r="F17" s="753"/>
      <c r="G17" s="753"/>
      <c r="H17" s="753"/>
      <c r="I17" s="754"/>
      <c r="J17" s="237"/>
      <c r="K17" s="237"/>
      <c r="L17" s="237"/>
      <c r="M17" s="237"/>
      <c r="N17" s="237"/>
      <c r="O17" s="237"/>
      <c r="P17" s="237"/>
      <c r="Q17" s="237"/>
      <c r="R17" s="237"/>
    </row>
    <row r="18" spans="1:18" ht="16.5">
      <c r="A18" s="738" t="s">
        <v>53</v>
      </c>
      <c r="B18" s="739"/>
      <c r="C18" s="753" t="s">
        <v>782</v>
      </c>
      <c r="D18" s="753"/>
      <c r="E18" s="753"/>
      <c r="F18" s="753"/>
      <c r="G18" s="753"/>
      <c r="H18" s="753"/>
      <c r="I18" s="754"/>
      <c r="J18" s="237"/>
      <c r="K18" s="237"/>
      <c r="L18" s="237"/>
      <c r="M18" s="237"/>
      <c r="N18" s="237"/>
      <c r="O18" s="237"/>
      <c r="P18" s="237"/>
      <c r="Q18" s="237"/>
      <c r="R18" s="237"/>
    </row>
    <row r="19" spans="1:18" ht="16.5">
      <c r="A19" s="738" t="s">
        <v>54</v>
      </c>
      <c r="B19" s="739"/>
      <c r="C19" s="755" t="s">
        <v>783</v>
      </c>
      <c r="D19" s="753"/>
      <c r="E19" s="753"/>
      <c r="F19" s="753"/>
      <c r="G19" s="753"/>
      <c r="H19" s="753"/>
      <c r="I19" s="754"/>
      <c r="J19" s="237"/>
      <c r="K19" s="237"/>
      <c r="L19" s="237"/>
      <c r="M19" s="237"/>
      <c r="N19" s="237"/>
      <c r="O19" s="237"/>
      <c r="P19" s="237"/>
      <c r="Q19" s="237"/>
      <c r="R19" s="237"/>
    </row>
    <row r="20" spans="1:18" ht="16.5">
      <c r="A20" s="738" t="s">
        <v>55</v>
      </c>
      <c r="B20" s="739"/>
      <c r="C20" s="753">
        <v>30416094</v>
      </c>
      <c r="D20" s="753"/>
      <c r="E20" s="753"/>
      <c r="F20" s="753"/>
      <c r="G20" s="753"/>
      <c r="H20" s="753"/>
      <c r="I20" s="754"/>
      <c r="J20" s="237"/>
      <c r="K20" s="237"/>
      <c r="L20" s="237"/>
      <c r="M20" s="237"/>
      <c r="N20" s="237"/>
      <c r="O20" s="237"/>
      <c r="P20" s="237"/>
      <c r="Q20" s="237"/>
      <c r="R20" s="237"/>
    </row>
    <row r="21" spans="1:18" ht="36" customHeight="1">
      <c r="A21" s="738" t="s">
        <v>56</v>
      </c>
      <c r="B21" s="739"/>
      <c r="C21" s="740" t="s">
        <v>2544</v>
      </c>
      <c r="D21" s="740"/>
      <c r="E21" s="740"/>
      <c r="F21" s="740"/>
      <c r="G21" s="740"/>
      <c r="H21" s="740"/>
      <c r="I21" s="741"/>
      <c r="J21" s="237"/>
      <c r="K21" s="237"/>
      <c r="L21" s="237"/>
      <c r="M21" s="237"/>
      <c r="N21" s="237"/>
      <c r="O21" s="237"/>
      <c r="P21" s="237"/>
      <c r="Q21" s="237"/>
      <c r="R21" s="237"/>
    </row>
    <row r="22" spans="1:18" ht="33" customHeight="1" thickBot="1">
      <c r="A22" s="742" t="s">
        <v>57</v>
      </c>
      <c r="B22" s="743"/>
      <c r="C22" s="935" t="s">
        <v>2545</v>
      </c>
      <c r="D22" s="935"/>
      <c r="E22" s="935"/>
      <c r="F22" s="935"/>
      <c r="G22" s="935"/>
      <c r="H22" s="935"/>
      <c r="I22" s="936"/>
      <c r="J22" s="237"/>
      <c r="K22" s="237"/>
      <c r="L22" s="237"/>
      <c r="M22" s="237"/>
      <c r="N22" s="237"/>
      <c r="O22" s="237"/>
      <c r="P22" s="237"/>
      <c r="Q22" s="237"/>
      <c r="R22" s="237"/>
    </row>
    <row r="23" spans="1:18">
      <c r="A23" s="34"/>
      <c r="B23" s="34"/>
      <c r="C23" s="34"/>
      <c r="D23" s="34"/>
      <c r="E23" s="34"/>
      <c r="F23" s="34"/>
      <c r="G23" s="34"/>
      <c r="H23" s="34"/>
      <c r="I23" s="34"/>
      <c r="J23" s="237"/>
      <c r="K23" s="237"/>
      <c r="L23" s="237"/>
      <c r="M23" s="237"/>
      <c r="N23" s="237"/>
      <c r="O23" s="237"/>
      <c r="P23" s="237"/>
      <c r="Q23" s="237"/>
      <c r="R23" s="237"/>
    </row>
    <row r="24" spans="1:18" ht="15.75" thickBot="1">
      <c r="A24" s="744" t="s">
        <v>60</v>
      </c>
      <c r="B24" s="744"/>
      <c r="C24" s="744"/>
      <c r="D24" s="744"/>
      <c r="E24" s="744"/>
      <c r="F24" s="744"/>
      <c r="G24" s="744"/>
      <c r="H24" s="744"/>
      <c r="I24" s="744"/>
      <c r="J24" s="237"/>
      <c r="K24" s="237"/>
      <c r="L24" s="237"/>
      <c r="M24" s="237"/>
      <c r="N24" s="237"/>
      <c r="O24" s="237"/>
      <c r="P24" s="237"/>
      <c r="Q24" s="237"/>
      <c r="R24" s="237"/>
    </row>
    <row r="25" spans="1:18" ht="14.45" customHeight="1">
      <c r="A25" s="745" t="s">
        <v>58</v>
      </c>
      <c r="B25" s="746"/>
      <c r="C25" s="749" t="s">
        <v>59</v>
      </c>
      <c r="D25" s="749"/>
      <c r="E25" s="751" t="s">
        <v>61</v>
      </c>
      <c r="F25" s="751"/>
      <c r="G25" s="734" t="s">
        <v>62</v>
      </c>
      <c r="H25" s="734"/>
      <c r="I25" s="736" t="s">
        <v>63</v>
      </c>
      <c r="J25" s="237"/>
      <c r="K25" s="237"/>
      <c r="L25" s="237"/>
      <c r="M25" s="237"/>
      <c r="N25" s="237"/>
      <c r="O25" s="237"/>
      <c r="P25" s="237"/>
      <c r="Q25" s="237"/>
      <c r="R25" s="237"/>
    </row>
    <row r="26" spans="1:18" ht="15.75" thickBot="1">
      <c r="A26" s="747"/>
      <c r="B26" s="748"/>
      <c r="C26" s="750"/>
      <c r="D26" s="750"/>
      <c r="E26" s="752"/>
      <c r="F26" s="752"/>
      <c r="G26" s="735"/>
      <c r="H26" s="735"/>
      <c r="I26" s="737"/>
      <c r="J26" s="237"/>
      <c r="K26" s="237"/>
      <c r="L26" s="237"/>
      <c r="M26" s="237"/>
      <c r="N26" s="237"/>
      <c r="O26" s="237"/>
      <c r="P26" s="237"/>
      <c r="Q26" s="237"/>
      <c r="R26" s="237"/>
    </row>
    <row r="27" spans="1:18">
      <c r="A27" s="573"/>
      <c r="B27" s="573"/>
      <c r="C27" s="730" t="s">
        <v>518</v>
      </c>
      <c r="D27" s="731"/>
      <c r="E27" s="573"/>
      <c r="F27" s="573"/>
      <c r="G27" s="573"/>
      <c r="H27" s="573"/>
      <c r="I27" s="573"/>
      <c r="J27" s="237"/>
      <c r="K27" s="237"/>
      <c r="L27" s="237"/>
      <c r="M27" s="237"/>
      <c r="N27" s="237"/>
      <c r="O27" s="237"/>
      <c r="P27" s="237"/>
      <c r="Q27" s="237"/>
      <c r="R27" s="237"/>
    </row>
    <row r="28" spans="1:18" ht="15.75" thickBot="1">
      <c r="A28" s="574"/>
      <c r="B28" s="574"/>
      <c r="C28" s="732"/>
      <c r="D28" s="733"/>
      <c r="E28" s="574"/>
      <c r="F28" s="574"/>
      <c r="G28" s="574"/>
      <c r="H28" s="574"/>
      <c r="I28" s="574"/>
      <c r="J28" s="237"/>
      <c r="K28" s="237"/>
      <c r="L28" s="237"/>
      <c r="M28" s="237"/>
      <c r="N28" s="237"/>
      <c r="O28" s="237"/>
      <c r="P28" s="237"/>
      <c r="Q28" s="237"/>
      <c r="R28" s="237"/>
    </row>
    <row r="29" spans="1:18">
      <c r="A29" s="574"/>
      <c r="B29" s="574"/>
      <c r="C29" s="574"/>
      <c r="D29" s="574"/>
      <c r="E29" s="574"/>
      <c r="F29" s="574"/>
      <c r="G29" s="574"/>
      <c r="H29" s="574"/>
      <c r="I29" s="574"/>
      <c r="J29" s="237"/>
      <c r="K29" s="237"/>
      <c r="L29" s="237"/>
      <c r="M29" s="237"/>
      <c r="N29" s="237"/>
      <c r="O29" s="237"/>
      <c r="P29" s="237"/>
      <c r="Q29" s="237"/>
      <c r="R29" s="237"/>
    </row>
    <row r="30" spans="1:18">
      <c r="A30" s="78"/>
      <c r="B30" s="78"/>
      <c r="C30" s="34"/>
      <c r="D30" s="34"/>
      <c r="E30" s="34"/>
      <c r="F30" s="34"/>
      <c r="G30" s="34"/>
      <c r="H30" s="34"/>
      <c r="I30" s="34"/>
      <c r="J30" s="237"/>
      <c r="K30" s="237"/>
      <c r="L30" s="237"/>
      <c r="M30" s="237"/>
      <c r="N30" s="237"/>
      <c r="O30" s="237"/>
      <c r="P30" s="237"/>
      <c r="Q30" s="237"/>
      <c r="R30" s="237"/>
    </row>
    <row r="31" spans="1:18">
      <c r="A31" s="34"/>
      <c r="B31" s="34"/>
      <c r="C31" s="34"/>
      <c r="D31" s="34"/>
      <c r="E31" s="34"/>
      <c r="F31" s="34"/>
      <c r="G31" s="34"/>
      <c r="H31" s="34"/>
      <c r="I31" s="34"/>
      <c r="J31" s="237"/>
      <c r="K31" s="237"/>
      <c r="L31" s="237"/>
      <c r="M31" s="237"/>
      <c r="N31" s="237"/>
      <c r="O31" s="237"/>
      <c r="P31" s="237"/>
      <c r="Q31" s="237"/>
      <c r="R31" s="237"/>
    </row>
    <row r="32" spans="1:18">
      <c r="A32" s="34"/>
      <c r="B32" s="34"/>
      <c r="C32" s="34"/>
      <c r="D32" s="34"/>
      <c r="E32" s="34"/>
      <c r="F32" s="34"/>
      <c r="G32" s="34"/>
      <c r="H32" s="34"/>
      <c r="I32" s="34"/>
      <c r="J32" s="237"/>
      <c r="K32" s="237"/>
      <c r="L32" s="237"/>
      <c r="M32" s="237"/>
      <c r="N32" s="237"/>
      <c r="O32" s="237"/>
      <c r="P32" s="237"/>
      <c r="Q32" s="237"/>
      <c r="R32" s="237"/>
    </row>
    <row r="33" spans="1:18">
      <c r="A33" s="34"/>
      <c r="B33" s="34"/>
      <c r="C33" s="34"/>
      <c r="D33" s="34"/>
      <c r="E33" s="34"/>
      <c r="F33" s="34"/>
      <c r="G33" s="34"/>
      <c r="H33" s="34"/>
      <c r="I33" s="34"/>
      <c r="J33" s="237"/>
      <c r="K33" s="237"/>
      <c r="L33" s="237"/>
      <c r="M33" s="237"/>
      <c r="N33" s="237"/>
      <c r="O33" s="237"/>
      <c r="P33" s="237"/>
      <c r="Q33" s="237"/>
      <c r="R33" s="237"/>
    </row>
    <row r="34" spans="1:18">
      <c r="A34" s="34"/>
      <c r="B34" s="34"/>
      <c r="C34" s="34"/>
      <c r="D34" s="34"/>
      <c r="E34" s="34"/>
      <c r="F34" s="34"/>
      <c r="G34" s="34"/>
      <c r="H34" s="34"/>
      <c r="I34" s="34"/>
      <c r="J34" s="237"/>
      <c r="K34" s="237"/>
      <c r="L34" s="237"/>
      <c r="M34" s="237"/>
      <c r="N34" s="237"/>
      <c r="O34" s="237"/>
      <c r="P34" s="237"/>
      <c r="Q34" s="237"/>
      <c r="R34" s="237"/>
    </row>
    <row r="35" spans="1:18">
      <c r="A35" s="34"/>
      <c r="B35" s="34"/>
      <c r="C35" s="34"/>
      <c r="D35" s="34"/>
      <c r="E35" s="34"/>
      <c r="F35" s="34"/>
      <c r="G35" s="34"/>
      <c r="H35" s="34"/>
      <c r="I35" s="34"/>
      <c r="J35" s="237"/>
      <c r="K35" s="237"/>
      <c r="L35" s="237"/>
      <c r="M35" s="237"/>
      <c r="N35" s="237"/>
      <c r="O35" s="237"/>
      <c r="P35" s="237"/>
      <c r="Q35" s="237"/>
      <c r="R35" s="237"/>
    </row>
    <row r="36" spans="1:18">
      <c r="A36" s="34"/>
      <c r="B36" s="34"/>
      <c r="C36" s="34"/>
      <c r="D36" s="34"/>
      <c r="E36" s="34"/>
      <c r="F36" s="34"/>
      <c r="G36" s="34"/>
      <c r="H36" s="34"/>
      <c r="I36" s="34"/>
      <c r="J36" s="237"/>
      <c r="K36" s="237"/>
      <c r="L36" s="237"/>
      <c r="M36" s="237"/>
      <c r="N36" s="237"/>
      <c r="O36" s="237"/>
      <c r="P36" s="237"/>
      <c r="Q36" s="237"/>
      <c r="R36" s="237"/>
    </row>
    <row r="37" spans="1:18">
      <c r="A37" s="34"/>
      <c r="B37" s="34"/>
      <c r="C37" s="34"/>
      <c r="D37" s="34"/>
      <c r="E37" s="34"/>
      <c r="F37" s="34"/>
      <c r="G37" s="34"/>
      <c r="H37" s="34"/>
      <c r="I37" s="34"/>
    </row>
    <row r="38" spans="1:18">
      <c r="A38" s="34"/>
      <c r="B38" s="34"/>
      <c r="C38" s="34"/>
      <c r="D38" s="34"/>
      <c r="E38" s="34"/>
      <c r="F38" s="34"/>
      <c r="G38" s="34"/>
      <c r="H38" s="34"/>
      <c r="I38" s="34"/>
    </row>
    <row r="39" spans="1:18">
      <c r="A39" s="34"/>
      <c r="B39" s="34"/>
      <c r="C39" s="34"/>
      <c r="D39" s="34"/>
      <c r="E39" s="34"/>
      <c r="F39" s="34"/>
      <c r="G39" s="34"/>
      <c r="H39" s="34"/>
      <c r="I39" s="34"/>
    </row>
    <row r="40" spans="1:18">
      <c r="A40" s="34"/>
      <c r="B40" s="34"/>
      <c r="C40" s="34"/>
      <c r="D40" s="34"/>
      <c r="E40" s="34"/>
      <c r="F40" s="34"/>
      <c r="G40" s="34"/>
      <c r="H40" s="34"/>
      <c r="I40" s="34"/>
    </row>
  </sheetData>
  <mergeCells count="28">
    <mergeCell ref="A6:I9"/>
    <mergeCell ref="A16:B16"/>
    <mergeCell ref="C16:I16"/>
    <mergeCell ref="A17:B17"/>
    <mergeCell ref="C17:I17"/>
    <mergeCell ref="A13:B13"/>
    <mergeCell ref="C13:I13"/>
    <mergeCell ref="A14:B14"/>
    <mergeCell ref="C14:I14"/>
    <mergeCell ref="A15:B15"/>
    <mergeCell ref="C15:I15"/>
    <mergeCell ref="A18:B18"/>
    <mergeCell ref="C18:I18"/>
    <mergeCell ref="A19:B19"/>
    <mergeCell ref="C19:I19"/>
    <mergeCell ref="A20:B20"/>
    <mergeCell ref="C20:I20"/>
    <mergeCell ref="C27:D28"/>
    <mergeCell ref="G25:H26"/>
    <mergeCell ref="I25:I26"/>
    <mergeCell ref="A21:B21"/>
    <mergeCell ref="C21:I21"/>
    <mergeCell ref="A22:B22"/>
    <mergeCell ref="C22:I22"/>
    <mergeCell ref="A24:I24"/>
    <mergeCell ref="A25:B26"/>
    <mergeCell ref="C25:D26"/>
    <mergeCell ref="E25:F26"/>
  </mergeCells>
  <hyperlinks>
    <hyperlink ref="C19" r:id="rId1"/>
  </hyperlinks>
  <pageMargins left="0.7" right="0.7" top="0.75" bottom="0.75" header="0.3" footer="0.3"/>
  <pageSetup paperSize="9" orientation="portrait"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2">
    <tabColor theme="0" tint="-0.34998626667073579"/>
  </sheetPr>
  <dimension ref="A1:D30"/>
  <sheetViews>
    <sheetView workbookViewId="0">
      <selection activeCell="D3" sqref="D3"/>
    </sheetView>
  </sheetViews>
  <sheetFormatPr defaultColWidth="8.85546875" defaultRowHeight="15"/>
  <cols>
    <col min="1" max="1" width="25.42578125" customWidth="1"/>
    <col min="2" max="2" width="79" bestFit="1" customWidth="1"/>
    <col min="3" max="3" width="13.42578125" customWidth="1"/>
    <col min="4" max="4" width="70" bestFit="1" customWidth="1"/>
  </cols>
  <sheetData>
    <row r="1" spans="1:4" ht="19.5" thickBot="1">
      <c r="A1" s="228" t="s">
        <v>212</v>
      </c>
      <c r="D1" s="642" t="s">
        <v>757</v>
      </c>
    </row>
    <row r="2" spans="1:4" ht="15.75" thickBot="1">
      <c r="A2" s="229" t="s">
        <v>216</v>
      </c>
      <c r="B2" s="230" t="s">
        <v>217</v>
      </c>
      <c r="C2" s="523" t="s">
        <v>508</v>
      </c>
      <c r="D2" s="231" t="s">
        <v>222</v>
      </c>
    </row>
    <row r="3" spans="1:4">
      <c r="A3" s="521" t="s">
        <v>506</v>
      </c>
      <c r="B3" s="232" t="s">
        <v>507</v>
      </c>
      <c r="C3" s="524"/>
      <c r="D3" s="196" t="s">
        <v>225</v>
      </c>
    </row>
    <row r="4" spans="1:4">
      <c r="A4" s="521" t="s">
        <v>213</v>
      </c>
      <c r="B4" s="232" t="s">
        <v>219</v>
      </c>
      <c r="C4" s="525"/>
      <c r="D4" s="196" t="s">
        <v>218</v>
      </c>
    </row>
    <row r="5" spans="1:4">
      <c r="A5" s="521" t="s">
        <v>478</v>
      </c>
      <c r="B5" s="232" t="s">
        <v>505</v>
      </c>
      <c r="C5" s="525"/>
      <c r="D5" s="194" t="s">
        <v>509</v>
      </c>
    </row>
    <row r="6" spans="1:4">
      <c r="A6" s="522" t="s">
        <v>477</v>
      </c>
      <c r="B6" s="233" t="s">
        <v>220</v>
      </c>
      <c r="C6" s="526"/>
      <c r="D6" s="234" t="s">
        <v>221</v>
      </c>
    </row>
    <row r="7" spans="1:4">
      <c r="A7" s="522" t="s">
        <v>479</v>
      </c>
      <c r="B7" s="233" t="s">
        <v>223</v>
      </c>
      <c r="C7" s="526"/>
      <c r="D7" s="234" t="s">
        <v>221</v>
      </c>
    </row>
    <row r="8" spans="1:4">
      <c r="A8" s="522" t="s">
        <v>480</v>
      </c>
      <c r="B8" s="233" t="s">
        <v>224</v>
      </c>
      <c r="C8" s="527"/>
      <c r="D8" s="194" t="s">
        <v>225</v>
      </c>
    </row>
    <row r="9" spans="1:4">
      <c r="A9" s="522" t="s">
        <v>481</v>
      </c>
      <c r="B9" s="233" t="s">
        <v>496</v>
      </c>
      <c r="C9" s="528"/>
      <c r="D9" s="194" t="s">
        <v>225</v>
      </c>
    </row>
    <row r="10" spans="1:4">
      <c r="A10" s="522" t="s">
        <v>482</v>
      </c>
      <c r="B10" s="233" t="s">
        <v>497</v>
      </c>
      <c r="C10" s="528"/>
      <c r="D10" s="194" t="s">
        <v>225</v>
      </c>
    </row>
    <row r="11" spans="1:4">
      <c r="A11" s="522" t="s">
        <v>483</v>
      </c>
      <c r="B11" s="233" t="s">
        <v>498</v>
      </c>
      <c r="C11" s="528"/>
      <c r="D11" s="520" t="s">
        <v>225</v>
      </c>
    </row>
    <row r="12" spans="1:4">
      <c r="A12" s="522" t="s">
        <v>484</v>
      </c>
      <c r="B12" s="233" t="s">
        <v>499</v>
      </c>
      <c r="C12" s="528"/>
      <c r="D12" s="194" t="s">
        <v>225</v>
      </c>
    </row>
    <row r="13" spans="1:4">
      <c r="A13" s="522" t="s">
        <v>485</v>
      </c>
      <c r="B13" s="233" t="s">
        <v>500</v>
      </c>
      <c r="C13" s="528"/>
      <c r="D13" s="194" t="s">
        <v>225</v>
      </c>
    </row>
    <row r="14" spans="1:4">
      <c r="A14" s="522" t="s">
        <v>486</v>
      </c>
      <c r="B14" s="233" t="s">
        <v>501</v>
      </c>
      <c r="C14" s="528"/>
      <c r="D14" s="194" t="s">
        <v>225</v>
      </c>
    </row>
    <row r="15" spans="1:4">
      <c r="A15" s="522" t="s">
        <v>487</v>
      </c>
      <c r="B15" s="233" t="s">
        <v>502</v>
      </c>
      <c r="C15" s="529"/>
      <c r="D15" s="194" t="s">
        <v>225</v>
      </c>
    </row>
    <row r="16" spans="1:4">
      <c r="A16" s="522" t="s">
        <v>488</v>
      </c>
      <c r="B16" s="233" t="s">
        <v>503</v>
      </c>
      <c r="C16" s="529"/>
      <c r="D16" s="194" t="s">
        <v>225</v>
      </c>
    </row>
    <row r="17" spans="1:4">
      <c r="A17" s="522" t="s">
        <v>489</v>
      </c>
      <c r="B17" s="233" t="s">
        <v>244</v>
      </c>
      <c r="C17" s="529"/>
      <c r="D17" s="194" t="s">
        <v>225</v>
      </c>
    </row>
    <row r="18" spans="1:4">
      <c r="A18" s="522" t="s">
        <v>490</v>
      </c>
      <c r="B18" s="233" t="s">
        <v>245</v>
      </c>
      <c r="C18" s="529"/>
      <c r="D18" s="194" t="s">
        <v>225</v>
      </c>
    </row>
    <row r="19" spans="1:4">
      <c r="A19" s="522" t="s">
        <v>491</v>
      </c>
      <c r="B19" s="233" t="s">
        <v>504</v>
      </c>
      <c r="C19" s="529"/>
      <c r="D19" s="194" t="s">
        <v>225</v>
      </c>
    </row>
    <row r="20" spans="1:4">
      <c r="A20" s="522" t="s">
        <v>214</v>
      </c>
      <c r="B20" s="233" t="s">
        <v>226</v>
      </c>
      <c r="C20" s="526"/>
      <c r="D20" s="234" t="s">
        <v>221</v>
      </c>
    </row>
    <row r="21" spans="1:4">
      <c r="A21" s="522" t="s">
        <v>492</v>
      </c>
      <c r="B21" s="233" t="s">
        <v>227</v>
      </c>
      <c r="C21" s="530"/>
      <c r="D21" s="194" t="s">
        <v>225</v>
      </c>
    </row>
    <row r="22" spans="1:4">
      <c r="A22" s="522" t="s">
        <v>493</v>
      </c>
      <c r="B22" s="233" t="s">
        <v>228</v>
      </c>
      <c r="C22" s="530"/>
      <c r="D22" s="194" t="s">
        <v>225</v>
      </c>
    </row>
    <row r="23" spans="1:4">
      <c r="A23" s="522" t="s">
        <v>494</v>
      </c>
      <c r="B23" s="233" t="s">
        <v>229</v>
      </c>
      <c r="C23" s="530"/>
      <c r="D23" s="194" t="s">
        <v>225</v>
      </c>
    </row>
    <row r="24" spans="1:4">
      <c r="A24" s="522" t="s">
        <v>495</v>
      </c>
      <c r="B24" s="233" t="s">
        <v>230</v>
      </c>
      <c r="C24" s="530"/>
      <c r="D24" s="194" t="s">
        <v>225</v>
      </c>
    </row>
    <row r="25" spans="1:4">
      <c r="A25" s="522" t="s">
        <v>215</v>
      </c>
      <c r="B25" s="233" t="s">
        <v>231</v>
      </c>
      <c r="C25" s="530"/>
      <c r="D25" s="194" t="s">
        <v>232</v>
      </c>
    </row>
    <row r="26" spans="1:4">
      <c r="A26" s="522" t="s">
        <v>519</v>
      </c>
      <c r="B26" s="233" t="s">
        <v>520</v>
      </c>
      <c r="C26" s="595"/>
      <c r="D26" s="194" t="s">
        <v>521</v>
      </c>
    </row>
    <row r="27" spans="1:4">
      <c r="A27" s="596" t="s">
        <v>523</v>
      </c>
      <c r="B27" s="233" t="s">
        <v>524</v>
      </c>
      <c r="C27" s="595"/>
      <c r="D27" s="194" t="s">
        <v>529</v>
      </c>
    </row>
    <row r="28" spans="1:4">
      <c r="A28" s="596" t="s">
        <v>525</v>
      </c>
      <c r="B28" s="233" t="s">
        <v>526</v>
      </c>
      <c r="C28" s="595"/>
      <c r="D28" s="194" t="s">
        <v>530</v>
      </c>
    </row>
    <row r="29" spans="1:4">
      <c r="A29" s="596" t="s">
        <v>527</v>
      </c>
      <c r="B29" s="233" t="s">
        <v>528</v>
      </c>
      <c r="C29" s="595"/>
      <c r="D29" s="194" t="s">
        <v>530</v>
      </c>
    </row>
    <row r="30" spans="1:4">
      <c r="A30" s="522" t="s">
        <v>522</v>
      </c>
      <c r="B30" s="233" t="s">
        <v>223</v>
      </c>
      <c r="C30" s="595"/>
      <c r="D30" s="234" t="s">
        <v>221</v>
      </c>
    </row>
  </sheetData>
  <hyperlinks>
    <hyperlink ref="A4" location="Sumarizácia!R1C1" display="Sumarizácia"/>
    <hyperlink ref="A6" location="'CBA - Agendové IS'!R1C1" display="CBA"/>
    <hyperlink ref="A7" location="'Analyza citlivosti - AgendovéIS'!R1C1" display="Analyza citlivosti"/>
    <hyperlink ref="A3" location="Úvod!A10" display="Úvod"/>
    <hyperlink ref="A5" location="'Zdroje Financovania'!A1" display="Zdroje Financovania"/>
    <hyperlink ref="A8" location="'Parametre - Agendové IS'!A1" display="Parametre - Agendové IS"/>
    <hyperlink ref="A9" location="MODULY_CBA!A1" display="MODULY_CBA"/>
    <hyperlink ref="A10" location="INKREMENTY!A1" display="INKREMENTY"/>
    <hyperlink ref="A11" location="KATALOG_POZIADAVKY!A1" display="KATALOG_POZIADAVKY"/>
    <hyperlink ref="A12" location="TCF_v02!A1" display="TCF_v02"/>
    <hyperlink ref="A13" location="ECF_v02!A1" display="ECF_v02"/>
    <hyperlink ref="A14" location="UAW_v02!A1" display="UAW_v02"/>
    <hyperlink ref="A15" location="AKTIVITY_POZICIE!A1" display="AKTIVITY_POZICIE"/>
    <hyperlink ref="A16" location="POZICIE_INTERNE!A1" display="POZICIE_INTERNE"/>
    <hyperlink ref="A17" location="'Rozpocet - Vyvoj aplikacii'!A1" display="Rozpocet - Vyvoj aplikacii"/>
    <hyperlink ref="A18" location="'Rozpočet - HW a licencie'!A1" display="Rozpocet - HW a licencie"/>
    <hyperlink ref="A19" location="Harmonogram!A1" display="Harmonogram"/>
    <hyperlink ref="A20" location="TCO!A1" display="TCO"/>
    <hyperlink ref="A21" location="'TCO AS IS - SW'!A1" display="TCO AS IS - SW"/>
    <hyperlink ref="A22" location="'TCO AS IS - HW'!A1" display="TCO AS IS - HW"/>
    <hyperlink ref="A23" location="'TCO TO BE- SW'!A1" display="TCO TO BE - SW"/>
    <hyperlink ref="A24" location="'TCO TO BE - HW'!A1" display="TCO TO BE - HW"/>
    <hyperlink ref="A25" location="Faktory!A1" display="Faktory"/>
    <hyperlink ref="A27" location="'Procesné mapy'!R1C1" display="Procesné mapy"/>
    <hyperlink ref="A28" location="'Procesy - AS IS'!R1C1" display="Procesy AS IS"/>
    <hyperlink ref="A29" location="'Procesy - TO BE'!R1C1" display="Procesy TO BE"/>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3">
    <tabColor theme="0" tint="-0.34998626667073579"/>
  </sheetPr>
  <dimension ref="A1:BA27"/>
  <sheetViews>
    <sheetView zoomScale="90" zoomScaleNormal="90" workbookViewId="0">
      <pane ySplit="3" topLeftCell="A4" activePane="bottomLeft" state="frozen"/>
      <selection pane="bottomLeft" activeCell="C36" sqref="C36"/>
    </sheetView>
  </sheetViews>
  <sheetFormatPr defaultColWidth="9.140625" defaultRowHeight="15"/>
  <cols>
    <col min="3" max="3" width="32.42578125" customWidth="1"/>
    <col min="4" max="25" width="13.5703125" customWidth="1"/>
    <col min="31" max="31" width="32" customWidth="1"/>
    <col min="32" max="32" width="17.42578125" bestFit="1" customWidth="1"/>
    <col min="33" max="37" width="16.42578125" customWidth="1"/>
    <col min="38" max="53" width="13" customWidth="1"/>
  </cols>
  <sheetData>
    <row r="1" spans="1:53" ht="21.75" customHeight="1">
      <c r="A1" s="467" t="s">
        <v>253</v>
      </c>
      <c r="B1" s="467"/>
      <c r="C1" s="467"/>
      <c r="D1" s="467"/>
      <c r="E1" s="467"/>
      <c r="F1" s="467"/>
      <c r="G1" s="467"/>
      <c r="H1" s="467"/>
      <c r="I1" s="467"/>
      <c r="J1" s="467"/>
      <c r="K1" s="467"/>
      <c r="L1" s="467"/>
      <c r="M1" s="467"/>
      <c r="N1" s="467"/>
      <c r="O1" s="467"/>
      <c r="P1" s="467"/>
      <c r="Q1" s="467"/>
      <c r="R1" s="467"/>
      <c r="S1" s="467"/>
      <c r="T1" s="467"/>
      <c r="U1" s="467"/>
      <c r="V1" s="467"/>
      <c r="W1" s="467"/>
      <c r="X1" s="467"/>
      <c r="Y1" s="467"/>
      <c r="AC1" s="467" t="s">
        <v>252</v>
      </c>
      <c r="AD1" s="467"/>
      <c r="AE1" s="467"/>
      <c r="AF1" s="467"/>
      <c r="AG1" s="467"/>
      <c r="AH1" s="467"/>
      <c r="AI1" s="467"/>
      <c r="AJ1" s="467"/>
      <c r="AK1" s="467"/>
      <c r="AL1" s="467"/>
      <c r="AM1" s="467"/>
      <c r="AN1" s="467"/>
      <c r="AO1" s="467"/>
      <c r="AP1" s="467"/>
      <c r="AQ1" s="467"/>
      <c r="AR1" s="467"/>
      <c r="AS1" s="467"/>
      <c r="AT1" s="467"/>
      <c r="AU1" s="467"/>
      <c r="AV1" s="467"/>
      <c r="AW1" s="467"/>
      <c r="AX1" s="467"/>
      <c r="AY1" s="467"/>
      <c r="AZ1" s="467"/>
      <c r="BA1" s="467"/>
    </row>
    <row r="2" spans="1:53" ht="135">
      <c r="A2" s="762"/>
      <c r="B2" s="762"/>
      <c r="C2" s="762"/>
      <c r="D2" s="452" t="s">
        <v>102</v>
      </c>
      <c r="E2" s="466" t="str">
        <f>MODULY_CBA!$B3</f>
        <v>Portál eNRI DOP</v>
      </c>
      <c r="F2" s="466" t="str">
        <f>MODULY_CBA!$B4</f>
        <v xml:space="preserve">Intranet </v>
      </c>
      <c r="G2" s="466" t="str">
        <f>MODULY_CBA!$B5</f>
        <v>API Gateway eNRI</v>
      </c>
      <c r="H2" s="466" t="str">
        <f>MODULY_CBA!$B6</f>
        <v>Transformačný modul</v>
      </c>
      <c r="I2" s="466" t="str">
        <f>MODULY_CBA!$B7</f>
        <v>Modul GIS</v>
      </c>
      <c r="J2" s="466" t="str">
        <f>MODULY_CBA!$B8</f>
        <v>Správa dopravných grafikonov</v>
      </c>
      <c r="K2" s="466" t="str">
        <f>MODULY_CBA!$B9</f>
        <v>Agendový modul bezpečných a chránených parkovacích miest pre nákladné a úžitkové vozidlá</v>
      </c>
      <c r="L2" s="466" t="str">
        <f>MODULY_CBA!$B10</f>
        <v>Rezervačný a plánovací modul pre vybrané agendy</v>
      </c>
      <c r="M2" s="466" t="str">
        <f>MODULY_CBA!$B11</f>
        <v>Modul optimalizácie osobnej verejnej dopravy a rezervácie kapacít</v>
      </c>
      <c r="N2" s="466" t="str">
        <f>MODULY_CBA!$B12</f>
        <v>Agendový modul licencovania hromadnej dopravy</v>
      </c>
      <c r="O2" s="466" t="str">
        <f>MODULY_CBA!$B13</f>
        <v>Správa licencovaných dopravných prostriedkov vo verejnej osobnej doprave</v>
      </c>
      <c r="P2" s="466" t="str">
        <f>MODULY_CBA!$B14</f>
        <v>Agendový modul dopravných povolení</v>
      </c>
      <c r="Q2" s="466" t="str">
        <f>MODULY_CBA!$B15</f>
        <v>Žurnál a log server</v>
      </c>
      <c r="R2" s="466" t="str">
        <f>MODULY_CBA!$B16</f>
        <v>Objektové úložisko dopravných informácii</v>
      </c>
      <c r="S2" s="466" t="str">
        <f>MODULY_CBA!$B17</f>
        <v>Monitoring</v>
      </c>
      <c r="T2" s="466" t="str">
        <f>MODULY_CBA!$B18</f>
        <v>IAM</v>
      </c>
      <c r="U2" s="466" t="str">
        <f>MODULY_CBA!$B19</f>
        <v>DMS</v>
      </c>
      <c r="V2" s="466" t="str">
        <f>MODULY_CBA!$B20</f>
        <v>CMS</v>
      </c>
      <c r="W2" s="466" t="str">
        <f>MODULY_CBA!$B21</f>
        <v>Správa registratúry</v>
      </c>
      <c r="X2" s="466">
        <f>MODULY_CBA!$B22</f>
        <v>0</v>
      </c>
      <c r="Y2" s="466">
        <f>MODULY_CBA!$B23</f>
        <v>0</v>
      </c>
      <c r="AC2" s="762"/>
      <c r="AD2" s="762"/>
      <c r="AE2" s="762"/>
      <c r="AF2" s="452" t="s">
        <v>102</v>
      </c>
      <c r="AG2" s="466" t="str">
        <f>MODULY_CBA!$B3</f>
        <v>Portál eNRI DOP</v>
      </c>
      <c r="AH2" s="466" t="str">
        <f>MODULY_CBA!$B4</f>
        <v xml:space="preserve">Intranet </v>
      </c>
      <c r="AI2" s="466" t="str">
        <f>MODULY_CBA!$B5</f>
        <v>API Gateway eNRI</v>
      </c>
      <c r="AJ2" s="466" t="str">
        <f>MODULY_CBA!$B6</f>
        <v>Transformačný modul</v>
      </c>
      <c r="AK2" s="466" t="str">
        <f>MODULY_CBA!$B7</f>
        <v>Modul GIS</v>
      </c>
      <c r="AL2" s="466" t="str">
        <f>MODULY_CBA!$B8</f>
        <v>Správa dopravných grafikonov</v>
      </c>
      <c r="AM2" s="466" t="str">
        <f>MODULY_CBA!$B9</f>
        <v>Agendový modul bezpečných a chránených parkovacích miest pre nákladné a úžitkové vozidlá</v>
      </c>
      <c r="AN2" s="466" t="str">
        <f>MODULY_CBA!$B10</f>
        <v>Rezervačný a plánovací modul pre vybrané agendy</v>
      </c>
      <c r="AO2" s="466" t="str">
        <f>MODULY_CBA!$B11</f>
        <v>Modul optimalizácie osobnej verejnej dopravy a rezervácie kapacít</v>
      </c>
      <c r="AP2" s="466" t="str">
        <f>MODULY_CBA!$B12</f>
        <v>Agendový modul licencovania hromadnej dopravy</v>
      </c>
      <c r="AQ2" s="466" t="str">
        <f>MODULY_CBA!$B13</f>
        <v>Správa licencovaných dopravných prostriedkov vo verejnej osobnej doprave</v>
      </c>
      <c r="AR2" s="466" t="str">
        <f>MODULY_CBA!$B14</f>
        <v>Agendový modul dopravných povolení</v>
      </c>
      <c r="AS2" s="466" t="str">
        <f>MODULY_CBA!$B15</f>
        <v>Žurnál a log server</v>
      </c>
      <c r="AT2" s="466" t="str">
        <f>MODULY_CBA!$B16</f>
        <v>Objektové úložisko dopravných informácii</v>
      </c>
      <c r="AU2" s="466" t="str">
        <f>MODULY_CBA!$B17</f>
        <v>Monitoring</v>
      </c>
      <c r="AV2" s="466" t="str">
        <f>MODULY_CBA!$B18</f>
        <v>IAM</v>
      </c>
      <c r="AW2" s="466" t="str">
        <f>MODULY_CBA!$B19</f>
        <v>DMS</v>
      </c>
      <c r="AX2" s="466" t="str">
        <f>MODULY_CBA!$B20</f>
        <v>CMS</v>
      </c>
      <c r="AY2" s="466" t="str">
        <f>MODULY_CBA!$B21</f>
        <v>Správa registratúry</v>
      </c>
      <c r="AZ2" s="466">
        <f>MODULY_CBA!$B22</f>
        <v>0</v>
      </c>
      <c r="BA2" s="466">
        <f>MODULY_CBA!$B23</f>
        <v>0</v>
      </c>
    </row>
    <row r="3" spans="1:53">
      <c r="A3" s="453" t="s">
        <v>257</v>
      </c>
      <c r="B3" s="453"/>
      <c r="C3" s="453"/>
      <c r="D3" s="454">
        <f>SUM(E3:Y3)</f>
        <v>15849240.602820463</v>
      </c>
      <c r="E3" s="454">
        <f>E4+E5+E9+E13+E14</f>
        <v>967867.68609598884</v>
      </c>
      <c r="F3" s="454">
        <f t="shared" ref="F3:Y3" si="0">F4+F5+F9+F13+F14</f>
        <v>3365937.6397806704</v>
      </c>
      <c r="G3" s="454">
        <f t="shared" si="0"/>
        <v>3877062.7209118055</v>
      </c>
      <c r="H3" s="454">
        <f t="shared" si="0"/>
        <v>642659.91945160704</v>
      </c>
      <c r="I3" s="454">
        <f t="shared" si="0"/>
        <v>1929070.8617834321</v>
      </c>
      <c r="J3" s="454">
        <f t="shared" si="0"/>
        <v>541187.30059082713</v>
      </c>
      <c r="K3" s="454">
        <f t="shared" si="0"/>
        <v>169872.89567264152</v>
      </c>
      <c r="L3" s="454">
        <f t="shared" si="0"/>
        <v>145013.44752542564</v>
      </c>
      <c r="M3" s="454">
        <f t="shared" si="0"/>
        <v>446261.30230171024</v>
      </c>
      <c r="N3" s="454">
        <f t="shared" si="0"/>
        <v>531367.36973333231</v>
      </c>
      <c r="O3" s="454">
        <f t="shared" si="0"/>
        <v>121112.48057576975</v>
      </c>
      <c r="P3" s="454">
        <f t="shared" si="0"/>
        <v>27277.58571526346</v>
      </c>
      <c r="Q3" s="454">
        <f t="shared" si="0"/>
        <v>214947.37543627602</v>
      </c>
      <c r="R3" s="454">
        <f t="shared" si="0"/>
        <v>147298.96286242266</v>
      </c>
      <c r="S3" s="454">
        <f t="shared" si="0"/>
        <v>440805.78515865747</v>
      </c>
      <c r="T3" s="454">
        <f t="shared" si="0"/>
        <v>343697.58001231955</v>
      </c>
      <c r="U3" s="454">
        <f t="shared" si="0"/>
        <v>296780.13258206646</v>
      </c>
      <c r="V3" s="454">
        <f t="shared" si="0"/>
        <v>654662.05716632295</v>
      </c>
      <c r="W3" s="454">
        <f t="shared" si="0"/>
        <v>986357.49946392665</v>
      </c>
      <c r="X3" s="454">
        <f t="shared" si="0"/>
        <v>0</v>
      </c>
      <c r="Y3" s="454">
        <f t="shared" si="0"/>
        <v>0</v>
      </c>
      <c r="AC3" s="453" t="s">
        <v>257</v>
      </c>
      <c r="AD3" s="453"/>
      <c r="AE3" s="453"/>
      <c r="AF3" s="454">
        <f>SUM(AG3:BA3)</f>
        <v>13574900.195754543</v>
      </c>
      <c r="AG3" s="454">
        <f>AG4+AG5+AG9+AG13+AG14</f>
        <v>825806.16580102791</v>
      </c>
      <c r="AH3" s="454">
        <f>AH4+AH5+AH9+AH13+AH14</f>
        <v>2863257.1162320077</v>
      </c>
      <c r="AI3" s="454">
        <f>AI4+AI5+AI9+AI13+AI14</f>
        <v>3370916.6593387532</v>
      </c>
      <c r="AJ3" s="454">
        <f>AJ4+AJ5+AJ9+AJ13+AJ14</f>
        <v>548213.81542658468</v>
      </c>
      <c r="AK3" s="454">
        <f>AK5+AK9+AK13+AK14</f>
        <v>1645572.1997864207</v>
      </c>
      <c r="AL3" s="454">
        <f>AL4+AL5+AL9+AL13+AL14</f>
        <v>461653.73930659768</v>
      </c>
      <c r="AM3" s="454">
        <f>AM4+AM5+AM9+AM13+AM14</f>
        <v>144418.57135681453</v>
      </c>
      <c r="AN3" s="454">
        <f>AN4+AN5+AN9+AN13+AN14</f>
        <v>123284.14628020753</v>
      </c>
      <c r="AO3" s="454">
        <f>AO5+AO9+AO13+AO14</f>
        <v>380678.18422660977</v>
      </c>
      <c r="AP3" s="454">
        <f>AP4+AP5+AP9+AP13+AP14</f>
        <v>453276.95774659899</v>
      </c>
      <c r="AQ3" s="454">
        <f>AQ4+AQ5+AQ9+AQ13+AQ14</f>
        <v>103313.63923998455</v>
      </c>
      <c r="AR3" s="454">
        <f>AR4+AR5+AR9+AR13+AR14</f>
        <v>23268.837666663192</v>
      </c>
      <c r="AS3" s="454">
        <f>AS5+AS9+AS13+AS14</f>
        <v>183358.4408133059</v>
      </c>
      <c r="AT3" s="454">
        <f>AT4+AT5+AT9+AT13+AT14</f>
        <v>125651.7233999812</v>
      </c>
      <c r="AU3" s="454">
        <f>AU4+AU5+AU9+AU13+AU14</f>
        <v>376024.41669327713</v>
      </c>
      <c r="AV3" s="454">
        <f>AV4+AV5+AV9+AV13+AV14</f>
        <v>293187.35459995613</v>
      </c>
      <c r="AW3" s="454">
        <f>AW5+AW9+AW13+AW14</f>
        <v>253164.95381329549</v>
      </c>
      <c r="AX3" s="454">
        <f>AX4+AX5+AX9+AX13+AX14</f>
        <v>558452.10399991646</v>
      </c>
      <c r="AY3" s="454">
        <f>AY4+AY5+AY9+AY13+AY14</f>
        <v>841401.17002654064</v>
      </c>
      <c r="AZ3" s="454">
        <f>AZ4+AZ5+AZ9+AZ13+AZ14</f>
        <v>0</v>
      </c>
      <c r="BA3" s="454">
        <f>BA5+BA9+BA13+BA14</f>
        <v>0</v>
      </c>
    </row>
    <row r="4" spans="1:53">
      <c r="A4" s="455"/>
      <c r="B4" s="456" t="s">
        <v>66</v>
      </c>
      <c r="C4" s="456"/>
      <c r="D4" s="457">
        <f>SUM(E4:Y4)</f>
        <v>0</v>
      </c>
      <c r="E4" s="457">
        <f>SUM('Parametre - Agendové IS'!I106:I115)</f>
        <v>0</v>
      </c>
      <c r="F4" s="457">
        <f>SUM('Parametre - Agendové IS'!J106:J115)</f>
        <v>0</v>
      </c>
      <c r="G4" s="457">
        <f>SUM('Parametre - Agendové IS'!K106:K115)</f>
        <v>0</v>
      </c>
      <c r="H4" s="457">
        <f>SUM('Parametre - Agendové IS'!L106:L115)</f>
        <v>0</v>
      </c>
      <c r="I4" s="457">
        <f>SUM('Parametre - Agendové IS'!M106:M115)</f>
        <v>0</v>
      </c>
      <c r="J4" s="457">
        <f>SUM('Parametre - Agendové IS'!N106:N115)</f>
        <v>0</v>
      </c>
      <c r="K4" s="457">
        <f>SUM('Parametre - Agendové IS'!O106:O115)</f>
        <v>0</v>
      </c>
      <c r="L4" s="457">
        <f>SUM('Parametre - Agendové IS'!P106:P115)</f>
        <v>0</v>
      </c>
      <c r="M4" s="457">
        <f>SUM('Parametre - Agendové IS'!Q106:Q115)</f>
        <v>0</v>
      </c>
      <c r="N4" s="457">
        <f>SUM('Parametre - Agendové IS'!R106:R115)</f>
        <v>0</v>
      </c>
      <c r="O4" s="457">
        <f>SUM('Parametre - Agendové IS'!S106:S115)</f>
        <v>0</v>
      </c>
      <c r="P4" s="457">
        <f>SUM('Parametre - Agendové IS'!T106:T115)</f>
        <v>0</v>
      </c>
      <c r="Q4" s="457">
        <f>SUM('Parametre - Agendové IS'!U106:U115)</f>
        <v>0</v>
      </c>
      <c r="R4" s="457">
        <f>SUM('Parametre - Agendové IS'!V106:V115)</f>
        <v>0</v>
      </c>
      <c r="S4" s="457">
        <f>SUM('Parametre - Agendové IS'!W106:W115)</f>
        <v>0</v>
      </c>
      <c r="T4" s="457">
        <f>SUM('Parametre - Agendové IS'!X106:X115)</f>
        <v>0</v>
      </c>
      <c r="U4" s="457">
        <f>SUM('Parametre - Agendové IS'!Y106:Y115)</f>
        <v>0</v>
      </c>
      <c r="V4" s="457">
        <f>SUM('Parametre - Agendové IS'!Z106:Z115)</f>
        <v>0</v>
      </c>
      <c r="W4" s="457">
        <f>SUM('Parametre - Agendové IS'!AA106:AA115)</f>
        <v>0</v>
      </c>
      <c r="X4" s="457">
        <f>SUM('Parametre - Agendové IS'!AB106:AB115)</f>
        <v>0</v>
      </c>
      <c r="Y4" s="457">
        <f>SUM('Parametre - Agendové IS'!AC106:AC115)</f>
        <v>0</v>
      </c>
      <c r="AC4" s="455"/>
      <c r="AD4" s="456" t="s">
        <v>66</v>
      </c>
      <c r="AE4" s="456"/>
      <c r="AF4" s="457">
        <f>SUM(AG4:BA4)</f>
        <v>0</v>
      </c>
      <c r="AG4" s="457">
        <f>'Parametre - Agendové IS'!I106+NPV(Faktory!$D$5,'Parametre - Agendové IS'!I107:I115)</f>
        <v>0</v>
      </c>
      <c r="AH4" s="457">
        <f>'Parametre - Agendové IS'!J106+NPV(Faktory!$D$5,'Parametre - Agendové IS'!J107:J115)</f>
        <v>0</v>
      </c>
      <c r="AI4" s="457">
        <f>'Parametre - Agendové IS'!K106+NPV(Faktory!$D$5,'Parametre - Agendové IS'!K107:K115)</f>
        <v>0</v>
      </c>
      <c r="AJ4" s="457">
        <f>'Parametre - Agendové IS'!L106+NPV(Faktory!$D$5,'Parametre - Agendové IS'!L107:L115)</f>
        <v>0</v>
      </c>
      <c r="AK4" s="457">
        <f>'Parametre - Agendové IS'!M106+NPV(Faktory!$D$5,'Parametre - Agendové IS'!M107:M115)</f>
        <v>0</v>
      </c>
      <c r="AL4" s="457">
        <f>'Parametre - Agendové IS'!N106+NPV(Faktory!$D$5,'Parametre - Agendové IS'!N107:N115)</f>
        <v>0</v>
      </c>
      <c r="AM4" s="457">
        <f>'Parametre - Agendové IS'!O106+NPV(Faktory!$D$5,'Parametre - Agendové IS'!O107:O115)</f>
        <v>0</v>
      </c>
      <c r="AN4" s="457">
        <f>'Parametre - Agendové IS'!P106+NPV(Faktory!$D$5,'Parametre - Agendové IS'!P107:P115)</f>
        <v>0</v>
      </c>
      <c r="AO4" s="457">
        <f>'Parametre - Agendové IS'!Q106+NPV(Faktory!$D$5,'Parametre - Agendové IS'!Q107:Q115)</f>
        <v>0</v>
      </c>
      <c r="AP4" s="457">
        <f>'Parametre - Agendové IS'!R106+NPV(Faktory!$D$5,'Parametre - Agendové IS'!R107:R115)</f>
        <v>0</v>
      </c>
      <c r="AQ4" s="457">
        <f>'Parametre - Agendové IS'!S106+NPV(Faktory!$D$5,'Parametre - Agendové IS'!S107:S115)</f>
        <v>0</v>
      </c>
      <c r="AR4" s="457">
        <f>'Parametre - Agendové IS'!T106+NPV(Faktory!$D$5,'Parametre - Agendové IS'!T107:T115)</f>
        <v>0</v>
      </c>
      <c r="AS4" s="457">
        <f>'Parametre - Agendové IS'!U106+NPV(Faktory!$D$5,'Parametre - Agendové IS'!U107:U115)</f>
        <v>0</v>
      </c>
      <c r="AT4" s="457">
        <f>'Parametre - Agendové IS'!V106+NPV(Faktory!$D$5,'Parametre - Agendové IS'!V107:V115)</f>
        <v>0</v>
      </c>
      <c r="AU4" s="457">
        <f>'Parametre - Agendové IS'!W106+NPV(Faktory!$D$5,'Parametre - Agendové IS'!W107:W115)</f>
        <v>0</v>
      </c>
      <c r="AV4" s="457">
        <f>'Parametre - Agendové IS'!X106+NPV(Faktory!$D$5,'Parametre - Agendové IS'!X107:X115)</f>
        <v>0</v>
      </c>
      <c r="AW4" s="457">
        <f>'Parametre - Agendové IS'!Y106+NPV(Faktory!$D$5,'Parametre - Agendové IS'!Y107:Y115)</f>
        <v>0</v>
      </c>
      <c r="AX4" s="457">
        <f>'Parametre - Agendové IS'!Z106+NPV(Faktory!$D$5,'Parametre - Agendové IS'!Z107:Z115)</f>
        <v>0</v>
      </c>
      <c r="AY4" s="457">
        <f>'Parametre - Agendové IS'!AA106+NPV(Faktory!$D$5,'Parametre - Agendové IS'!AA107:AA115)</f>
        <v>0</v>
      </c>
      <c r="AZ4" s="457">
        <f>'Parametre - Agendové IS'!AB106+NPV(Faktory!$D$5,'Parametre - Agendové IS'!AB107:AB115)</f>
        <v>0</v>
      </c>
      <c r="BA4" s="457">
        <f>'Parametre - Agendové IS'!AC106+NPV(Faktory!$D$5,'Parametre - Agendové IS'!AC107:AC115)</f>
        <v>0</v>
      </c>
    </row>
    <row r="5" spans="1:53">
      <c r="A5" s="455"/>
      <c r="B5" s="456" t="s">
        <v>164</v>
      </c>
      <c r="C5" s="456"/>
      <c r="D5" s="457">
        <f>SUM(E5:Y5)</f>
        <v>8266369.1999999993</v>
      </c>
      <c r="E5" s="457">
        <f>SUM(E6:E8)</f>
        <v>491554.43337901181</v>
      </c>
      <c r="F5" s="457">
        <f>SUM(F6:F8)</f>
        <v>1657130.0751821133</v>
      </c>
      <c r="G5" s="457">
        <f>SUM(G6:G8)</f>
        <v>2238330.4680562569</v>
      </c>
      <c r="H5" s="457">
        <f>SUM(H6:H8)</f>
        <v>325675.54697439598</v>
      </c>
      <c r="I5" s="457">
        <f>SUM(I6:I8)</f>
        <v>977579.57054453657</v>
      </c>
      <c r="J5" s="457">
        <f>SUM(J6+J7)</f>
        <v>274253.09218896501</v>
      </c>
      <c r="K5" s="457">
        <f>SUM(K6:K8)</f>
        <v>90680.45790119005</v>
      </c>
      <c r="L5" s="457">
        <f>SUM(L6:L8)</f>
        <v>77410.146988820779</v>
      </c>
      <c r="M5" s="457">
        <f>SUM(M6:M8)</f>
        <v>226148.21513162641</v>
      </c>
      <c r="N5" s="457">
        <f>SUM(N6+N7)</f>
        <v>269276.72559682658</v>
      </c>
      <c r="O5" s="457">
        <f>SUM(O6:O8)</f>
        <v>61375.187969707898</v>
      </c>
      <c r="P5" s="457">
        <f>SUM(P6:P8)</f>
        <v>13823.240533717997</v>
      </c>
      <c r="Q5" s="457">
        <f>SUM(Q6:Q8)</f>
        <v>108927.13540569779</v>
      </c>
      <c r="R5" s="457">
        <f>SUM(R6+R7)</f>
        <v>74645.498882077169</v>
      </c>
      <c r="S5" s="457">
        <f>SUM(S6:S8)</f>
        <v>223383.5670248828</v>
      </c>
      <c r="T5" s="457">
        <f>SUM(T6:T8)</f>
        <v>174172.83072484672</v>
      </c>
      <c r="U5" s="457">
        <f>SUM(U6:U8)</f>
        <v>150396.85700685179</v>
      </c>
      <c r="V5" s="457">
        <f>SUM(V6+V7)</f>
        <v>331757.77280923183</v>
      </c>
      <c r="W5" s="457">
        <f>SUM(W6:W8)</f>
        <v>499848.37769924261</v>
      </c>
      <c r="X5" s="457">
        <f>SUM(X6:X8)</f>
        <v>0</v>
      </c>
      <c r="Y5" s="457">
        <f>SUM(Y6:Y8)</f>
        <v>0</v>
      </c>
      <c r="AC5" s="455"/>
      <c r="AD5" s="456" t="s">
        <v>164</v>
      </c>
      <c r="AE5" s="456"/>
      <c r="AF5" s="457">
        <f>SUM(AG5:BA5)</f>
        <v>7525051.4285714272</v>
      </c>
      <c r="AG5" s="457">
        <f>SUM(AG6:AG8)</f>
        <v>445854.36134150729</v>
      </c>
      <c r="AH5" s="457">
        <f t="shared" ref="AH5:BA5" si="1">SUM(AH6:AH8)</f>
        <v>1503065.8278295812</v>
      </c>
      <c r="AI5" s="457">
        <f t="shared" si="1"/>
        <v>2057442.6014115703</v>
      </c>
      <c r="AJ5" s="457">
        <f t="shared" si="1"/>
        <v>295397.32151872647</v>
      </c>
      <c r="AK5" s="457">
        <f t="shared" si="1"/>
        <v>886693.48802225525</v>
      </c>
      <c r="AL5" s="457">
        <f t="shared" si="1"/>
        <v>248755.63917366439</v>
      </c>
      <c r="AM5" s="457">
        <f t="shared" si="1"/>
        <v>82249.848436453554</v>
      </c>
      <c r="AN5" s="457">
        <f t="shared" si="1"/>
        <v>70213.285250631088</v>
      </c>
      <c r="AO5" s="457">
        <f t="shared" si="1"/>
        <v>205123.09762505794</v>
      </c>
      <c r="AP5" s="457">
        <f t="shared" si="1"/>
        <v>244241.927978981</v>
      </c>
      <c r="AQ5" s="457">
        <f t="shared" si="1"/>
        <v>55669.104734428925</v>
      </c>
      <c r="AR5" s="457">
        <f t="shared" si="1"/>
        <v>12538.086651898409</v>
      </c>
      <c r="AS5" s="457">
        <f t="shared" si="1"/>
        <v>98800.122816959425</v>
      </c>
      <c r="AT5" s="457">
        <f t="shared" si="1"/>
        <v>67705.667920251391</v>
      </c>
      <c r="AU5" s="457">
        <f t="shared" si="1"/>
        <v>202615.48029467824</v>
      </c>
      <c r="AV5" s="457">
        <f t="shared" si="1"/>
        <v>157979.89181391991</v>
      </c>
      <c r="AW5" s="457">
        <f t="shared" si="1"/>
        <v>136414.38277265467</v>
      </c>
      <c r="AX5" s="457">
        <f t="shared" si="1"/>
        <v>300914.07964556169</v>
      </c>
      <c r="AY5" s="457">
        <f t="shared" si="1"/>
        <v>453377.21333264629</v>
      </c>
      <c r="AZ5" s="457">
        <f t="shared" si="1"/>
        <v>0</v>
      </c>
      <c r="BA5" s="457">
        <f t="shared" si="1"/>
        <v>0</v>
      </c>
    </row>
    <row r="6" spans="1:53">
      <c r="A6" s="458"/>
      <c r="B6" s="458"/>
      <c r="C6" s="459" t="s">
        <v>104</v>
      </c>
      <c r="D6" s="470">
        <f>SUM(E6:Y6)</f>
        <v>7666369.1999999993</v>
      </c>
      <c r="E6" s="470">
        <f>SUM('TCO TO BE- SW'!F37:F46)+SUM('TCO TO BE- SW'!F120:F129)</f>
        <v>491554.43337901181</v>
      </c>
      <c r="F6" s="470">
        <f>SUM('TCO TO BE- SW'!G37:G46)+SUM('TCO TO BE- SW'!G120:G129)</f>
        <v>1657130.0751821133</v>
      </c>
      <c r="G6" s="470">
        <f>SUM('TCO TO BE- SW'!H37:H46)+SUM('TCO TO BE- SW'!H120:H129)</f>
        <v>1638330.4680562567</v>
      </c>
      <c r="H6" s="470">
        <f>SUM('TCO TO BE- SW'!I37:I46)+SUM('TCO TO BE- SW'!I120:I129)</f>
        <v>325675.54697439598</v>
      </c>
      <c r="I6" s="470">
        <f>SUM('TCO TO BE- SW'!J37:J46)+SUM('TCO TO BE- SW'!J120:J129)</f>
        <v>977579.57054453657</v>
      </c>
      <c r="J6" s="470">
        <f>SUM('TCO TO BE- SW'!K37:K46)+SUM('TCO TO BE- SW'!K120:K129)</f>
        <v>274253.09218896501</v>
      </c>
      <c r="K6" s="470">
        <f>SUM('TCO TO BE- SW'!L37:L46)+SUM('TCO TO BE- SW'!L120:L129)</f>
        <v>90680.45790119005</v>
      </c>
      <c r="L6" s="470">
        <f>SUM('TCO TO BE- SW'!M37:M46)+SUM('TCO TO BE- SW'!M120:M129)</f>
        <v>77410.146988820779</v>
      </c>
      <c r="M6" s="470">
        <f>SUM('TCO TO BE- SW'!N37:N46)+SUM('TCO TO BE- SW'!N120:N129)</f>
        <v>226148.21513162641</v>
      </c>
      <c r="N6" s="470">
        <f>SUM('TCO TO BE- SW'!O37:O46)+SUM('TCO TO BE- SW'!O120:O129)</f>
        <v>269276.72559682658</v>
      </c>
      <c r="O6" s="470">
        <f>SUM('TCO TO BE- SW'!P37:P46)+SUM('TCO TO BE- SW'!P120:P129)</f>
        <v>61375.187969707898</v>
      </c>
      <c r="P6" s="470">
        <f>SUM('TCO TO BE- SW'!Q37:Q46)+SUM('TCO TO BE- SW'!Q120:Q129)</f>
        <v>13823.240533717997</v>
      </c>
      <c r="Q6" s="470">
        <f>SUM('TCO TO BE- SW'!R37:R46)+SUM('TCO TO BE- SW'!R120:R129)</f>
        <v>108927.13540569779</v>
      </c>
      <c r="R6" s="470">
        <f>SUM('TCO TO BE- SW'!S37:S46)+SUM('TCO TO BE- SW'!S120:S129)</f>
        <v>74645.498882077169</v>
      </c>
      <c r="S6" s="470">
        <f>SUM('TCO TO BE- SW'!T37:T46)+SUM('TCO TO BE- SW'!T120:T129)</f>
        <v>223383.5670248828</v>
      </c>
      <c r="T6" s="470">
        <f>SUM('TCO TO BE- SW'!U37:U46)+SUM('TCO TO BE- SW'!U120:U129)</f>
        <v>174172.83072484672</v>
      </c>
      <c r="U6" s="470">
        <f>SUM('TCO TO BE- SW'!V37:V46)+SUM('TCO TO BE- SW'!V120:V129)</f>
        <v>150396.85700685179</v>
      </c>
      <c r="V6" s="470">
        <f>SUM('TCO TO BE- SW'!W37:W46)+SUM('TCO TO BE- SW'!W120:W129)</f>
        <v>331757.77280923183</v>
      </c>
      <c r="W6" s="470">
        <f>SUM('TCO TO BE- SW'!X37:X46)+SUM('TCO TO BE- SW'!X120:X129)</f>
        <v>499848.37769924261</v>
      </c>
      <c r="X6" s="470">
        <f>SUM('TCO TO BE- SW'!Y37:Y46)+SUM('TCO TO BE- SW'!Y120:Y129)</f>
        <v>0</v>
      </c>
      <c r="Y6" s="470">
        <f>SUM('TCO TO BE- SW'!Z37:Z46)+SUM('TCO TO BE- SW'!Z120:Z129)</f>
        <v>0</v>
      </c>
      <c r="AC6" s="458"/>
      <c r="AD6" s="458"/>
      <c r="AE6" s="459" t="s">
        <v>104</v>
      </c>
      <c r="AF6" s="470">
        <f>SUM(AG6:BA6)</f>
        <v>6953622.8571428563</v>
      </c>
      <c r="AG6" s="470">
        <f>('TCO TO BE- SW'!F37+NPV(Faktory!$D$5,'TCO TO BE- SW'!F38:F46)+'TCO TO BE- SW'!F120+NPV(Faktory!$D$5,'TCO TO BE- SW'!F121:F129))</f>
        <v>445854.36134150729</v>
      </c>
      <c r="AH6" s="470">
        <f>('TCO TO BE- SW'!G37+NPV(Faktory!$D$5,'TCO TO BE- SW'!G38:G46)+'TCO TO BE- SW'!G120+NPV(Faktory!$D$5,'TCO TO BE- SW'!G121:G129))</f>
        <v>1503065.8278295812</v>
      </c>
      <c r="AI6" s="470">
        <f>('TCO TO BE- SW'!H37+NPV(Faktory!$D$5,'TCO TO BE- SW'!H38:H46)+'TCO TO BE- SW'!H120+NPV(Faktory!$D$5,'TCO TO BE- SW'!H121:H129))</f>
        <v>1486014.029982999</v>
      </c>
      <c r="AJ6" s="470">
        <f>('TCO TO BE- SW'!I37+NPV(Faktory!$D$5,'TCO TO BE- SW'!I38:I46)+'TCO TO BE- SW'!I120+NPV(Faktory!$D$5,'TCO TO BE- SW'!I121:I129))</f>
        <v>295397.32151872647</v>
      </c>
      <c r="AK6" s="470">
        <f>('TCO TO BE- SW'!J37+NPV(Faktory!$D$5,'TCO TO BE- SW'!J38:J46)+'TCO TO BE- SW'!J120+NPV(Faktory!$D$5,'TCO TO BE- SW'!J121:J129))</f>
        <v>886693.48802225525</v>
      </c>
      <c r="AL6" s="470">
        <f>('TCO TO BE- SW'!K37+NPV(Faktory!$D$5,'TCO TO BE- SW'!K38:K46)+'TCO TO BE- SW'!K120+NPV(Faktory!$D$5,'TCO TO BE- SW'!K121:K129))</f>
        <v>248755.63917366439</v>
      </c>
      <c r="AM6" s="470">
        <f>('TCO TO BE- SW'!L37+NPV(Faktory!$D$5,'TCO TO BE- SW'!L38:L46)+'TCO TO BE- SW'!L120+NPV(Faktory!$D$5,'TCO TO BE- SW'!L121:L129))</f>
        <v>82249.848436453554</v>
      </c>
      <c r="AN6" s="470">
        <f>('TCO TO BE- SW'!M37+NPV(Faktory!$D$5,'TCO TO BE- SW'!M38:M46)+'TCO TO BE- SW'!M120+NPV(Faktory!$D$5,'TCO TO BE- SW'!M121:M129))</f>
        <v>70213.285250631088</v>
      </c>
      <c r="AO6" s="470">
        <f>('TCO TO BE- SW'!N37+NPV(Faktory!$D$5,'TCO TO BE- SW'!N38:N46)+'TCO TO BE- SW'!N120+NPV(Faktory!$D$5,'TCO TO BE- SW'!N121:N129))</f>
        <v>205123.09762505794</v>
      </c>
      <c r="AP6" s="470">
        <f>('TCO TO BE- SW'!O37+NPV(Faktory!$D$5,'TCO TO BE- SW'!O38:O46)+'TCO TO BE- SW'!O120+NPV(Faktory!$D$5,'TCO TO BE- SW'!O121:O129))</f>
        <v>244241.927978981</v>
      </c>
      <c r="AQ6" s="470">
        <f>('TCO TO BE- SW'!P37+NPV(Faktory!$D$5,'TCO TO BE- SW'!P38:P46)+'TCO TO BE- SW'!P120+NPV(Faktory!$D$5,'TCO TO BE- SW'!P121:P129))</f>
        <v>55669.104734428925</v>
      </c>
      <c r="AR6" s="470">
        <f>('TCO TO BE- SW'!Q37+NPV(Faktory!$D$5,'TCO TO BE- SW'!Q38:Q46)+'TCO TO BE- SW'!Q120+NPV(Faktory!$D$5,'TCO TO BE- SW'!Q121:Q129))</f>
        <v>12538.086651898409</v>
      </c>
      <c r="AS6" s="470">
        <f>('TCO TO BE- SW'!R37+NPV(Faktory!$D$5,'TCO TO BE- SW'!R38:R46)+'TCO TO BE- SW'!R120+NPV(Faktory!$D$5,'TCO TO BE- SW'!R121:R129))</f>
        <v>98800.122816959425</v>
      </c>
      <c r="AT6" s="470">
        <f>('TCO TO BE- SW'!S37+NPV(Faktory!$D$5,'TCO TO BE- SW'!S38:S46)+'TCO TO BE- SW'!S120+NPV(Faktory!$D$5,'TCO TO BE- SW'!S121:S129))</f>
        <v>67705.667920251391</v>
      </c>
      <c r="AU6" s="470">
        <f>('TCO TO BE- SW'!T37+NPV(Faktory!$D$5,'TCO TO BE- SW'!T38:T46)+'TCO TO BE- SW'!T120+NPV(Faktory!$D$5,'TCO TO BE- SW'!T121:T129))</f>
        <v>202615.48029467824</v>
      </c>
      <c r="AV6" s="470">
        <f>('TCO TO BE- SW'!U37+NPV(Faktory!$D$5,'TCO TO BE- SW'!U38:U46)+'TCO TO BE- SW'!U120+NPV(Faktory!$D$5,'TCO TO BE- SW'!U121:U129))</f>
        <v>157979.89181391991</v>
      </c>
      <c r="AW6" s="470">
        <f>('TCO TO BE- SW'!V37+NPV(Faktory!$D$5,'TCO TO BE- SW'!V38:V46)+'TCO TO BE- SW'!V120+NPV(Faktory!$D$5,'TCO TO BE- SW'!V121:V129))</f>
        <v>136414.38277265467</v>
      </c>
      <c r="AX6" s="470">
        <f>('TCO TO BE- SW'!W37+NPV(Faktory!$D$5,'TCO TO BE- SW'!W38:W46)+'TCO TO BE- SW'!W120+NPV(Faktory!$D$5,'TCO TO BE- SW'!W121:W129))</f>
        <v>300914.07964556169</v>
      </c>
      <c r="AY6" s="470">
        <f>('TCO TO BE- SW'!X37+NPV(Faktory!$D$5,'TCO TO BE- SW'!X38:X46)+'TCO TO BE- SW'!X120+NPV(Faktory!$D$5,'TCO TO BE- SW'!X121:X129))</f>
        <v>453377.21333264629</v>
      </c>
      <c r="AZ6" s="470">
        <f>('TCO TO BE- SW'!Y37+NPV(Faktory!$D$5,'TCO TO BE- SW'!Y38:Y46)+'TCO TO BE- SW'!Y120+NPV(Faktory!$D$5,'TCO TO BE- SW'!Y121:Y129))</f>
        <v>0</v>
      </c>
      <c r="BA6" s="470">
        <f>('TCO TO BE- SW'!Z37+NPV(Faktory!$D$5,'TCO TO BE- SW'!Z38:Z46)+'TCO TO BE- SW'!Z120+NPV(Faktory!$D$5,'TCO TO BE- SW'!Z121:Z129))</f>
        <v>0</v>
      </c>
    </row>
    <row r="7" spans="1:53">
      <c r="A7" s="458"/>
      <c r="B7" s="458"/>
      <c r="C7" s="459" t="s">
        <v>65</v>
      </c>
      <c r="D7" s="470">
        <f>SUM(E7:Y7)</f>
        <v>600000</v>
      </c>
      <c r="E7" s="470">
        <f>SUM('TCO TO BE- SW'!F6:F15)+SUM('TCO TO BE- SW'!F89:F98)</f>
        <v>0</v>
      </c>
      <c r="F7" s="470">
        <f>SUM('TCO TO BE- SW'!G6:G15)+SUM('TCO TO BE- SW'!G89:G98)</f>
        <v>0</v>
      </c>
      <c r="G7" s="470">
        <f>SUM('TCO TO BE- SW'!H6:H15)+SUM('TCO TO BE- SW'!H89:H98)</f>
        <v>600000</v>
      </c>
      <c r="H7" s="470">
        <f>SUM('TCO TO BE- SW'!I6:I15)+SUM('TCO TO BE- SW'!I89:I98)</f>
        <v>0</v>
      </c>
      <c r="I7" s="470">
        <f>SUM('TCO TO BE- SW'!J6:J15)+SUM('TCO TO BE- SW'!J89:J98)</f>
        <v>0</v>
      </c>
      <c r="J7" s="470">
        <f>SUM('TCO TO BE- SW'!K6:K15)+SUM('TCO TO BE- SW'!K89:K98)</f>
        <v>0</v>
      </c>
      <c r="K7" s="470">
        <f>SUM('TCO TO BE- SW'!L6:L15)+SUM('TCO TO BE- SW'!L89:L98)</f>
        <v>0</v>
      </c>
      <c r="L7" s="470">
        <f>SUM('TCO TO BE- SW'!M6:M15)+SUM('TCO TO BE- SW'!M89:M98)</f>
        <v>0</v>
      </c>
      <c r="M7" s="470">
        <f>SUM('TCO TO BE- SW'!N6:N15)+SUM('TCO TO BE- SW'!N89:N98)</f>
        <v>0</v>
      </c>
      <c r="N7" s="470">
        <f>SUM('TCO TO BE- SW'!O6:O15)+SUM('TCO TO BE- SW'!O89:O98)</f>
        <v>0</v>
      </c>
      <c r="O7" s="470">
        <f>SUM('TCO TO BE- SW'!P6:P15)+SUM('TCO TO BE- SW'!P89:P98)</f>
        <v>0</v>
      </c>
      <c r="P7" s="470">
        <f>SUM('TCO TO BE- SW'!Q6:Q15)+SUM('TCO TO BE- SW'!Q89:Q98)</f>
        <v>0</v>
      </c>
      <c r="Q7" s="470">
        <f>SUM('TCO TO BE- SW'!R6:R15)+SUM('TCO TO BE- SW'!R89:R98)</f>
        <v>0</v>
      </c>
      <c r="R7" s="470">
        <f>SUM('TCO TO BE- SW'!S6:S15)+SUM('TCO TO BE- SW'!S89:S98)</f>
        <v>0</v>
      </c>
      <c r="S7" s="470">
        <f>SUM('TCO TO BE- SW'!T6:T15)+SUM('TCO TO BE- SW'!T89:T98)</f>
        <v>0</v>
      </c>
      <c r="T7" s="470">
        <f>SUM('TCO TO BE- SW'!U6:U15)+SUM('TCO TO BE- SW'!U89:U98)</f>
        <v>0</v>
      </c>
      <c r="U7" s="470">
        <f>SUM('TCO TO BE- SW'!V6:V15)+SUM('TCO TO BE- SW'!V89:V98)</f>
        <v>0</v>
      </c>
      <c r="V7" s="470">
        <f>SUM('TCO TO BE- SW'!W6:W15)+SUM('TCO TO BE- SW'!W89:W98)</f>
        <v>0</v>
      </c>
      <c r="W7" s="470">
        <f>SUM('TCO TO BE- SW'!X6:X15)+SUM('TCO TO BE- SW'!X89:X98)</f>
        <v>0</v>
      </c>
      <c r="X7" s="470">
        <f>SUM('TCO TO BE- SW'!Y6:Y15)+SUM('TCO TO BE- SW'!Y89:Y98)</f>
        <v>0</v>
      </c>
      <c r="Y7" s="470">
        <f>SUM('TCO TO BE- SW'!Z6:Z15)+SUM('TCO TO BE- SW'!Z89:Z98)</f>
        <v>0</v>
      </c>
      <c r="AC7" s="458"/>
      <c r="AD7" s="458"/>
      <c r="AE7" s="459" t="s">
        <v>65</v>
      </c>
      <c r="AF7" s="470">
        <f>SUM(AG7:BA7)</f>
        <v>571428.57142857136</v>
      </c>
      <c r="AG7" s="470">
        <f>('TCO TO BE- SW'!F6+NPV(Faktory!$D$5,'TCO TO BE- SW'!F7:F15)+'TCO TO BE- SW'!F89+NPV(Faktory!$D$5,'TCO TO BE- SW'!F90:F98))</f>
        <v>0</v>
      </c>
      <c r="AH7" s="470">
        <f>('TCO TO BE- SW'!G6+NPV(Faktory!$D$5,'TCO TO BE- SW'!G7:G15)+'TCO TO BE- SW'!G89+NPV(Faktory!$D$5,'TCO TO BE- SW'!G90:G98))</f>
        <v>0</v>
      </c>
      <c r="AI7" s="470">
        <f>('TCO TO BE- SW'!H6+NPV(Faktory!$D$5,'TCO TO BE- SW'!H7:H15)+'TCO TO BE- SW'!H89+NPV(Faktory!$D$5,'TCO TO BE- SW'!H90:H98))</f>
        <v>571428.57142857136</v>
      </c>
      <c r="AJ7" s="470">
        <f>('TCO TO BE- SW'!I6+NPV(Faktory!$D$5,'TCO TO BE- SW'!I7:I15)+'TCO TO BE- SW'!I89+NPV(Faktory!$D$5,'TCO TO BE- SW'!I90:I98))</f>
        <v>0</v>
      </c>
      <c r="AK7" s="470">
        <f>('TCO TO BE- SW'!J6+NPV(Faktory!$D$5,'TCO TO BE- SW'!J7:J15)+'TCO TO BE- SW'!J89+NPV(Faktory!$D$5,'TCO TO BE- SW'!J90:J98))</f>
        <v>0</v>
      </c>
      <c r="AL7" s="470">
        <f>('TCO TO BE- SW'!K6+NPV(Faktory!$D$5,'TCO TO BE- SW'!K7:K15)+'TCO TO BE- SW'!K89+NPV(Faktory!$D$5,'TCO TO BE- SW'!K90:K98))</f>
        <v>0</v>
      </c>
      <c r="AM7" s="470">
        <f>('TCO TO BE- SW'!L6+NPV(Faktory!$D$5,'TCO TO BE- SW'!L7:L15)+'TCO TO BE- SW'!L89+NPV(Faktory!$D$5,'TCO TO BE- SW'!L90:L98))</f>
        <v>0</v>
      </c>
      <c r="AN7" s="470">
        <f>('TCO TO BE- SW'!M6+NPV(Faktory!$D$5,'TCO TO BE- SW'!M7:M15)+'TCO TO BE- SW'!M89+NPV(Faktory!$D$5,'TCO TO BE- SW'!M90:M98))</f>
        <v>0</v>
      </c>
      <c r="AO7" s="470">
        <f>('TCO TO BE- SW'!N6+NPV(Faktory!$D$5,'TCO TO BE- SW'!N7:N15)+'TCO TO BE- SW'!N89+NPV(Faktory!$D$5,'TCO TO BE- SW'!N90:N98))</f>
        <v>0</v>
      </c>
      <c r="AP7" s="470">
        <f>('TCO TO BE- SW'!O6+NPV(Faktory!$D$5,'TCO TO BE- SW'!O7:O15)+'TCO TO BE- SW'!O89+NPV(Faktory!$D$5,'TCO TO BE- SW'!O90:O98))</f>
        <v>0</v>
      </c>
      <c r="AQ7" s="470">
        <f>('TCO TO BE- SW'!P6+NPV(Faktory!$D$5,'TCO TO BE- SW'!P7:P15)+'TCO TO BE- SW'!P89+NPV(Faktory!$D$5,'TCO TO BE- SW'!P90:P98))</f>
        <v>0</v>
      </c>
      <c r="AR7" s="470">
        <f>('TCO TO BE- SW'!Q6+NPV(Faktory!$D$5,'TCO TO BE- SW'!Q7:Q15)+'TCO TO BE- SW'!Q89+NPV(Faktory!$D$5,'TCO TO BE- SW'!Q90:Q98))</f>
        <v>0</v>
      </c>
      <c r="AS7" s="470">
        <f>('TCO TO BE- SW'!R6+NPV(Faktory!$D$5,'TCO TO BE- SW'!R7:R15)+'TCO TO BE- SW'!R89+NPV(Faktory!$D$5,'TCO TO BE- SW'!R90:R98))</f>
        <v>0</v>
      </c>
      <c r="AT7" s="470">
        <f>('TCO TO BE- SW'!S6+NPV(Faktory!$D$5,'TCO TO BE- SW'!S7:S15)+'TCO TO BE- SW'!S89+NPV(Faktory!$D$5,'TCO TO BE- SW'!S90:S98))</f>
        <v>0</v>
      </c>
      <c r="AU7" s="470">
        <f>('TCO TO BE- SW'!T6+NPV(Faktory!$D$5,'TCO TO BE- SW'!T7:T15)+'TCO TO BE- SW'!T89+NPV(Faktory!$D$5,'TCO TO BE- SW'!T90:T98))</f>
        <v>0</v>
      </c>
      <c r="AV7" s="470">
        <f>('TCO TO BE- SW'!U6+NPV(Faktory!$D$5,'TCO TO BE- SW'!U7:U15)+'TCO TO BE- SW'!U89+NPV(Faktory!$D$5,'TCO TO BE- SW'!U90:U98))</f>
        <v>0</v>
      </c>
      <c r="AW7" s="470">
        <f>('TCO TO BE- SW'!V6+NPV(Faktory!$D$5,'TCO TO BE- SW'!V7:V15)+'TCO TO BE- SW'!V89+NPV(Faktory!$D$5,'TCO TO BE- SW'!V90:V98))</f>
        <v>0</v>
      </c>
      <c r="AX7" s="470">
        <f>('TCO TO BE- SW'!W6+NPV(Faktory!$D$5,'TCO TO BE- SW'!W7:W15)+'TCO TO BE- SW'!W89+NPV(Faktory!$D$5,'TCO TO BE- SW'!W90:W98))</f>
        <v>0</v>
      </c>
      <c r="AY7" s="470">
        <f>('TCO TO BE- SW'!X6+NPV(Faktory!$D$5,'TCO TO BE- SW'!X7:X15)+'TCO TO BE- SW'!X89+NPV(Faktory!$D$5,'TCO TO BE- SW'!X90:X98))</f>
        <v>0</v>
      </c>
      <c r="AZ7" s="470">
        <f>('TCO TO BE- SW'!Y6+NPV(Faktory!$D$5,'TCO TO BE- SW'!Y7:Y15)+'TCO TO BE- SW'!Y89+NPV(Faktory!$D$5,'TCO TO BE- SW'!Y90:Y98))</f>
        <v>0</v>
      </c>
      <c r="BA7" s="470">
        <f>('TCO TO BE- SW'!Z6+NPV(Faktory!$D$5,'TCO TO BE- SW'!Z7:Z15)+'TCO TO BE- SW'!Z89+NPV(Faktory!$D$5,'TCO TO BE- SW'!Z90:Z98))</f>
        <v>0</v>
      </c>
    </row>
    <row r="8" spans="1:53">
      <c r="A8" s="458"/>
      <c r="B8" s="458"/>
      <c r="C8" s="459" t="s">
        <v>64</v>
      </c>
      <c r="D8" s="470">
        <f>SUM(E8:X8)</f>
        <v>0</v>
      </c>
      <c r="E8" s="470">
        <f>SUM('TCO TO BE - HW'!F5:F14)+SUM('TCO TO BE - HW'!F66:F75)</f>
        <v>0</v>
      </c>
      <c r="F8" s="470">
        <f>SUM('TCO TO BE - HW'!G5:G14)+SUM('TCO TO BE - HW'!G66:G75)</f>
        <v>0</v>
      </c>
      <c r="G8" s="470">
        <f>SUM('TCO TO BE - HW'!H5:H14)+SUM('TCO TO BE - HW'!H66:H75)</f>
        <v>0</v>
      </c>
      <c r="H8" s="470">
        <f>SUM('TCO TO BE - HW'!I5:I14)+SUM('TCO TO BE - HW'!I66:I75)</f>
        <v>0</v>
      </c>
      <c r="I8" s="470">
        <f>SUM('TCO TO BE - HW'!J5:J14)+SUM('TCO TO BE - HW'!J66:J75)</f>
        <v>0</v>
      </c>
      <c r="J8" s="470">
        <f>SUM('TCO TO BE - HW'!K5:K14)+SUM('TCO TO BE - HW'!K66:K75)</f>
        <v>0</v>
      </c>
      <c r="K8" s="470">
        <f>SUM('TCO TO BE - HW'!L5:L14)+SUM('TCO TO BE - HW'!L66:L75)</f>
        <v>0</v>
      </c>
      <c r="L8" s="470">
        <f>SUM('TCO TO BE - HW'!M5:M14)+SUM('TCO TO BE - HW'!M66:M75)</f>
        <v>0</v>
      </c>
      <c r="M8" s="470">
        <f>SUM('TCO TO BE - HW'!N5:N14)+SUM('TCO TO BE - HW'!N66:N75)</f>
        <v>0</v>
      </c>
      <c r="N8" s="470">
        <f>SUM('TCO TO BE - HW'!O5:O14)+SUM('TCO TO BE - HW'!O66:O75)</f>
        <v>0</v>
      </c>
      <c r="O8" s="470">
        <f>SUM('TCO TO BE - HW'!P5:P14)+SUM('TCO TO BE - HW'!P66:P75)</f>
        <v>0</v>
      </c>
      <c r="P8" s="470">
        <f>SUM('TCO TO BE - HW'!Q5:Q14)+SUM('TCO TO BE - HW'!Q66:Q75)</f>
        <v>0</v>
      </c>
      <c r="Q8" s="470">
        <f>SUM('TCO TO BE - HW'!R5:R14)+SUM('TCO TO BE - HW'!R66:R75)</f>
        <v>0</v>
      </c>
      <c r="R8" s="470">
        <f>SUM('TCO TO BE - HW'!S5:S14)+SUM('TCO TO BE - HW'!S66:S75)</f>
        <v>0</v>
      </c>
      <c r="S8" s="470">
        <f>SUM('TCO TO BE - HW'!T5:T14)+SUM('TCO TO BE - HW'!T66:T75)</f>
        <v>0</v>
      </c>
      <c r="T8" s="470">
        <f>SUM('TCO TO BE - HW'!U5:U14)+SUM('TCO TO BE - HW'!U66:U75)</f>
        <v>0</v>
      </c>
      <c r="U8" s="470">
        <f>SUM('TCO TO BE - HW'!V5:V14)+SUM('TCO TO BE - HW'!V66:V75)</f>
        <v>0</v>
      </c>
      <c r="V8" s="470">
        <f>SUM('TCO TO BE - HW'!W5:W14)+SUM('TCO TO BE - HW'!W66:W75)</f>
        <v>0</v>
      </c>
      <c r="W8" s="470">
        <f>SUM('TCO TO BE - HW'!X5:X14)+SUM('TCO TO BE - HW'!X66:X75)</f>
        <v>0</v>
      </c>
      <c r="X8" s="470">
        <f>SUM('TCO TO BE - HW'!Y5:Y14)+SUM('TCO TO BE - HW'!Y66:Y75)</f>
        <v>0</v>
      </c>
      <c r="Y8" s="470">
        <f>SUM('TCO TO BE - HW'!Z5:Z14)+SUM('TCO TO BE - HW'!Z66:Z75)</f>
        <v>0</v>
      </c>
      <c r="AC8" s="458"/>
      <c r="AD8" s="458"/>
      <c r="AE8" s="459" t="s">
        <v>64</v>
      </c>
      <c r="AF8" s="470">
        <f>SUM(AG8:AZ8)</f>
        <v>0</v>
      </c>
      <c r="AG8" s="470">
        <f>('TCO TO BE - HW'!F5+NPV(Faktory!$D$5,'TCO TO BE - HW'!F6:F14)+'TCO TO BE - HW'!F66+NPV(Faktory!$D$5,'TCO TO BE - HW'!F67:F75))</f>
        <v>0</v>
      </c>
      <c r="AH8" s="470">
        <f>('TCO TO BE - HW'!G5+NPV(Faktory!$D$5,'TCO TO BE - HW'!G6:G14)+'TCO TO BE - HW'!G66+NPV(Faktory!$D$5,'TCO TO BE - HW'!G67:G75))</f>
        <v>0</v>
      </c>
      <c r="AI8" s="470">
        <f>('TCO TO BE - HW'!H5+NPV(Faktory!$D$5,'TCO TO BE - HW'!H6:H14)+'TCO TO BE - HW'!H66+NPV(Faktory!$D$5,'TCO TO BE - HW'!H67:H75))</f>
        <v>0</v>
      </c>
      <c r="AJ8" s="470">
        <f>('TCO TO BE - HW'!I5+NPV(Faktory!$D$5,'TCO TO BE - HW'!I6:I14)+'TCO TO BE - HW'!I66+NPV(Faktory!$D$5,'TCO TO BE - HW'!I67:I75))</f>
        <v>0</v>
      </c>
      <c r="AK8" s="470">
        <f>('TCO TO BE - HW'!J5+NPV(Faktory!$D$5,'TCO TO BE - HW'!J6:J14)+'TCO TO BE - HW'!J66+NPV(Faktory!$D$5,'TCO TO BE - HW'!J67:J75))</f>
        <v>0</v>
      </c>
      <c r="AL8" s="470">
        <f>('TCO TO BE - HW'!K5+NPV(Faktory!$D$5,'TCO TO BE - HW'!K6:K14)+'TCO TO BE - HW'!K66+NPV(Faktory!$D$5,'TCO TO BE - HW'!K67:K75))</f>
        <v>0</v>
      </c>
      <c r="AM8" s="470">
        <f>('TCO TO BE - HW'!L5+NPV(Faktory!$D$5,'TCO TO BE - HW'!L6:L14)+'TCO TO BE - HW'!L66+NPV(Faktory!$D$5,'TCO TO BE - HW'!L67:L75))</f>
        <v>0</v>
      </c>
      <c r="AN8" s="470">
        <f>('TCO TO BE - HW'!M5+NPV(Faktory!$D$5,'TCO TO BE - HW'!M6:M14)+'TCO TO BE - HW'!M66+NPV(Faktory!$D$5,'TCO TO BE - HW'!M67:M75))</f>
        <v>0</v>
      </c>
      <c r="AO8" s="470">
        <f>('TCO TO BE - HW'!N5+NPV(Faktory!$D$5,'TCO TO BE - HW'!N6:N14)+'TCO TO BE - HW'!N66+NPV(Faktory!$D$5,'TCO TO BE - HW'!N67:N75))</f>
        <v>0</v>
      </c>
      <c r="AP8" s="470">
        <f>('TCO TO BE - HW'!O5+NPV(Faktory!$D$5,'TCO TO BE - HW'!O6:O14)+'TCO TO BE - HW'!O66+NPV(Faktory!$D$5,'TCO TO BE - HW'!O67:O75))</f>
        <v>0</v>
      </c>
      <c r="AQ8" s="470">
        <f>('TCO TO BE - HW'!P5+NPV(Faktory!$D$5,'TCO TO BE - HW'!P6:P14)+'TCO TO BE - HW'!P66+NPV(Faktory!$D$5,'TCO TO BE - HW'!P67:P75))</f>
        <v>0</v>
      </c>
      <c r="AR8" s="470">
        <f>('TCO TO BE - HW'!Q5+NPV(Faktory!$D$5,'TCO TO BE - HW'!Q6:Q14)+'TCO TO BE - HW'!Q66+NPV(Faktory!$D$5,'TCO TO BE - HW'!Q67:Q75))</f>
        <v>0</v>
      </c>
      <c r="AS8" s="470">
        <f>('TCO TO BE - HW'!R5+NPV(Faktory!$D$5,'TCO TO BE - HW'!R6:R14)+'TCO TO BE - HW'!R66+NPV(Faktory!$D$5,'TCO TO BE - HW'!R67:R75))</f>
        <v>0</v>
      </c>
      <c r="AT8" s="470">
        <f>('TCO TO BE - HW'!S5+NPV(Faktory!$D$5,'TCO TO BE - HW'!S6:S14)+'TCO TO BE - HW'!S66+NPV(Faktory!$D$5,'TCO TO BE - HW'!S67:S75))</f>
        <v>0</v>
      </c>
      <c r="AU8" s="470">
        <f>('TCO TO BE - HW'!T5+NPV(Faktory!$D$5,'TCO TO BE - HW'!T6:T14)+'TCO TO BE - HW'!T66+NPV(Faktory!$D$5,'TCO TO BE - HW'!T67:T75))</f>
        <v>0</v>
      </c>
      <c r="AV8" s="470">
        <f>('TCO TO BE - HW'!U5+NPV(Faktory!$D$5,'TCO TO BE - HW'!U6:U14)+'TCO TO BE - HW'!U66+NPV(Faktory!$D$5,'TCO TO BE - HW'!U67:U75))</f>
        <v>0</v>
      </c>
      <c r="AW8" s="470">
        <f>('TCO TO BE - HW'!V5+NPV(Faktory!$D$5,'TCO TO BE - HW'!V6:V14)+'TCO TO BE - HW'!V66+NPV(Faktory!$D$5,'TCO TO BE - HW'!V67:V75))</f>
        <v>0</v>
      </c>
      <c r="AX8" s="470">
        <f>('TCO TO BE - HW'!W5+NPV(Faktory!$D$5,'TCO TO BE - HW'!W6:W14)+'TCO TO BE - HW'!W66+NPV(Faktory!$D$5,'TCO TO BE - HW'!W67:W75))</f>
        <v>0</v>
      </c>
      <c r="AY8" s="470">
        <f>('TCO TO BE - HW'!X5+NPV(Faktory!$D$5,'TCO TO BE - HW'!X6:X14)+'TCO TO BE - HW'!X66+NPV(Faktory!$D$5,'TCO TO BE - HW'!X67:X75))</f>
        <v>0</v>
      </c>
      <c r="AZ8" s="470">
        <f>('TCO TO BE - HW'!Y5+NPV(Faktory!$D$5,'TCO TO BE - HW'!Y6:Y14)+'TCO TO BE - HW'!Y66+NPV(Faktory!$D$5,'TCO TO BE - HW'!Y67:Y75))</f>
        <v>0</v>
      </c>
      <c r="BA8" s="470">
        <f>('TCO TO BE - HW'!Z5+NPV(Faktory!$D$5,'TCO TO BE - HW'!Z6:Z14)+'TCO TO BE - HW'!Z66+NPV(Faktory!$D$5,'TCO TO BE - HW'!Z67:Z75))</f>
        <v>0</v>
      </c>
    </row>
    <row r="9" spans="1:53">
      <c r="A9" s="455"/>
      <c r="B9" s="456" t="s">
        <v>165</v>
      </c>
      <c r="C9" s="456"/>
      <c r="D9" s="457">
        <f>SUM(E9:Y9)</f>
        <v>6952410.8689004658</v>
      </c>
      <c r="E9" s="457">
        <f>SUM(E10:E12)</f>
        <v>438582.17340540979</v>
      </c>
      <c r="F9" s="457">
        <f>SUM(F10:F12)</f>
        <v>1581608.4142084925</v>
      </c>
      <c r="G9" s="457">
        <f>SUM(G10:G12)</f>
        <v>1470976.1358699761</v>
      </c>
      <c r="H9" s="457">
        <f>SUM(H10:H12)</f>
        <v>291985.94085233693</v>
      </c>
      <c r="I9" s="457">
        <f>SUM(I10:I12)</f>
        <v>876453.5542053174</v>
      </c>
      <c r="J9" s="457">
        <f>SUM(J10+J11)</f>
        <v>245882.89755986282</v>
      </c>
      <c r="K9" s="457">
        <f>SUM(K10:K12)</f>
        <v>72231.923702725879</v>
      </c>
      <c r="L9" s="457">
        <f>SUM(L10:L12)</f>
        <v>61661.398282814727</v>
      </c>
      <c r="M9" s="457">
        <f>SUM(M10:M12)</f>
        <v>202754.24415722553</v>
      </c>
      <c r="N9" s="457">
        <f>SUM(N10+N11)</f>
        <v>241421.31272510719</v>
      </c>
      <c r="O9" s="457">
        <f>SUM(O10:O12)</f>
        <v>55026.212961985395</v>
      </c>
      <c r="P9" s="457">
        <f>SUM(P10:P12)</f>
        <v>12393.291207654369</v>
      </c>
      <c r="Q9" s="457">
        <f>SUM(Q10:Q12)</f>
        <v>97659.134716316417</v>
      </c>
      <c r="R9" s="457">
        <f>SUM(R10+R11)</f>
        <v>66923.772521333594</v>
      </c>
      <c r="S9" s="457">
        <f>SUM(S10:S12)</f>
        <v>200275.58591569462</v>
      </c>
      <c r="T9" s="457">
        <f>SUM(T10:T12)</f>
        <v>156155.46921644508</v>
      </c>
      <c r="U9" s="457">
        <f>SUM(U10:U12)</f>
        <v>134839.00833927956</v>
      </c>
      <c r="V9" s="457">
        <f>SUM(V10+V11)</f>
        <v>297438.98898370488</v>
      </c>
      <c r="W9" s="457">
        <f>SUM(W10:W12)</f>
        <v>448141.41006878205</v>
      </c>
      <c r="X9" s="457">
        <f>SUM(X10:X12)</f>
        <v>0</v>
      </c>
      <c r="Y9" s="457">
        <f>SUM(Y10:Y12)</f>
        <v>0</v>
      </c>
      <c r="AC9" s="455"/>
      <c r="AD9" s="456" t="s">
        <v>165</v>
      </c>
      <c r="AE9" s="456"/>
      <c r="AF9" s="457">
        <f>SUM(AG9:BA9)</f>
        <v>5448933.6248753909</v>
      </c>
      <c r="AG9" s="457">
        <f t="shared" ref="AG9:BA9" si="2">SUM(AG10:AG12)</f>
        <v>343988.92387608433</v>
      </c>
      <c r="AH9" s="457">
        <f t="shared" si="2"/>
        <v>1238953.0959293572</v>
      </c>
      <c r="AI9" s="457">
        <f t="shared" si="2"/>
        <v>1153579.5276786517</v>
      </c>
      <c r="AJ9" s="457">
        <f t="shared" si="2"/>
        <v>228989.56852693134</v>
      </c>
      <c r="AK9" s="457">
        <f t="shared" si="2"/>
        <v>687357.48243737628</v>
      </c>
      <c r="AL9" s="457">
        <f t="shared" si="2"/>
        <v>192833.32086478427</v>
      </c>
      <c r="AM9" s="457">
        <f t="shared" si="2"/>
        <v>55534.400742989135</v>
      </c>
      <c r="AN9" s="457">
        <f t="shared" si="2"/>
        <v>47407.415268405362</v>
      </c>
      <c r="AO9" s="457">
        <f t="shared" si="2"/>
        <v>159009.73434213057</v>
      </c>
      <c r="AP9" s="457">
        <f t="shared" si="2"/>
        <v>189334.32915554428</v>
      </c>
      <c r="AQ9" s="457">
        <f t="shared" si="2"/>
        <v>43154.231080627134</v>
      </c>
      <c r="AR9" s="457">
        <f t="shared" si="2"/>
        <v>9719.4214145556598</v>
      </c>
      <c r="AS9" s="457">
        <f t="shared" si="2"/>
        <v>76589.040746698593</v>
      </c>
      <c r="AT9" s="457">
        <f t="shared" si="2"/>
        <v>52484.875638600555</v>
      </c>
      <c r="AU9" s="457">
        <f t="shared" si="2"/>
        <v>157065.85005921946</v>
      </c>
      <c r="AV9" s="457">
        <f t="shared" si="2"/>
        <v>122464.7098234013</v>
      </c>
      <c r="AW9" s="457">
        <f t="shared" si="2"/>
        <v>105747.30499036558</v>
      </c>
      <c r="AX9" s="457">
        <f t="shared" si="2"/>
        <v>233266.11394933582</v>
      </c>
      <c r="AY9" s="457">
        <f t="shared" si="2"/>
        <v>351454.27835033258</v>
      </c>
      <c r="AZ9" s="457">
        <f t="shared" si="2"/>
        <v>0</v>
      </c>
      <c r="BA9" s="457">
        <f t="shared" si="2"/>
        <v>0</v>
      </c>
    </row>
    <row r="10" spans="1:53">
      <c r="A10" s="458"/>
      <c r="B10" s="458"/>
      <c r="C10" s="459" t="s">
        <v>104</v>
      </c>
      <c r="D10" s="474">
        <f>SUM(E10:Y10)</f>
        <v>6952410.8689004658</v>
      </c>
      <c r="E10" s="470">
        <f>SUM('TCO TO BE- SW'!F47:F76)+SUM('TCO TO BE- SW'!F100:F119)+SUM('TCO TO BE- SW'!E130:E149)</f>
        <v>438582.17340540979</v>
      </c>
      <c r="F10" s="470">
        <f>SUM('TCO TO BE- SW'!G47:G76)+SUM('TCO TO BE- SW'!G100:G119)+SUM('TCO TO BE- SW'!F130:F149)</f>
        <v>1581608.4142084925</v>
      </c>
      <c r="G10" s="470">
        <f>SUM('TCO TO BE- SW'!H47:H76)+SUM('TCO TO BE- SW'!H100:H119)+SUM('TCO TO BE- SW'!G130:G149)</f>
        <v>1470976.1358699761</v>
      </c>
      <c r="H10" s="470">
        <f>SUM('TCO TO BE- SW'!I47:I76)+SUM('TCO TO BE- SW'!I100:I119)+SUM('TCO TO BE- SW'!H130:H149)</f>
        <v>291985.94085233693</v>
      </c>
      <c r="I10" s="470">
        <f>SUM('TCO TO BE- SW'!J47:J76)+SUM('TCO TO BE- SW'!J100:J119)+SUM('TCO TO BE- SW'!I130:I149)</f>
        <v>876453.5542053174</v>
      </c>
      <c r="J10" s="470">
        <f>SUM('TCO TO BE- SW'!K47:K76)+SUM('TCO TO BE- SW'!K100:K119)+SUM('TCO TO BE- SW'!J130:J149)</f>
        <v>245882.89755986282</v>
      </c>
      <c r="K10" s="470">
        <f>SUM('TCO TO BE- SW'!L47:L76)+SUM('TCO TO BE- SW'!L100:L119)+SUM('TCO TO BE- SW'!K130:K149)</f>
        <v>72231.923702725879</v>
      </c>
      <c r="L10" s="470">
        <f>SUM('TCO TO BE- SW'!M47:M76)+SUM('TCO TO BE- SW'!M100:M119)+SUM('TCO TO BE- SW'!L130:L149)</f>
        <v>61661.398282814727</v>
      </c>
      <c r="M10" s="470">
        <f>SUM('TCO TO BE- SW'!N47:N76)+SUM('TCO TO BE- SW'!N100:N119)+SUM('TCO TO BE- SW'!M130:M149)</f>
        <v>202754.24415722553</v>
      </c>
      <c r="N10" s="470">
        <f>SUM('TCO TO BE- SW'!O47:O76)+SUM('TCO TO BE- SW'!O100:O119)+SUM('TCO TO BE- SW'!N130:N149)</f>
        <v>241421.31272510719</v>
      </c>
      <c r="O10" s="470">
        <f>SUM('TCO TO BE- SW'!P47:P76)+SUM('TCO TO BE- SW'!P100:P119)+SUM('TCO TO BE- SW'!O130:O149)</f>
        <v>55026.212961985395</v>
      </c>
      <c r="P10" s="470">
        <f>SUM('TCO TO BE- SW'!Q47:Q76)+SUM('TCO TO BE- SW'!Q100:Q119)+SUM('TCO TO BE- SW'!P130:P149)</f>
        <v>12393.291207654369</v>
      </c>
      <c r="Q10" s="470">
        <f>SUM('TCO TO BE- SW'!R47:R76)+SUM('TCO TO BE- SW'!R100:R119)+SUM('TCO TO BE- SW'!Q130:Q149)</f>
        <v>97659.134716316417</v>
      </c>
      <c r="R10" s="470">
        <f>SUM('TCO TO BE- SW'!S47:S76)+SUM('TCO TO BE- SW'!S100:S119)+SUM('TCO TO BE- SW'!R130:R149)</f>
        <v>66923.772521333594</v>
      </c>
      <c r="S10" s="470">
        <f>SUM('TCO TO BE- SW'!T47:T76)+SUM('TCO TO BE- SW'!T100:T119)+SUM('TCO TO BE- SW'!S130:S149)</f>
        <v>200275.58591569462</v>
      </c>
      <c r="T10" s="470">
        <f>SUM('TCO TO BE- SW'!U47:U76)+SUM('TCO TO BE- SW'!U100:U119)+SUM('TCO TO BE- SW'!T130:T149)</f>
        <v>156155.46921644508</v>
      </c>
      <c r="U10" s="470">
        <f>SUM('TCO TO BE- SW'!V47:V76)+SUM('TCO TO BE- SW'!V100:V119)+SUM('TCO TO BE- SW'!U130:U149)</f>
        <v>134839.00833927956</v>
      </c>
      <c r="V10" s="470">
        <f>SUM('TCO TO BE- SW'!W47:W76)+SUM('TCO TO BE- SW'!W100:W119)+SUM('TCO TO BE- SW'!V130:V149)</f>
        <v>297438.98898370488</v>
      </c>
      <c r="W10" s="470">
        <f>SUM('TCO TO BE- SW'!X47:X76)+SUM('TCO TO BE- SW'!X100:X119)+SUM('TCO TO BE- SW'!W130:W149)</f>
        <v>448141.41006878205</v>
      </c>
      <c r="X10" s="470">
        <f>SUM('TCO TO BE- SW'!Y47:Y76)+SUM('TCO TO BE- SW'!Y100:Y119)+SUM('TCO TO BE- SW'!X130:X149)</f>
        <v>0</v>
      </c>
      <c r="Y10" s="470">
        <f>SUM('TCO TO BE- SW'!Z47:Z76)+SUM('TCO TO BE- SW'!Z100:Z119)+SUM('TCO TO BE- SW'!Y130:Y149)</f>
        <v>0</v>
      </c>
      <c r="AC10" s="458"/>
      <c r="AD10" s="458"/>
      <c r="AE10" s="459" t="s">
        <v>104</v>
      </c>
      <c r="AF10" s="471">
        <f>SUM(AG10:BA10)</f>
        <v>5448933.6248753909</v>
      </c>
      <c r="AG10" s="470">
        <f>('TCO TO BE- SW'!F47+NPV(Faktory!$D$5,'TCO TO BE- SW'!F48:F56)+'TCO TO BE- SW'!F57+NPV(Faktory!$D$5,'TCO TO BE- SW'!F58:F66)+'TCO TO BE- SW'!F67+NPV(Faktory!$D$5,'TCO TO BE- SW'!F68:F76)+'TCO TO BE- SW'!F100+NPV(Faktory!$D$5,'TCO TO BE- SW'!F101:F109)+'TCO TO BE- SW'!F110+NPV(Faktory!$D$5,'TCO TO BE- SW'!F111:F119)+'TCO TO BE- SW'!F130+NPV(Faktory!$D$5,'TCO TO BE- SW'!F131:F139)+'TCO TO BE- SW'!F140+NPV(Faktory!$D$5,'TCO TO BE- SW'!F141:F149))</f>
        <v>343988.92387608433</v>
      </c>
      <c r="AH10" s="470">
        <f>('TCO TO BE- SW'!G47+NPV(Faktory!$D$5,'TCO TO BE- SW'!G48:G56)+'TCO TO BE- SW'!G57+NPV(Faktory!$D$5,'TCO TO BE- SW'!G58:G66)+'TCO TO BE- SW'!G67+NPV(Faktory!$D$5,'TCO TO BE- SW'!G68:G76)+'TCO TO BE- SW'!G100+NPV(Faktory!$D$5,'TCO TO BE- SW'!G101:G109)+'TCO TO BE- SW'!G110+NPV(Faktory!$D$5,'TCO TO BE- SW'!G111:G119)+'TCO TO BE- SW'!G130+NPV(Faktory!$D$5,'TCO TO BE- SW'!G131:G139)+'TCO TO BE- SW'!G140+NPV(Faktory!$D$5,'TCO TO BE- SW'!G141:G149))</f>
        <v>1238953.0959293572</v>
      </c>
      <c r="AI10" s="470">
        <f>('TCO TO BE- SW'!H47+NPV(Faktory!$D$5,'TCO TO BE- SW'!H48:H56)+'TCO TO BE- SW'!H57+NPV(Faktory!$D$5,'TCO TO BE- SW'!H58:H66)+'TCO TO BE- SW'!H67+NPV(Faktory!$D$5,'TCO TO BE- SW'!H68:H76)+'TCO TO BE- SW'!H100+NPV(Faktory!$D$5,'TCO TO BE- SW'!H101:H109)+'TCO TO BE- SW'!H110+NPV(Faktory!$D$5,'TCO TO BE- SW'!H111:H119)+'TCO TO BE- SW'!H130+NPV(Faktory!$D$5,'TCO TO BE- SW'!H131:H139)+'TCO TO BE- SW'!H140+NPV(Faktory!$D$5,'TCO TO BE- SW'!H141:H149))</f>
        <v>1153579.5276786517</v>
      </c>
      <c r="AJ10" s="470">
        <f>('TCO TO BE- SW'!I47+NPV(Faktory!$D$5,'TCO TO BE- SW'!I48:I56)+'TCO TO BE- SW'!I57+NPV(Faktory!$D$5,'TCO TO BE- SW'!I58:I66)+'TCO TO BE- SW'!I67+NPV(Faktory!$D$5,'TCO TO BE- SW'!I68:I76)+'TCO TO BE- SW'!I100+NPV(Faktory!$D$5,'TCO TO BE- SW'!I101:I109)+'TCO TO BE- SW'!I110+NPV(Faktory!$D$5,'TCO TO BE- SW'!I111:I119)+'TCO TO BE- SW'!I130+NPV(Faktory!$D$5,'TCO TO BE- SW'!I131:I139)+'TCO TO BE- SW'!I140+NPV(Faktory!$D$5,'TCO TO BE- SW'!I141:I149))</f>
        <v>228989.56852693134</v>
      </c>
      <c r="AK10" s="470">
        <f>('TCO TO BE- SW'!J47+NPV(Faktory!$D$5,'TCO TO BE- SW'!J48:J56)+'TCO TO BE- SW'!J57+NPV(Faktory!$D$5,'TCO TO BE- SW'!J58:J66)+'TCO TO BE- SW'!J67+NPV(Faktory!$D$5,'TCO TO BE- SW'!J68:J76)+'TCO TO BE- SW'!J100+NPV(Faktory!$D$5,'TCO TO BE- SW'!J101:J109)+'TCO TO BE- SW'!J110+NPV(Faktory!$D$5,'TCO TO BE- SW'!J111:J119)+'TCO TO BE- SW'!J130+NPV(Faktory!$D$5,'TCO TO BE- SW'!J131:J139)+'TCO TO BE- SW'!J140+NPV(Faktory!$D$5,'TCO TO BE- SW'!J141:J149))</f>
        <v>687357.48243737628</v>
      </c>
      <c r="AL10" s="470">
        <f>('TCO TO BE- SW'!K47+NPV(Faktory!$D$5,'TCO TO BE- SW'!K48:K56)+'TCO TO BE- SW'!K57+NPV(Faktory!$D$5,'TCO TO BE- SW'!K58:K66)+'TCO TO BE- SW'!K67+NPV(Faktory!$D$5,'TCO TO BE- SW'!K68:K76)+'TCO TO BE- SW'!K100+NPV(Faktory!$D$5,'TCO TO BE- SW'!K101:K109)+'TCO TO BE- SW'!K110+NPV(Faktory!$D$5,'TCO TO BE- SW'!K111:K119)+'TCO TO BE- SW'!K130+NPV(Faktory!$D$5,'TCO TO BE- SW'!K131:K139)+'TCO TO BE- SW'!K140+NPV(Faktory!$D$5,'TCO TO BE- SW'!K141:K149))</f>
        <v>192833.32086478427</v>
      </c>
      <c r="AM10" s="470">
        <f>('TCO TO BE- SW'!L47+NPV(Faktory!$D$5,'TCO TO BE- SW'!L48:L56)+'TCO TO BE- SW'!L57+NPV(Faktory!$D$5,'TCO TO BE- SW'!L58:L66)+'TCO TO BE- SW'!L67+NPV(Faktory!$D$5,'TCO TO BE- SW'!L68:L76)+'TCO TO BE- SW'!L100+NPV(Faktory!$D$5,'TCO TO BE- SW'!L101:L109)+'TCO TO BE- SW'!L110+NPV(Faktory!$D$5,'TCO TO BE- SW'!L111:L119)+'TCO TO BE- SW'!L130+NPV(Faktory!$D$5,'TCO TO BE- SW'!L131:L139)+'TCO TO BE- SW'!L140+NPV(Faktory!$D$5,'TCO TO BE- SW'!L141:L149))</f>
        <v>55534.400742989135</v>
      </c>
      <c r="AN10" s="470">
        <f>('TCO TO BE- SW'!M47+NPV(Faktory!$D$5,'TCO TO BE- SW'!M48:M56)+'TCO TO BE- SW'!M57+NPV(Faktory!$D$5,'TCO TO BE- SW'!M58:M66)+'TCO TO BE- SW'!M67+NPV(Faktory!$D$5,'TCO TO BE- SW'!M68:M76)+'TCO TO BE- SW'!M100+NPV(Faktory!$D$5,'TCO TO BE- SW'!M101:M109)+'TCO TO BE- SW'!M110+NPV(Faktory!$D$5,'TCO TO BE- SW'!M111:M119)+'TCO TO BE- SW'!M130+NPV(Faktory!$D$5,'TCO TO BE- SW'!M131:M139)+'TCO TO BE- SW'!M140+NPV(Faktory!$D$5,'TCO TO BE- SW'!M141:M149))</f>
        <v>47407.415268405362</v>
      </c>
      <c r="AO10" s="470">
        <f>('TCO TO BE- SW'!N47+NPV(Faktory!$D$5,'TCO TO BE- SW'!N48:N56)+'TCO TO BE- SW'!N57+NPV(Faktory!$D$5,'TCO TO BE- SW'!N58:N66)+'TCO TO BE- SW'!N67+NPV(Faktory!$D$5,'TCO TO BE- SW'!N68:N76)+'TCO TO BE- SW'!N100+NPV(Faktory!$D$5,'TCO TO BE- SW'!N101:N109)+'TCO TO BE- SW'!N110+NPV(Faktory!$D$5,'TCO TO BE- SW'!N111:N119)+'TCO TO BE- SW'!N130+NPV(Faktory!$D$5,'TCO TO BE- SW'!N131:N139)+'TCO TO BE- SW'!N140+NPV(Faktory!$D$5,'TCO TO BE- SW'!N141:N149))</f>
        <v>159009.73434213057</v>
      </c>
      <c r="AP10" s="470">
        <f>('TCO TO BE- SW'!O47+NPV(Faktory!$D$5,'TCO TO BE- SW'!O48:O56)+'TCO TO BE- SW'!O57+NPV(Faktory!$D$5,'TCO TO BE- SW'!O58:O66)+'TCO TO BE- SW'!O67+NPV(Faktory!$D$5,'TCO TO BE- SW'!O68:O76)+'TCO TO BE- SW'!O100+NPV(Faktory!$D$5,'TCO TO BE- SW'!O101:O109)+'TCO TO BE- SW'!O110+NPV(Faktory!$D$5,'TCO TO BE- SW'!O111:O119)+'TCO TO BE- SW'!O130+NPV(Faktory!$D$5,'TCO TO BE- SW'!O131:O139)+'TCO TO BE- SW'!O140+NPV(Faktory!$D$5,'TCO TO BE- SW'!O141:O149))</f>
        <v>189334.32915554428</v>
      </c>
      <c r="AQ10" s="470">
        <f>('TCO TO BE- SW'!P47+NPV(Faktory!$D$5,'TCO TO BE- SW'!P48:P56)+'TCO TO BE- SW'!P57+NPV(Faktory!$D$5,'TCO TO BE- SW'!P58:P66)+'TCO TO BE- SW'!P67+NPV(Faktory!$D$5,'TCO TO BE- SW'!P68:P76)+'TCO TO BE- SW'!P100+NPV(Faktory!$D$5,'TCO TO BE- SW'!P101:P109)+'TCO TO BE- SW'!P110+NPV(Faktory!$D$5,'TCO TO BE- SW'!P111:P119)+'TCO TO BE- SW'!P130+NPV(Faktory!$D$5,'TCO TO BE- SW'!P131:P139)+'TCO TO BE- SW'!P140+NPV(Faktory!$D$5,'TCO TO BE- SW'!P141:P149))</f>
        <v>43154.231080627134</v>
      </c>
      <c r="AR10" s="470">
        <f>('TCO TO BE- SW'!Q47+NPV(Faktory!$D$5,'TCO TO BE- SW'!Q48:Q56)+'TCO TO BE- SW'!Q57+NPV(Faktory!$D$5,'TCO TO BE- SW'!Q58:Q66)+'TCO TO BE- SW'!Q67+NPV(Faktory!$D$5,'TCO TO BE- SW'!Q68:Q76)+'TCO TO BE- SW'!Q100+NPV(Faktory!$D$5,'TCO TO BE- SW'!Q101:Q109)+'TCO TO BE- SW'!Q110+NPV(Faktory!$D$5,'TCO TO BE- SW'!Q111:Q119)+'TCO TO BE- SW'!Q130+NPV(Faktory!$D$5,'TCO TO BE- SW'!Q131:Q139)+'TCO TO BE- SW'!Q140+NPV(Faktory!$D$5,'TCO TO BE- SW'!Q141:Q149))</f>
        <v>9719.4214145556598</v>
      </c>
      <c r="AS10" s="470">
        <f>('TCO TO BE- SW'!R47+NPV(Faktory!$D$5,'TCO TO BE- SW'!R48:R56)+'TCO TO BE- SW'!R57+NPV(Faktory!$D$5,'TCO TO BE- SW'!R58:R66)+'TCO TO BE- SW'!R67+NPV(Faktory!$D$5,'TCO TO BE- SW'!R68:R76)+'TCO TO BE- SW'!R100+NPV(Faktory!$D$5,'TCO TO BE- SW'!R101:R109)+'TCO TO BE- SW'!R110+NPV(Faktory!$D$5,'TCO TO BE- SW'!R111:R119)+'TCO TO BE- SW'!R130+NPV(Faktory!$D$5,'TCO TO BE- SW'!R131:R139)+'TCO TO BE- SW'!R140+NPV(Faktory!$D$5,'TCO TO BE- SW'!R141:R149))</f>
        <v>76589.040746698593</v>
      </c>
      <c r="AT10" s="470">
        <f>('TCO TO BE- SW'!S47+NPV(Faktory!$D$5,'TCO TO BE- SW'!S48:S56)+'TCO TO BE- SW'!S57+NPV(Faktory!$D$5,'TCO TO BE- SW'!S58:S66)+'TCO TO BE- SW'!S67+NPV(Faktory!$D$5,'TCO TO BE- SW'!S68:S76)+'TCO TO BE- SW'!S100+NPV(Faktory!$D$5,'TCO TO BE- SW'!S101:S109)+'TCO TO BE- SW'!S110+NPV(Faktory!$D$5,'TCO TO BE- SW'!S111:S119)+'TCO TO BE- SW'!S130+NPV(Faktory!$D$5,'TCO TO BE- SW'!S131:S139)+'TCO TO BE- SW'!S140+NPV(Faktory!$D$5,'TCO TO BE- SW'!S141:S149))</f>
        <v>52484.875638600555</v>
      </c>
      <c r="AU10" s="470">
        <f>('TCO TO BE- SW'!T47+NPV(Faktory!$D$5,'TCO TO BE- SW'!T48:T56)+'TCO TO BE- SW'!T57+NPV(Faktory!$D$5,'TCO TO BE- SW'!T58:T66)+'TCO TO BE- SW'!T67+NPV(Faktory!$D$5,'TCO TO BE- SW'!T68:T76)+'TCO TO BE- SW'!T100+NPV(Faktory!$D$5,'TCO TO BE- SW'!T101:T109)+'TCO TO BE- SW'!T110+NPV(Faktory!$D$5,'TCO TO BE- SW'!T111:T119)+'TCO TO BE- SW'!T130+NPV(Faktory!$D$5,'TCO TO BE- SW'!T131:T139)+'TCO TO BE- SW'!T140+NPV(Faktory!$D$5,'TCO TO BE- SW'!T141:T149))</f>
        <v>157065.85005921946</v>
      </c>
      <c r="AV10" s="470">
        <f>('TCO TO BE- SW'!U47+NPV(Faktory!$D$5,'TCO TO BE- SW'!U48:U56)+'TCO TO BE- SW'!U57+NPV(Faktory!$D$5,'TCO TO BE- SW'!U58:U66)+'TCO TO BE- SW'!U67+NPV(Faktory!$D$5,'TCO TO BE- SW'!U68:U76)+'TCO TO BE- SW'!U100+NPV(Faktory!$D$5,'TCO TO BE- SW'!U101:U109)+'TCO TO BE- SW'!U110+NPV(Faktory!$D$5,'TCO TO BE- SW'!U111:U119)+'TCO TO BE- SW'!U130+NPV(Faktory!$D$5,'TCO TO BE- SW'!U131:U139)+'TCO TO BE- SW'!U140+NPV(Faktory!$D$5,'TCO TO BE- SW'!U141:U149))</f>
        <v>122464.7098234013</v>
      </c>
      <c r="AW10" s="470">
        <f>('TCO TO BE- SW'!V47+NPV(Faktory!$D$5,'TCO TO BE- SW'!V48:V56)+'TCO TO BE- SW'!V57+NPV(Faktory!$D$5,'TCO TO BE- SW'!V58:V66)+'TCO TO BE- SW'!V67+NPV(Faktory!$D$5,'TCO TO BE- SW'!V68:V76)+'TCO TO BE- SW'!V100+NPV(Faktory!$D$5,'TCO TO BE- SW'!V101:V109)+'TCO TO BE- SW'!V110+NPV(Faktory!$D$5,'TCO TO BE- SW'!V111:V119)+'TCO TO BE- SW'!V130+NPV(Faktory!$D$5,'TCO TO BE- SW'!V131:V139)+'TCO TO BE- SW'!V140+NPV(Faktory!$D$5,'TCO TO BE- SW'!V141:V149))</f>
        <v>105747.30499036558</v>
      </c>
      <c r="AX10" s="470">
        <f>('TCO TO BE- SW'!W47+NPV(Faktory!$D$5,'TCO TO BE- SW'!W48:W56)+'TCO TO BE- SW'!W57+NPV(Faktory!$D$5,'TCO TO BE- SW'!W58:W66)+'TCO TO BE- SW'!W67+NPV(Faktory!$D$5,'TCO TO BE- SW'!W68:W76)+'TCO TO BE- SW'!W100+NPV(Faktory!$D$5,'TCO TO BE- SW'!W101:W109)+'TCO TO BE- SW'!W110+NPV(Faktory!$D$5,'TCO TO BE- SW'!W111:W119)+'TCO TO BE- SW'!W130+NPV(Faktory!$D$5,'TCO TO BE- SW'!W131:W139)+'TCO TO BE- SW'!W140+NPV(Faktory!$D$5,'TCO TO BE- SW'!W141:W149))</f>
        <v>233266.11394933582</v>
      </c>
      <c r="AY10" s="470">
        <f>('TCO TO BE- SW'!X47+NPV(Faktory!$D$5,'TCO TO BE- SW'!X48:X56)+'TCO TO BE- SW'!X57+NPV(Faktory!$D$5,'TCO TO BE- SW'!X58:X66)+'TCO TO BE- SW'!X67+NPV(Faktory!$D$5,'TCO TO BE- SW'!X68:X76)+'TCO TO BE- SW'!X100+NPV(Faktory!$D$5,'TCO TO BE- SW'!X101:X109)+'TCO TO BE- SW'!X110+NPV(Faktory!$D$5,'TCO TO BE- SW'!X111:X119)+'TCO TO BE- SW'!X130+NPV(Faktory!$D$5,'TCO TO BE- SW'!X131:X139)+'TCO TO BE- SW'!X140+NPV(Faktory!$D$5,'TCO TO BE- SW'!X141:X149))</f>
        <v>351454.27835033258</v>
      </c>
      <c r="AZ10" s="470">
        <f>('TCO TO BE- SW'!Y47+NPV(Faktory!$D$5,'TCO TO BE- SW'!Y48:Y56)+'TCO TO BE- SW'!Y57+NPV(Faktory!$D$5,'TCO TO BE- SW'!Y58:Y66)+'TCO TO BE- SW'!Y67+NPV(Faktory!$D$5,'TCO TO BE- SW'!Y68:Y76)+'TCO TO BE- SW'!Y100+NPV(Faktory!$D$5,'TCO TO BE- SW'!Y101:Y109)+'TCO TO BE- SW'!Y110+NPV(Faktory!$D$5,'TCO TO BE- SW'!Y111:Y119)+'TCO TO BE- SW'!Y130+NPV(Faktory!$D$5,'TCO TO BE- SW'!Y131:Y139)+'TCO TO BE- SW'!Y140+NPV(Faktory!$D$5,'TCO TO BE- SW'!Y141:Y149))</f>
        <v>0</v>
      </c>
      <c r="BA10" s="470">
        <f>('TCO TO BE- SW'!Z47+NPV(Faktory!$D$5,'TCO TO BE- SW'!Z48:Z56)+'TCO TO BE- SW'!Z57+NPV(Faktory!$D$5,'TCO TO BE- SW'!Z58:Z66)+'TCO TO BE- SW'!Z67+NPV(Faktory!$D$5,'TCO TO BE- SW'!Z68:Z76)+'TCO TO BE- SW'!Z100+NPV(Faktory!$D$5,'TCO TO BE- SW'!Z101:Z109)+'TCO TO BE- SW'!Z110+NPV(Faktory!$D$5,'TCO TO BE- SW'!Z111:Z119)+'TCO TO BE- SW'!Z130+NPV(Faktory!$D$5,'TCO TO BE- SW'!Z131:Z139)+'TCO TO BE- SW'!Z140+NPV(Faktory!$D$5,'TCO TO BE- SW'!Z141:Z149))</f>
        <v>0</v>
      </c>
    </row>
    <row r="11" spans="1:53">
      <c r="A11" s="458"/>
      <c r="B11" s="458"/>
      <c r="C11" s="459" t="s">
        <v>65</v>
      </c>
      <c r="D11" s="475">
        <f>SUM(E11:Y11)</f>
        <v>0</v>
      </c>
      <c r="E11" s="470">
        <f>SUM('TCO TO BE- SW'!F16:F35)+SUM('TCO TO BE- SW'!F79:F88)</f>
        <v>0</v>
      </c>
      <c r="F11" s="470">
        <f>SUM('TCO TO BE- SW'!G16:G35)+SUM('TCO TO BE- SW'!G79:G88)</f>
        <v>0</v>
      </c>
      <c r="G11" s="470">
        <f>SUM('TCO TO BE- SW'!H16:H35)+SUM('TCO TO BE- SW'!H79:H88)</f>
        <v>0</v>
      </c>
      <c r="H11" s="470">
        <f>SUM('TCO TO BE- SW'!I16:I35)+SUM('TCO TO BE- SW'!I79:I88)</f>
        <v>0</v>
      </c>
      <c r="I11" s="470">
        <f>SUM('TCO TO BE- SW'!J16:J35)+SUM('TCO TO BE- SW'!J79:J88)</f>
        <v>0</v>
      </c>
      <c r="J11" s="470">
        <f>SUM('TCO TO BE- SW'!K16:K35)+SUM('TCO TO BE- SW'!K79:K88)</f>
        <v>0</v>
      </c>
      <c r="K11" s="470">
        <f>SUM('TCO TO BE- SW'!L16:L35)+SUM('TCO TO BE- SW'!L79:L88)</f>
        <v>0</v>
      </c>
      <c r="L11" s="470">
        <f>SUM('TCO TO BE- SW'!M16:M35)+SUM('TCO TO BE- SW'!M79:M88)</f>
        <v>0</v>
      </c>
      <c r="M11" s="470">
        <f>SUM('TCO TO BE- SW'!N16:N35)+SUM('TCO TO BE- SW'!N79:N88)</f>
        <v>0</v>
      </c>
      <c r="N11" s="470">
        <f>SUM('TCO TO BE- SW'!O16:O35)+SUM('TCO TO BE- SW'!O79:O88)</f>
        <v>0</v>
      </c>
      <c r="O11" s="470">
        <f>SUM('TCO TO BE- SW'!P16:P35)+SUM('TCO TO BE- SW'!P79:P88)</f>
        <v>0</v>
      </c>
      <c r="P11" s="470">
        <f>SUM('TCO TO BE- SW'!Q16:Q35)+SUM('TCO TO BE- SW'!Q79:Q88)</f>
        <v>0</v>
      </c>
      <c r="Q11" s="470">
        <f>SUM('TCO TO BE- SW'!R16:R35)+SUM('TCO TO BE- SW'!R79:R88)</f>
        <v>0</v>
      </c>
      <c r="R11" s="470">
        <f>SUM('TCO TO BE- SW'!S16:S35)+SUM('TCO TO BE- SW'!S79:S88)</f>
        <v>0</v>
      </c>
      <c r="S11" s="470">
        <f>SUM('TCO TO BE- SW'!T16:T35)+SUM('TCO TO BE- SW'!T79:T88)</f>
        <v>0</v>
      </c>
      <c r="T11" s="470">
        <f>SUM('TCO TO BE- SW'!U16:U35)+SUM('TCO TO BE- SW'!U79:U88)</f>
        <v>0</v>
      </c>
      <c r="U11" s="470">
        <f>SUM('TCO TO BE- SW'!V16:V35)+SUM('TCO TO BE- SW'!V79:V88)</f>
        <v>0</v>
      </c>
      <c r="V11" s="470">
        <f>SUM('TCO TO BE- SW'!W16:W35)+SUM('TCO TO BE- SW'!W79:W88)</f>
        <v>0</v>
      </c>
      <c r="W11" s="470">
        <f>SUM('TCO TO BE- SW'!X16:X35)+SUM('TCO TO BE- SW'!X79:X88)</f>
        <v>0</v>
      </c>
      <c r="X11" s="470">
        <f>SUM('TCO TO BE- SW'!Y16:Y35)+SUM('TCO TO BE- SW'!Y79:Y88)</f>
        <v>0</v>
      </c>
      <c r="Y11" s="470">
        <f>SUM('TCO TO BE- SW'!Z16:Z35)+SUM('TCO TO BE- SW'!Z79:Z88)</f>
        <v>0</v>
      </c>
      <c r="AC11" s="458"/>
      <c r="AD11" s="458"/>
      <c r="AE11" s="459" t="s">
        <v>65</v>
      </c>
      <c r="AF11" s="470">
        <f>SUM(AG11:BA11)</f>
        <v>0</v>
      </c>
      <c r="AG11" s="470">
        <f>('TCO TO BE- SW'!F16+NPV(Faktory!$D$5,'TCO TO BE- SW'!F17:F25)+'TCO TO BE- SW'!F26+NPV(Faktory!$D$5,'TCO TO BE- SW'!F27:F35)+'TCO TO BE- SW'!F79+NPV(Faktory!$D$5,'TCO TO BE- SW'!F80:F88))</f>
        <v>0</v>
      </c>
      <c r="AH11" s="470">
        <f>('TCO TO BE- SW'!G16+NPV(Faktory!$D$5,'TCO TO BE- SW'!G17:G25)+'TCO TO BE- SW'!G26+NPV(Faktory!$D$5,'TCO TO BE- SW'!G27:G35)+'TCO TO BE- SW'!G79+NPV(Faktory!$D$5,'TCO TO BE- SW'!G80:G88))</f>
        <v>0</v>
      </c>
      <c r="AI11" s="470">
        <f>('TCO TO BE- SW'!H16+NPV(Faktory!$D$5,'TCO TO BE- SW'!H17:H25)+'TCO TO BE- SW'!H26+NPV(Faktory!$D$5,'TCO TO BE- SW'!H27:H35)+'TCO TO BE- SW'!H79+NPV(Faktory!$D$5,'TCO TO BE- SW'!H80:H88))</f>
        <v>0</v>
      </c>
      <c r="AJ11" s="470">
        <f>('TCO TO BE- SW'!I16+NPV(Faktory!$D$5,'TCO TO BE- SW'!I17:I25)+'TCO TO BE- SW'!I26+NPV(Faktory!$D$5,'TCO TO BE- SW'!I27:I35)+'TCO TO BE- SW'!I79+NPV(Faktory!$D$5,'TCO TO BE- SW'!I80:I88))</f>
        <v>0</v>
      </c>
      <c r="AK11" s="470">
        <f>('TCO TO BE- SW'!J16+NPV(Faktory!$D$5,'TCO TO BE- SW'!J17:J25)+'TCO TO BE- SW'!J26+NPV(Faktory!$D$5,'TCO TO BE- SW'!J27:J35)+'TCO TO BE- SW'!J79+NPV(Faktory!$D$5,'TCO TO BE- SW'!J80:J88))</f>
        <v>0</v>
      </c>
      <c r="AL11" s="470">
        <f>('TCO TO BE- SW'!K16+NPV(Faktory!$D$5,'TCO TO BE- SW'!K17:K25)+'TCO TO BE- SW'!K26+NPV(Faktory!$D$5,'TCO TO BE- SW'!K27:K35)+'TCO TO BE- SW'!K79+NPV(Faktory!$D$5,'TCO TO BE- SW'!K80:K88))</f>
        <v>0</v>
      </c>
      <c r="AM11" s="470">
        <f>('TCO TO BE- SW'!L16+NPV(Faktory!$D$5,'TCO TO BE- SW'!L17:L25)+'TCO TO BE- SW'!L26+NPV(Faktory!$D$5,'TCO TO BE- SW'!L27:L35)+'TCO TO BE- SW'!L79+NPV(Faktory!$D$5,'TCO TO BE- SW'!L80:L88))</f>
        <v>0</v>
      </c>
      <c r="AN11" s="470">
        <f>('TCO TO BE- SW'!M16+NPV(Faktory!$D$5,'TCO TO BE- SW'!M17:M25)+'TCO TO BE- SW'!M26+NPV(Faktory!$D$5,'TCO TO BE- SW'!M27:M35)+'TCO TO BE- SW'!M79+NPV(Faktory!$D$5,'TCO TO BE- SW'!M80:M88))</f>
        <v>0</v>
      </c>
      <c r="AO11" s="470">
        <f>('TCO TO BE- SW'!N16+NPV(Faktory!$D$5,'TCO TO BE- SW'!N17:N25)+'TCO TO BE- SW'!N26+NPV(Faktory!$D$5,'TCO TO BE- SW'!N27:N35)+'TCO TO BE- SW'!N79+NPV(Faktory!$D$5,'TCO TO BE- SW'!N80:N88))</f>
        <v>0</v>
      </c>
      <c r="AP11" s="470">
        <f>('TCO TO BE- SW'!O16+NPV(Faktory!$D$5,'TCO TO BE- SW'!O17:O25)+'TCO TO BE- SW'!O26+NPV(Faktory!$D$5,'TCO TO BE- SW'!O27:O35)+'TCO TO BE- SW'!O79+NPV(Faktory!$D$5,'TCO TO BE- SW'!O80:O88))</f>
        <v>0</v>
      </c>
      <c r="AQ11" s="470">
        <f>('TCO TO BE- SW'!P16+NPV(Faktory!$D$5,'TCO TO BE- SW'!P17:P25)+'TCO TO BE- SW'!P26+NPV(Faktory!$D$5,'TCO TO BE- SW'!P27:P35)+'TCO TO BE- SW'!P79+NPV(Faktory!$D$5,'TCO TO BE- SW'!P80:P88))</f>
        <v>0</v>
      </c>
      <c r="AR11" s="470">
        <f>('TCO TO BE- SW'!Q16+NPV(Faktory!$D$5,'TCO TO BE- SW'!Q17:Q25)+'TCO TO BE- SW'!Q26+NPV(Faktory!$D$5,'TCO TO BE- SW'!Q27:Q35)+'TCO TO BE- SW'!Q79+NPV(Faktory!$D$5,'TCO TO BE- SW'!Q80:Q88))</f>
        <v>0</v>
      </c>
      <c r="AS11" s="470">
        <f>('TCO TO BE- SW'!R16+NPV(Faktory!$D$5,'TCO TO BE- SW'!R17:R25)+'TCO TO BE- SW'!R26+NPV(Faktory!$D$5,'TCO TO BE- SW'!R27:R35)+'TCO TO BE- SW'!R79+NPV(Faktory!$D$5,'TCO TO BE- SW'!R80:R88))</f>
        <v>0</v>
      </c>
      <c r="AT11" s="470">
        <f>('TCO TO BE- SW'!S16+NPV(Faktory!$D$5,'TCO TO BE- SW'!S17:S25)+'TCO TO BE- SW'!S26+NPV(Faktory!$D$5,'TCO TO BE- SW'!S27:S35)+'TCO TO BE- SW'!S79+NPV(Faktory!$D$5,'TCO TO BE- SW'!S80:S88))</f>
        <v>0</v>
      </c>
      <c r="AU11" s="470">
        <f>('TCO TO BE- SW'!T16+NPV(Faktory!$D$5,'TCO TO BE- SW'!T17:T25)+'TCO TO BE- SW'!T26+NPV(Faktory!$D$5,'TCO TO BE- SW'!T27:T35)+'TCO TO BE- SW'!T79+NPV(Faktory!$D$5,'TCO TO BE- SW'!T80:T88))</f>
        <v>0</v>
      </c>
      <c r="AV11" s="470">
        <f>('TCO TO BE- SW'!U16+NPV(Faktory!$D$5,'TCO TO BE- SW'!U17:U25)+'TCO TO BE- SW'!U26+NPV(Faktory!$D$5,'TCO TO BE- SW'!U27:U35)+'TCO TO BE- SW'!U79+NPV(Faktory!$D$5,'TCO TO BE- SW'!U80:U88))</f>
        <v>0</v>
      </c>
      <c r="AW11" s="470">
        <f>('TCO TO BE- SW'!V16+NPV(Faktory!$D$5,'TCO TO BE- SW'!V17:V25)+'TCO TO BE- SW'!V26+NPV(Faktory!$D$5,'TCO TO BE- SW'!V27:V35)+'TCO TO BE- SW'!V79+NPV(Faktory!$D$5,'TCO TO BE- SW'!V80:V88))</f>
        <v>0</v>
      </c>
      <c r="AX11" s="470">
        <f>('TCO TO BE- SW'!W16+NPV(Faktory!$D$5,'TCO TO BE- SW'!W17:W25)+'TCO TO BE- SW'!W26+NPV(Faktory!$D$5,'TCO TO BE- SW'!W27:W35)+'TCO TO BE- SW'!W79+NPV(Faktory!$D$5,'TCO TO BE- SW'!W80:W88))</f>
        <v>0</v>
      </c>
      <c r="AY11" s="470">
        <f>('TCO TO BE- SW'!X16+NPV(Faktory!$D$5,'TCO TO BE- SW'!X17:X25)+'TCO TO BE- SW'!X26+NPV(Faktory!$D$5,'TCO TO BE- SW'!X27:X35)+'TCO TO BE- SW'!X79+NPV(Faktory!$D$5,'TCO TO BE- SW'!X80:X88))</f>
        <v>0</v>
      </c>
      <c r="AZ11" s="470">
        <f>('TCO TO BE- SW'!Y16+NPV(Faktory!$D$5,'TCO TO BE- SW'!Y17:Y25)+'TCO TO BE- SW'!Y26+NPV(Faktory!$D$5,'TCO TO BE- SW'!Y27:Y35)+'TCO TO BE- SW'!Y79+NPV(Faktory!$D$5,'TCO TO BE- SW'!Y80:Y88))</f>
        <v>0</v>
      </c>
      <c r="BA11" s="470">
        <f>('TCO TO BE- SW'!Z16+NPV(Faktory!$D$5,'TCO TO BE- SW'!Z17:Z25)+'TCO TO BE- SW'!Z26+NPV(Faktory!$D$5,'TCO TO BE- SW'!Z27:Z35)+'TCO TO BE- SW'!Z79+NPV(Faktory!$D$5,'TCO TO BE- SW'!Z80:Z88))</f>
        <v>0</v>
      </c>
    </row>
    <row r="12" spans="1:53">
      <c r="A12" s="458"/>
      <c r="B12" s="458"/>
      <c r="C12" s="459" t="s">
        <v>64</v>
      </c>
      <c r="D12" s="475">
        <f>SUM(E12:X12)</f>
        <v>0</v>
      </c>
      <c r="E12" s="470">
        <f>SUM('TCO TO BE - HW'!F15:F54)+SUM('TCO TO BE - HW'!F56:F65)+SUM('TCO TO BE - HW'!F76:F105)</f>
        <v>0</v>
      </c>
      <c r="F12" s="470">
        <f>SUM('TCO TO BE - HW'!G15:G54)+SUM('TCO TO BE - HW'!G56:G65)+SUM('TCO TO BE - HW'!G76:G105)</f>
        <v>0</v>
      </c>
      <c r="G12" s="470">
        <f>SUM('TCO TO BE - HW'!H15:H54)+SUM('TCO TO BE - HW'!H56:H65)+SUM('TCO TO BE - HW'!H76:H105)</f>
        <v>0</v>
      </c>
      <c r="H12" s="470">
        <f>SUM('TCO TO BE - HW'!I15:I54)+SUM('TCO TO BE - HW'!I56:I65)+SUM('TCO TO BE - HW'!I76:I105)</f>
        <v>0</v>
      </c>
      <c r="I12" s="470">
        <f>SUM('TCO TO BE - HW'!J15:J54)+SUM('TCO TO BE - HW'!J56:J65)+SUM('TCO TO BE - HW'!J76:J105)</f>
        <v>0</v>
      </c>
      <c r="J12" s="470">
        <f>SUM('TCO TO BE - HW'!K15:K54)+SUM('TCO TO BE - HW'!K56:K65)+SUM('TCO TO BE - HW'!K76:K105)</f>
        <v>0</v>
      </c>
      <c r="K12" s="470">
        <f>SUM('TCO TO BE - HW'!L15:L54)+SUM('TCO TO BE - HW'!L56:L65)+SUM('TCO TO BE - HW'!L76:L105)</f>
        <v>0</v>
      </c>
      <c r="L12" s="470">
        <f>SUM('TCO TO BE - HW'!M15:M54)+SUM('TCO TO BE - HW'!M56:M65)+SUM('TCO TO BE - HW'!M76:M105)</f>
        <v>0</v>
      </c>
      <c r="M12" s="470">
        <f>SUM('TCO TO BE - HW'!N15:N54)+SUM('TCO TO BE - HW'!N56:N65)+SUM('TCO TO BE - HW'!N76:N105)</f>
        <v>0</v>
      </c>
      <c r="N12" s="470">
        <f>SUM('TCO TO BE - HW'!O15:O54)+SUM('TCO TO BE - HW'!O56:O65)+SUM('TCO TO BE - HW'!O76:O105)</f>
        <v>0</v>
      </c>
      <c r="O12" s="470">
        <f>SUM('TCO TO BE - HW'!P15:P54)+SUM('TCO TO BE - HW'!P56:P65)+SUM('TCO TO BE - HW'!P76:P105)</f>
        <v>0</v>
      </c>
      <c r="P12" s="470">
        <f>SUM('TCO TO BE - HW'!Q15:Q54)+SUM('TCO TO BE - HW'!Q56:Q65)+SUM('TCO TO BE - HW'!Q76:Q105)</f>
        <v>0</v>
      </c>
      <c r="Q12" s="470">
        <f>SUM('TCO TO BE - HW'!R15:R54)+SUM('TCO TO BE - HW'!R56:R65)+SUM('TCO TO BE - HW'!R76:R105)</f>
        <v>0</v>
      </c>
      <c r="R12" s="470">
        <f>SUM('TCO TO BE - HW'!S15:S54)+SUM('TCO TO BE - HW'!S56:S65)+SUM('TCO TO BE - HW'!S76:S105)</f>
        <v>0</v>
      </c>
      <c r="S12" s="470">
        <f>SUM('TCO TO BE - HW'!T15:T54)+SUM('TCO TO BE - HW'!T56:T65)+SUM('TCO TO BE - HW'!T76:T105)</f>
        <v>0</v>
      </c>
      <c r="T12" s="470">
        <f>SUM('TCO TO BE - HW'!U15:U54)+SUM('TCO TO BE - HW'!U56:U65)+SUM('TCO TO BE - HW'!U76:U105)</f>
        <v>0</v>
      </c>
      <c r="U12" s="470">
        <f>SUM('TCO TO BE - HW'!V15:V54)+SUM('TCO TO BE - HW'!V56:V65)+SUM('TCO TO BE - HW'!V76:V105)</f>
        <v>0</v>
      </c>
      <c r="V12" s="470">
        <f>SUM('TCO TO BE - HW'!W15:W54)+SUM('TCO TO BE - HW'!W56:W65)+SUM('TCO TO BE - HW'!W76:W105)</f>
        <v>0</v>
      </c>
      <c r="W12" s="470">
        <f>SUM('TCO TO BE - HW'!X15:X54)+SUM('TCO TO BE - HW'!X56:X65)+SUM('TCO TO BE - HW'!X76:X105)</f>
        <v>0</v>
      </c>
      <c r="X12" s="470">
        <f>SUM('TCO TO BE - HW'!Y15:Y54)+SUM('TCO TO BE - HW'!Y56:Y65)+SUM('TCO TO BE - HW'!Y76:Y105)</f>
        <v>0</v>
      </c>
      <c r="Y12" s="470">
        <f>SUM('TCO TO BE - HW'!Z15:Z54)+SUM('TCO TO BE - HW'!Z56:Z65)+SUM('TCO TO BE - HW'!Z76:Z105)</f>
        <v>0</v>
      </c>
      <c r="AC12" s="458"/>
      <c r="AD12" s="458"/>
      <c r="AE12" s="459" t="s">
        <v>64</v>
      </c>
      <c r="AF12" s="470">
        <f>SUM(AG12:AZ12)</f>
        <v>0</v>
      </c>
      <c r="AG12" s="470">
        <f>('TCO TO BE - HW'!F15+NPV(Faktory!$D$5,'TCO TO BE - HW'!F16:F24)+'TCO TO BE - HW'!F56+NPV(Faktory!$D$5,'TCO TO BE - HW'!F57:F65)+'TCO TO BE - HW'!F76+NPV(Faktory!$D$5,'TCO TO BE - HW'!F77:F85)+'TCO TO BE - HW'!F86+NPV(Faktory!$D$5,'TCO TO BE - HW'!F87:F95)+'TCO TO BE - HW'!F96+NPV(Faktory!$D$5,'TCO TO BE - HW'!F97:F105)+('TCO TO BE - HW'!F25+NPV(Faktory!$D$5,'TCO TO BE - HW'!F26:F34)+('TCO TO BE - HW'!F35+NPV(Faktory!$D$5,'TCO TO BE - HW'!F26:F44)+('TCO TO BE - HW'!F45+NPV(Faktory!$D$5,'TCO TO BE - HW'!F46:F54)))))</f>
        <v>0</v>
      </c>
      <c r="AH12" s="470">
        <f>('TCO TO BE - HW'!G15+NPV(Faktory!$D$5,'TCO TO BE - HW'!G16:G24)+'TCO TO BE - HW'!G56+NPV(Faktory!$D$5,'TCO TO BE - HW'!G57:G65)+'TCO TO BE - HW'!G76+NPV(Faktory!$D$5,'TCO TO BE - HW'!G77:G85)+'TCO TO BE - HW'!G86+NPV(Faktory!$D$5,'TCO TO BE - HW'!G87:G95)+'TCO TO BE - HW'!G96+NPV(Faktory!$D$5,'TCO TO BE - HW'!G97:G105)+('TCO TO BE - HW'!G25+NPV(Faktory!$D$5,'TCO TO BE - HW'!G26:G34)+('TCO TO BE - HW'!G35+NPV(Faktory!$D$5,'TCO TO BE - HW'!G26:G44)+('TCO TO BE - HW'!G45+NPV(Faktory!$D$5,'TCO TO BE - HW'!G46:G54)))))</f>
        <v>0</v>
      </c>
      <c r="AI12" s="470">
        <f>('TCO TO BE - HW'!H15+NPV(Faktory!$D$5,'TCO TO BE - HW'!H16:H24)+'TCO TO BE - HW'!H56+NPV(Faktory!$D$5,'TCO TO BE - HW'!H57:H65)+'TCO TO BE - HW'!H76+NPV(Faktory!$D$5,'TCO TO BE - HW'!H77:H85)+'TCO TO BE - HW'!H86+NPV(Faktory!$D$5,'TCO TO BE - HW'!H87:H95)+'TCO TO BE - HW'!H96+NPV(Faktory!$D$5,'TCO TO BE - HW'!H97:H105)+('TCO TO BE - HW'!H25+NPV(Faktory!$D$5,'TCO TO BE - HW'!H26:H34)+('TCO TO BE - HW'!H35+NPV(Faktory!$D$5,'TCO TO BE - HW'!H26:H44)+('TCO TO BE - HW'!H45+NPV(Faktory!$D$5,'TCO TO BE - HW'!H46:H54)))))</f>
        <v>0</v>
      </c>
      <c r="AJ12" s="470">
        <f>('TCO TO BE - HW'!I15+NPV(Faktory!$D$5,'TCO TO BE - HW'!I16:I24)+'TCO TO BE - HW'!I56+NPV(Faktory!$D$5,'TCO TO BE - HW'!I57:I65)+'TCO TO BE - HW'!I76+NPV(Faktory!$D$5,'TCO TO BE - HW'!I77:I85)+'TCO TO BE - HW'!I86+NPV(Faktory!$D$5,'TCO TO BE - HW'!I87:I95)+'TCO TO BE - HW'!I96+NPV(Faktory!$D$5,'TCO TO BE - HW'!I97:I105)+('TCO TO BE - HW'!I25+NPV(Faktory!$D$5,'TCO TO BE - HW'!I26:I34)+('TCO TO BE - HW'!I35+NPV(Faktory!$D$5,'TCO TO BE - HW'!I26:I44)+('TCO TO BE - HW'!I45+NPV(Faktory!$D$5,'TCO TO BE - HW'!I46:I54)))))</f>
        <v>0</v>
      </c>
      <c r="AK12" s="470">
        <f>('TCO TO BE - HW'!J15+NPV(Faktory!$D$5,'TCO TO BE - HW'!J16:J24)+'TCO TO BE - HW'!J56+NPV(Faktory!$D$5,'TCO TO BE - HW'!J57:J65)+'TCO TO BE - HW'!J76+NPV(Faktory!$D$5,'TCO TO BE - HW'!J77:J85)+'TCO TO BE - HW'!J86+NPV(Faktory!$D$5,'TCO TO BE - HW'!J87:J95)+'TCO TO BE - HW'!J96+NPV(Faktory!$D$5,'TCO TO BE - HW'!J97:J105)+('TCO TO BE - HW'!J25+NPV(Faktory!$D$5,'TCO TO BE - HW'!J26:J34)+('TCO TO BE - HW'!J35+NPV(Faktory!$D$5,'TCO TO BE - HW'!J26:J44)+('TCO TO BE - HW'!J45+NPV(Faktory!$D$5,'TCO TO BE - HW'!J46:J54)))))</f>
        <v>0</v>
      </c>
      <c r="AL12" s="470">
        <f>('TCO TO BE - HW'!K15+NPV(Faktory!$D$5,'TCO TO BE - HW'!K16:K24)+'TCO TO BE - HW'!K56+NPV(Faktory!$D$5,'TCO TO BE - HW'!K57:K65)+'TCO TO BE - HW'!K76+NPV(Faktory!$D$5,'TCO TO BE - HW'!K77:K85)+'TCO TO BE - HW'!K86+NPV(Faktory!$D$5,'TCO TO BE - HW'!K87:K95)+'TCO TO BE - HW'!K96+NPV(Faktory!$D$5,'TCO TO BE - HW'!K97:K105)+('TCO TO BE - HW'!K25+NPV(Faktory!$D$5,'TCO TO BE - HW'!K26:K34)+('TCO TO BE - HW'!K35+NPV(Faktory!$D$5,'TCO TO BE - HW'!K26:K44)+('TCO TO BE - HW'!K45+NPV(Faktory!$D$5,'TCO TO BE - HW'!K46:K54)))))</f>
        <v>0</v>
      </c>
      <c r="AM12" s="470">
        <f>('TCO TO BE - HW'!L15+NPV(Faktory!$D$5,'TCO TO BE - HW'!L16:L24)+'TCO TO BE - HW'!L56+NPV(Faktory!$D$5,'TCO TO BE - HW'!L57:L65)+'TCO TO BE - HW'!L76+NPV(Faktory!$D$5,'TCO TO BE - HW'!L77:L85)+'TCO TO BE - HW'!L86+NPV(Faktory!$D$5,'TCO TO BE - HW'!L87:L95)+'TCO TO BE - HW'!L96+NPV(Faktory!$D$5,'TCO TO BE - HW'!L97:L105)+('TCO TO BE - HW'!L25+NPV(Faktory!$D$5,'TCO TO BE - HW'!L26:L34)+('TCO TO BE - HW'!L35+NPV(Faktory!$D$5,'TCO TO BE - HW'!L26:L44)+('TCO TO BE - HW'!L45+NPV(Faktory!$D$5,'TCO TO BE - HW'!L46:L54)))))</f>
        <v>0</v>
      </c>
      <c r="AN12" s="470">
        <f>('TCO TO BE - HW'!M15+NPV(Faktory!$D$5,'TCO TO BE - HW'!M16:M24)+'TCO TO BE - HW'!M56+NPV(Faktory!$D$5,'TCO TO BE - HW'!M57:M65)+'TCO TO BE - HW'!M76+NPV(Faktory!$D$5,'TCO TO BE - HW'!M77:M85)+'TCO TO BE - HW'!M86+NPV(Faktory!$D$5,'TCO TO BE - HW'!M87:M95)+'TCO TO BE - HW'!M96+NPV(Faktory!$D$5,'TCO TO BE - HW'!M97:M105)+('TCO TO BE - HW'!M25+NPV(Faktory!$D$5,'TCO TO BE - HW'!M26:M34)+('TCO TO BE - HW'!M35+NPV(Faktory!$D$5,'TCO TO BE - HW'!M26:M44)+('TCO TO BE - HW'!M45+NPV(Faktory!$D$5,'TCO TO BE - HW'!M46:M54)))))</f>
        <v>0</v>
      </c>
      <c r="AO12" s="470">
        <f>('TCO TO BE - HW'!N15+NPV(Faktory!$D$5,'TCO TO BE - HW'!N16:N24)+'TCO TO BE - HW'!N56+NPV(Faktory!$D$5,'TCO TO BE - HW'!N57:N65)+'TCO TO BE - HW'!N76+NPV(Faktory!$D$5,'TCO TO BE - HW'!N77:N85)+'TCO TO BE - HW'!N86+NPV(Faktory!$D$5,'TCO TO BE - HW'!N87:N95)+'TCO TO BE - HW'!N96+NPV(Faktory!$D$5,'TCO TO BE - HW'!N97:N105)+('TCO TO BE - HW'!N25+NPV(Faktory!$D$5,'TCO TO BE - HW'!N26:N34)+('TCO TO BE - HW'!N35+NPV(Faktory!$D$5,'TCO TO BE - HW'!N26:N44)+('TCO TO BE - HW'!N45+NPV(Faktory!$D$5,'TCO TO BE - HW'!N46:N54)))))</f>
        <v>0</v>
      </c>
      <c r="AP12" s="470">
        <f>('TCO TO BE - HW'!O15+NPV(Faktory!$D$5,'TCO TO BE - HW'!O16:O24)+'TCO TO BE - HW'!O56+NPV(Faktory!$D$5,'TCO TO BE - HW'!O57:O65)+'TCO TO BE - HW'!O76+NPV(Faktory!$D$5,'TCO TO BE - HW'!O77:O85)+'TCO TO BE - HW'!O86+NPV(Faktory!$D$5,'TCO TO BE - HW'!O87:O95)+'TCO TO BE - HW'!O96+NPV(Faktory!$D$5,'TCO TO BE - HW'!O97:O105)+('TCO TO BE - HW'!O25+NPV(Faktory!$D$5,'TCO TO BE - HW'!O26:O34)+('TCO TO BE - HW'!O35+NPV(Faktory!$D$5,'TCO TO BE - HW'!O26:O44)+('TCO TO BE - HW'!O45+NPV(Faktory!$D$5,'TCO TO BE - HW'!O46:O54)))))</f>
        <v>0</v>
      </c>
      <c r="AQ12" s="470">
        <f>('TCO TO BE - HW'!P15+NPV(Faktory!$D$5,'TCO TO BE - HW'!P16:P24)+'TCO TO BE - HW'!P56+NPV(Faktory!$D$5,'TCO TO BE - HW'!P57:P65)+'TCO TO BE - HW'!P76+NPV(Faktory!$D$5,'TCO TO BE - HW'!P77:P85)+'TCO TO BE - HW'!P86+NPV(Faktory!$D$5,'TCO TO BE - HW'!P87:P95)+'TCO TO BE - HW'!P96+NPV(Faktory!$D$5,'TCO TO BE - HW'!P97:P105)+('TCO TO BE - HW'!P25+NPV(Faktory!$D$5,'TCO TO BE - HW'!P26:P34)+('TCO TO BE - HW'!P35+NPV(Faktory!$D$5,'TCO TO BE - HW'!P26:P44)+('TCO TO BE - HW'!P45+NPV(Faktory!$D$5,'TCO TO BE - HW'!P46:P54)))))</f>
        <v>0</v>
      </c>
      <c r="AR12" s="470">
        <f>('TCO TO BE - HW'!Q15+NPV(Faktory!$D$5,'TCO TO BE - HW'!Q16:Q24)+'TCO TO BE - HW'!Q56+NPV(Faktory!$D$5,'TCO TO BE - HW'!Q57:Q65)+'TCO TO BE - HW'!Q76+NPV(Faktory!$D$5,'TCO TO BE - HW'!Q77:Q85)+'TCO TO BE - HW'!Q86+NPV(Faktory!$D$5,'TCO TO BE - HW'!Q87:Q95)+'TCO TO BE - HW'!Q96+NPV(Faktory!$D$5,'TCO TO BE - HW'!Q97:Q105)+('TCO TO BE - HW'!Q25+NPV(Faktory!$D$5,'TCO TO BE - HW'!Q26:Q34)+('TCO TO BE - HW'!Q35+NPV(Faktory!$D$5,'TCO TO BE - HW'!Q26:Q44)+('TCO TO BE - HW'!Q45+NPV(Faktory!$D$5,'TCO TO BE - HW'!Q46:Q54)))))</f>
        <v>0</v>
      </c>
      <c r="AS12" s="470">
        <f>('TCO TO BE - HW'!R15+NPV(Faktory!$D$5,'TCO TO BE - HW'!R16:R24)+'TCO TO BE - HW'!R56+NPV(Faktory!$D$5,'TCO TO BE - HW'!R57:R65)+'TCO TO BE - HW'!R76+NPV(Faktory!$D$5,'TCO TO BE - HW'!R77:R85)+'TCO TO BE - HW'!R86+NPV(Faktory!$D$5,'TCO TO BE - HW'!R87:R95)+'TCO TO BE - HW'!R96+NPV(Faktory!$D$5,'TCO TO BE - HW'!R97:R105)+('TCO TO BE - HW'!R25+NPV(Faktory!$D$5,'TCO TO BE - HW'!R26:R34)+('TCO TO BE - HW'!R35+NPV(Faktory!$D$5,'TCO TO BE - HW'!R26:R44)+('TCO TO BE - HW'!R45+NPV(Faktory!$D$5,'TCO TO BE - HW'!R46:R54)))))</f>
        <v>0</v>
      </c>
      <c r="AT12" s="470">
        <f>('TCO TO BE - HW'!S15+NPV(Faktory!$D$5,'TCO TO BE - HW'!S16:S24)+'TCO TO BE - HW'!S56+NPV(Faktory!$D$5,'TCO TO BE - HW'!S57:S65)+'TCO TO BE - HW'!S76+NPV(Faktory!$D$5,'TCO TO BE - HW'!S77:S85)+'TCO TO BE - HW'!S86+NPV(Faktory!$D$5,'TCO TO BE - HW'!S87:S95)+'TCO TO BE - HW'!S96+NPV(Faktory!$D$5,'TCO TO BE - HW'!S97:S105)+('TCO TO BE - HW'!S25+NPV(Faktory!$D$5,'TCO TO BE - HW'!S26:S34)+('TCO TO BE - HW'!S35+NPV(Faktory!$D$5,'TCO TO BE - HW'!S26:S44)+('TCO TO BE - HW'!S45+NPV(Faktory!$D$5,'TCO TO BE - HW'!S46:S54)))))</f>
        <v>0</v>
      </c>
      <c r="AU12" s="470">
        <f>('TCO TO BE - HW'!T15+NPV(Faktory!$D$5,'TCO TO BE - HW'!T16:T24)+'TCO TO BE - HW'!T56+NPV(Faktory!$D$5,'TCO TO BE - HW'!T57:T65)+'TCO TO BE - HW'!T76+NPV(Faktory!$D$5,'TCO TO BE - HW'!T77:T85)+'TCO TO BE - HW'!T86+NPV(Faktory!$D$5,'TCO TO BE - HW'!T87:T95)+'TCO TO BE - HW'!T96+NPV(Faktory!$D$5,'TCO TO BE - HW'!T97:T105)+('TCO TO BE - HW'!T25+NPV(Faktory!$D$5,'TCO TO BE - HW'!T26:T34)+('TCO TO BE - HW'!T35+NPV(Faktory!$D$5,'TCO TO BE - HW'!T26:T44)+('TCO TO BE - HW'!T45+NPV(Faktory!$D$5,'TCO TO BE - HW'!T46:T54)))))</f>
        <v>0</v>
      </c>
      <c r="AV12" s="470">
        <f>('TCO TO BE - HW'!U15+NPV(Faktory!$D$5,'TCO TO BE - HW'!U16:U24)+'TCO TO BE - HW'!U56+NPV(Faktory!$D$5,'TCO TO BE - HW'!U57:U65)+'TCO TO BE - HW'!U76+NPV(Faktory!$D$5,'TCO TO BE - HW'!U77:U85)+'TCO TO BE - HW'!U86+NPV(Faktory!$D$5,'TCO TO BE - HW'!U87:U95)+'TCO TO BE - HW'!U96+NPV(Faktory!$D$5,'TCO TO BE - HW'!U97:U105)+('TCO TO BE - HW'!U25+NPV(Faktory!$D$5,'TCO TO BE - HW'!U26:U34)+('TCO TO BE - HW'!U35+NPV(Faktory!$D$5,'TCO TO BE - HW'!U26:U44)+('TCO TO BE - HW'!U45+NPV(Faktory!$D$5,'TCO TO BE - HW'!U46:U54)))))</f>
        <v>0</v>
      </c>
      <c r="AW12" s="470">
        <f>('TCO TO BE - HW'!V15+NPV(Faktory!$D$5,'TCO TO BE - HW'!V16:V24)+'TCO TO BE - HW'!V56+NPV(Faktory!$D$5,'TCO TO BE - HW'!V57:V65)+'TCO TO BE - HW'!V76+NPV(Faktory!$D$5,'TCO TO BE - HW'!V77:V85)+'TCO TO BE - HW'!V86+NPV(Faktory!$D$5,'TCO TO BE - HW'!V87:V95)+'TCO TO BE - HW'!V96+NPV(Faktory!$D$5,'TCO TO BE - HW'!V97:V105)+('TCO TO BE - HW'!V25+NPV(Faktory!$D$5,'TCO TO BE - HW'!V26:V34)+('TCO TO BE - HW'!V35+NPV(Faktory!$D$5,'TCO TO BE - HW'!V26:V44)+('TCO TO BE - HW'!V45+NPV(Faktory!$D$5,'TCO TO BE - HW'!V46:V54)))))</f>
        <v>0</v>
      </c>
      <c r="AX12" s="470">
        <f>('TCO TO BE - HW'!W15+NPV(Faktory!$D$5,'TCO TO BE - HW'!W16:W24)+'TCO TO BE - HW'!W56+NPV(Faktory!$D$5,'TCO TO BE - HW'!W57:W65)+'TCO TO BE - HW'!W76+NPV(Faktory!$D$5,'TCO TO BE - HW'!W77:W85)+'TCO TO BE - HW'!W86+NPV(Faktory!$D$5,'TCO TO BE - HW'!W87:W95)+'TCO TO BE - HW'!W96+NPV(Faktory!$D$5,'TCO TO BE - HW'!W97:W105)+('TCO TO BE - HW'!W25+NPV(Faktory!$D$5,'TCO TO BE - HW'!W26:W34)+('TCO TO BE - HW'!W35+NPV(Faktory!$D$5,'TCO TO BE - HW'!W26:W44)+('TCO TO BE - HW'!W45+NPV(Faktory!$D$5,'TCO TO BE - HW'!W46:W54)))))</f>
        <v>0</v>
      </c>
      <c r="AY12" s="470">
        <f>('TCO TO BE - HW'!X15+NPV(Faktory!$D$5,'TCO TO BE - HW'!X16:X24)+'TCO TO BE - HW'!X56+NPV(Faktory!$D$5,'TCO TO BE - HW'!X57:X65)+'TCO TO BE - HW'!X76+NPV(Faktory!$D$5,'TCO TO BE - HW'!X77:X85)+'TCO TO BE - HW'!X86+NPV(Faktory!$D$5,'TCO TO BE - HW'!X87:X95)+'TCO TO BE - HW'!X96+NPV(Faktory!$D$5,'TCO TO BE - HW'!X97:X105)+('TCO TO BE - HW'!X25+NPV(Faktory!$D$5,'TCO TO BE - HW'!X26:X34)+('TCO TO BE - HW'!X35+NPV(Faktory!$D$5,'TCO TO BE - HW'!X26:X44)+('TCO TO BE - HW'!X45+NPV(Faktory!$D$5,'TCO TO BE - HW'!X46:X54)))))</f>
        <v>0</v>
      </c>
      <c r="AZ12" s="470">
        <f>('TCO TO BE - HW'!Y15+NPV(Faktory!$D$5,'TCO TO BE - HW'!Y16:Y24)+'TCO TO BE - HW'!Y56+NPV(Faktory!$D$5,'TCO TO BE - HW'!Y57:Y65)+'TCO TO BE - HW'!Y76+NPV(Faktory!$D$5,'TCO TO BE - HW'!Y77:Y85)+'TCO TO BE - HW'!Y86+NPV(Faktory!$D$5,'TCO TO BE - HW'!Y87:Y95)+'TCO TO BE - HW'!Y96+NPV(Faktory!$D$5,'TCO TO BE - HW'!Y97:Y105)+('TCO TO BE - HW'!Y25+NPV(Faktory!$D$5,'TCO TO BE - HW'!Y26:Y34)+('TCO TO BE - HW'!Y35+NPV(Faktory!$D$5,'TCO TO BE - HW'!Y26:Y44)+('TCO TO BE - HW'!Y45+NPV(Faktory!$D$5,'TCO TO BE - HW'!Y46:Y54)))))</f>
        <v>0</v>
      </c>
      <c r="BA12" s="470">
        <f>('TCO TO BE - HW'!Z15+NPV(Faktory!$D$5,'TCO TO BE - HW'!Z16:Z24)+'TCO TO BE - HW'!Z56+NPV(Faktory!$D$5,'TCO TO BE - HW'!Z57:Z65)+'TCO TO BE - HW'!Z76+NPV(Faktory!$D$5,'TCO TO BE - HW'!Z77:Z85)+'TCO TO BE - HW'!Z86+NPV(Faktory!$D$5,'TCO TO BE - HW'!Z87:Z95)+'TCO TO BE - HW'!Z96+NPV(Faktory!$D$5,'TCO TO BE - HW'!Z97:Z105)+('TCO TO BE - HW'!Z25+NPV(Faktory!$D$5,'TCO TO BE - HW'!Z26:Z34)+('TCO TO BE - HW'!Z35+NPV(Faktory!$D$5,'TCO TO BE - HW'!Z26:Z44)+('TCO TO BE - HW'!Z45+NPV(Faktory!$D$5,'TCO TO BE - HW'!Z46:Z54)))))</f>
        <v>0</v>
      </c>
    </row>
    <row r="13" spans="1:53">
      <c r="A13" s="458"/>
      <c r="B13" s="456" t="s">
        <v>233</v>
      </c>
      <c r="C13" s="456"/>
      <c r="D13" s="457">
        <f>SUM(E13:Y13)</f>
        <v>630460.53392000007</v>
      </c>
      <c r="E13" s="457">
        <f>'TCO TO BE- SW'!F150</f>
        <v>37731.079311567257</v>
      </c>
      <c r="F13" s="457">
        <f>'TCO TO BE- SW'!G150</f>
        <v>127199.1503900642</v>
      </c>
      <c r="G13" s="457">
        <f>'TCO TO BE- SW'!H150</f>
        <v>167756.1169855723</v>
      </c>
      <c r="H13" s="457">
        <f>'TCO TO BE- SW'!I150</f>
        <v>24998.431624874149</v>
      </c>
      <c r="I13" s="457">
        <f>'TCO TO BE- SW'!J150</f>
        <v>75037.737033578087</v>
      </c>
      <c r="J13" s="457">
        <f>'TCO TO BE- SW'!K150</f>
        <v>21051.310841999279</v>
      </c>
      <c r="K13" s="457">
        <f>'TCO TO BE- SW'!L150</f>
        <v>6960.5140687255689</v>
      </c>
      <c r="L13" s="457">
        <f>'TCO TO BE- SW'!M150</f>
        <v>5941.9022537901201</v>
      </c>
      <c r="M13" s="457">
        <f>'TCO TO BE- SW'!N150</f>
        <v>17358.843012858277</v>
      </c>
      <c r="N13" s="457">
        <f>'TCO TO BE- SW'!O150</f>
        <v>20669.331411398489</v>
      </c>
      <c r="O13" s="457">
        <f>'TCO TO BE- SW'!P150</f>
        <v>4711.0796440764525</v>
      </c>
      <c r="P13" s="457">
        <f>'TCO TO BE- SW'!Q150</f>
        <v>1061.0539738910929</v>
      </c>
      <c r="Q13" s="457">
        <f>'TCO TO BE- SW'!R150</f>
        <v>8361.1053142618111</v>
      </c>
      <c r="R13" s="457">
        <f>'TCO TO BE- SW'!S150</f>
        <v>5729.6914590119013</v>
      </c>
      <c r="S13" s="457">
        <f>'TCO TO BE- SW'!T150</f>
        <v>17146.63221808006</v>
      </c>
      <c r="T13" s="457">
        <f>'TCO TO BE- SW'!U150</f>
        <v>13369.280071027772</v>
      </c>
      <c r="U13" s="457">
        <f>'TCO TO BE- SW'!V150</f>
        <v>11544.267235935089</v>
      </c>
      <c r="V13" s="457">
        <f>'TCO TO BE- SW'!W150</f>
        <v>25465.295373386223</v>
      </c>
      <c r="W13" s="457">
        <f>'TCO TO BE- SW'!X150</f>
        <v>38367.711695901911</v>
      </c>
      <c r="X13" s="457">
        <f>'TCO TO BE- SW'!Y150</f>
        <v>0</v>
      </c>
      <c r="Y13" s="457">
        <f>'TCO TO BE- SW'!Z150</f>
        <v>0</v>
      </c>
      <c r="AC13" s="458"/>
      <c r="AD13" s="456" t="s">
        <v>233</v>
      </c>
      <c r="AE13" s="456"/>
      <c r="AF13" s="457">
        <f>SUM(AG13:BA13)</f>
        <v>600915.14230772515</v>
      </c>
      <c r="AG13" s="460">
        <f>'TCO TO BE- SW'!F151+NPV(Faktory!$D$5,'TCO TO BE- SW'!F152:F160)+'TCO TO BE- SW'!F161+NPV(Faktory!$D$5,'TCO TO BE- SW'!F162:F170)</f>
        <v>35962.880583436367</v>
      </c>
      <c r="AH13" s="460">
        <f>'TCO TO BE- SW'!G151+NPV(Faktory!$D$5,'TCO TO BE- SW'!G152:G160)+'TCO TO BE- SW'!G161+NPV(Faktory!$D$5,'TCO TO BE- SW'!G162:G170)</f>
        <v>121238.1924730695</v>
      </c>
      <c r="AI13" s="460">
        <f>'TCO TO BE- SW'!H151+NPV(Faktory!$D$5,'TCO TO BE- SW'!H152:H160)+'TCO TO BE- SW'!H161+NPV(Faktory!$D$5,'TCO TO BE- SW'!H162:H170)</f>
        <v>159894.53024853111</v>
      </c>
      <c r="AJ13" s="460">
        <f>'TCO TO BE- SW'!I151+NPV(Faktory!$D$5,'TCO TO BE- SW'!I152:I160)+'TCO TO BE- SW'!I161+NPV(Faktory!$D$5,'TCO TO BE- SW'!I162:I170)</f>
        <v>23826.92538092691</v>
      </c>
      <c r="AK13" s="460">
        <f>'TCO TO BE- SW'!J151+NPV(Faktory!$D$5,'TCO TO BE- SW'!J152:J160)+'TCO TO BE- SW'!J161+NPV(Faktory!$D$5,'TCO TO BE- SW'!J162:J170)</f>
        <v>71521.229326789078</v>
      </c>
      <c r="AL13" s="460">
        <f>'TCO TO BE- SW'!K151+NPV(Faktory!$D$5,'TCO TO BE- SW'!K152:K160)+'TCO TO BE- SW'!K161+NPV(Faktory!$D$5,'TCO TO BE- SW'!K162:K170)</f>
        <v>20064.779268148974</v>
      </c>
      <c r="AM13" s="460">
        <f>'TCO TO BE- SW'!L151+NPV(Faktory!$D$5,'TCO TO BE- SW'!L152:L160)+'TCO TO BE- SW'!L161+NPV(Faktory!$D$5,'TCO TO BE- SW'!L162:L170)</f>
        <v>6634.3221773718387</v>
      </c>
      <c r="AN13" s="460">
        <f>'TCO TO BE- SW'!M151+NPV(Faktory!$D$5,'TCO TO BE- SW'!M152:M160)+'TCO TO BE- SW'!M161+NPV(Faktory!$D$5,'TCO TO BE- SW'!M162:M170)</f>
        <v>5663.4457611710823</v>
      </c>
      <c r="AO13" s="460">
        <f>'TCO TO BE- SW'!N151+NPV(Faktory!$D$5,'TCO TO BE- SW'!N152:N160)+'TCO TO BE- SW'!N161+NPV(Faktory!$D$5,'TCO TO BE- SW'!N162:N170)</f>
        <v>16545.352259421234</v>
      </c>
      <c r="AP13" s="460">
        <f>'TCO TO BE- SW'!O151+NPV(Faktory!$D$5,'TCO TO BE- SW'!O152:O160)+'TCO TO BE- SW'!O161+NPV(Faktory!$D$5,'TCO TO BE- SW'!O162:O170)</f>
        <v>19700.700612073691</v>
      </c>
      <c r="AQ13" s="460">
        <f>'TCO TO BE- SW'!P151+NPV(Faktory!$D$5,'TCO TO BE- SW'!P152:P160)+'TCO TO BE- SW'!P161+NPV(Faktory!$D$5,'TCO TO BE- SW'!P162:P170)</f>
        <v>4490.3034249285001</v>
      </c>
      <c r="AR13" s="460">
        <f>'TCO TO BE- SW'!Q151+NPV(Faktory!$D$5,'TCO TO BE- SW'!Q152:Q160)+'TCO TO BE- SW'!Q161+NPV(Faktory!$D$5,'TCO TO BE- SW'!Q162:Q170)</f>
        <v>1011.3296002091217</v>
      </c>
      <c r="AS13" s="460">
        <f>'TCO TO BE- SW'!R151+NPV(Faktory!$D$5,'TCO TO BE- SW'!R152:R160)+'TCO TO BE- SW'!R161+NPV(Faktory!$D$5,'TCO TO BE- SW'!R162:R170)</f>
        <v>7969.2772496478783</v>
      </c>
      <c r="AT13" s="460">
        <f>'TCO TO BE- SW'!S151+NPV(Faktory!$D$5,'TCO TO BE- SW'!S152:S160)+'TCO TO BE- SW'!S161+NPV(Faktory!$D$5,'TCO TO BE- SW'!S162:S170)</f>
        <v>5461.1798411292566</v>
      </c>
      <c r="AU13" s="460">
        <f>'TCO TO BE- SW'!T151+NPV(Faktory!$D$5,'TCO TO BE- SW'!T152:T160)+'TCO TO BE- SW'!T161+NPV(Faktory!$D$5,'TCO TO BE- SW'!T162:T170)</f>
        <v>16343.086339379406</v>
      </c>
      <c r="AV13" s="460">
        <f>'TCO TO BE- SW'!U151+NPV(Faktory!$D$5,'TCO TO BE- SW'!U152:U160)+'TCO TO BE- SW'!U161+NPV(Faktory!$D$5,'TCO TO BE- SW'!U162:U170)</f>
        <v>12742.752962634935</v>
      </c>
      <c r="AW13" s="460">
        <f>'TCO TO BE- SW'!V151+NPV(Faktory!$D$5,'TCO TO BE- SW'!V152:V160)+'TCO TO BE- SW'!V161+NPV(Faktory!$D$5,'TCO TO BE- SW'!V162:V170)</f>
        <v>11003.266050275244</v>
      </c>
      <c r="AX13" s="460">
        <f>'TCO TO BE- SW'!W151+NPV(Faktory!$D$5,'TCO TO BE- SW'!W152:W160)+'TCO TO BE- SW'!W161+NPV(Faktory!$D$5,'TCO TO BE- SW'!W162:W170)</f>
        <v>24271.910405018916</v>
      </c>
      <c r="AY13" s="460">
        <f>'TCO TO BE- SW'!X151+NPV(Faktory!$D$5,'TCO TO BE- SW'!X152:X160)+'TCO TO BE- SW'!X161+NPV(Faktory!$D$5,'TCO TO BE- SW'!X162:X170)</f>
        <v>36569.678343561834</v>
      </c>
      <c r="AZ13" s="460">
        <f>'TCO TO BE- SW'!Y151+NPV(Faktory!$D$5,'TCO TO BE- SW'!Y152:Y160)+'TCO TO BE- SW'!Y161+NPV(Faktory!$D$5,'TCO TO BE- SW'!Y162:Y170)</f>
        <v>0</v>
      </c>
      <c r="BA13" s="460">
        <f>'TCO TO BE- SW'!Z151+NPV(Faktory!$D$5,'TCO TO BE- SW'!Z152:Z160)+'TCO TO BE- SW'!Z161+NPV(Faktory!$D$5,'TCO TO BE- SW'!Z162:Z170)</f>
        <v>0</v>
      </c>
    </row>
    <row r="14" spans="1:53">
      <c r="A14" s="458"/>
      <c r="B14" s="456" t="s">
        <v>246</v>
      </c>
      <c r="C14" s="456"/>
      <c r="D14" s="457">
        <f>SUM(E14:Y14)</f>
        <v>0</v>
      </c>
      <c r="E14" s="457">
        <f>'TCO TO BE- SW'!F171</f>
        <v>0</v>
      </c>
      <c r="F14" s="457">
        <f>'TCO TO BE- SW'!G171</f>
        <v>0</v>
      </c>
      <c r="G14" s="457">
        <f>'TCO TO BE- SW'!H171</f>
        <v>0</v>
      </c>
      <c r="H14" s="457">
        <f>'TCO TO BE- SW'!I171</f>
        <v>0</v>
      </c>
      <c r="I14" s="457">
        <f>'TCO TO BE- SW'!J171</f>
        <v>0</v>
      </c>
      <c r="J14" s="457">
        <f>'TCO TO BE- SW'!K171</f>
        <v>0</v>
      </c>
      <c r="K14" s="457">
        <f>'TCO TO BE- SW'!L171</f>
        <v>0</v>
      </c>
      <c r="L14" s="457">
        <f>'TCO TO BE- SW'!M171</f>
        <v>0</v>
      </c>
      <c r="M14" s="457">
        <f>'TCO TO BE- SW'!N171</f>
        <v>0</v>
      </c>
      <c r="N14" s="457">
        <f>'TCO TO BE- SW'!O171</f>
        <v>0</v>
      </c>
      <c r="O14" s="457">
        <f>'TCO TO BE- SW'!P171</f>
        <v>0</v>
      </c>
      <c r="P14" s="457">
        <f>'TCO TO BE- SW'!Q171</f>
        <v>0</v>
      </c>
      <c r="Q14" s="457">
        <f>'TCO TO BE- SW'!R171</f>
        <v>0</v>
      </c>
      <c r="R14" s="457">
        <f>'TCO TO BE- SW'!S171</f>
        <v>0</v>
      </c>
      <c r="S14" s="457">
        <f>'TCO TO BE- SW'!T171</f>
        <v>0</v>
      </c>
      <c r="T14" s="457">
        <f>'TCO TO BE- SW'!U171</f>
        <v>0</v>
      </c>
      <c r="U14" s="457">
        <f>'TCO TO BE- SW'!V171</f>
        <v>0</v>
      </c>
      <c r="V14" s="457">
        <f>'TCO TO BE- SW'!W171</f>
        <v>0</v>
      </c>
      <c r="W14" s="457">
        <f>'TCO TO BE- SW'!X171</f>
        <v>0</v>
      </c>
      <c r="X14" s="457">
        <f>'TCO TO BE- SW'!Y171</f>
        <v>0</v>
      </c>
      <c r="Y14" s="457">
        <f>'TCO TO BE- SW'!Z171</f>
        <v>0</v>
      </c>
      <c r="AC14" s="458"/>
      <c r="AD14" s="456" t="s">
        <v>246</v>
      </c>
      <c r="AE14" s="456"/>
      <c r="AF14" s="457">
        <f>SUM(AG14:BA14)</f>
        <v>0</v>
      </c>
      <c r="AG14" s="460">
        <f>'TCO TO BE- SW'!F172+NPV(Faktory!$D$5,'TCO TO BE- SW'!F173:F181)+'TCO TO BE- SW'!F182+NPV(Faktory!$D$5,'TCO TO BE- SW'!F183:F191)</f>
        <v>0</v>
      </c>
      <c r="AH14" s="460">
        <f>'TCO TO BE- SW'!G172+NPV(Faktory!$D$5,'TCO TO BE- SW'!G173:G181)+'TCO TO BE- SW'!G182+NPV(Faktory!$D$5,'TCO TO BE- SW'!G183:G191)</f>
        <v>0</v>
      </c>
      <c r="AI14" s="460">
        <f>'TCO TO BE- SW'!H172+NPV(Faktory!$D$5,'TCO TO BE- SW'!H173:H181)+'TCO TO BE- SW'!H182+NPV(Faktory!$D$5,'TCO TO BE- SW'!H183:H191)</f>
        <v>0</v>
      </c>
      <c r="AJ14" s="460">
        <f>'TCO TO BE- SW'!I172+NPV(Faktory!$D$5,'TCO TO BE- SW'!I173:I181)+'TCO TO BE- SW'!I182+NPV(Faktory!$D$5,'TCO TO BE- SW'!I183:I191)</f>
        <v>0</v>
      </c>
      <c r="AK14" s="460">
        <f>'TCO TO BE- SW'!J172+NPV(Faktory!$D$5,'TCO TO BE- SW'!J173:J181)+'TCO TO BE- SW'!J182+NPV(Faktory!$D$5,'TCO TO BE- SW'!J183:J191)</f>
        <v>0</v>
      </c>
      <c r="AL14" s="460">
        <f>'TCO TO BE- SW'!K172+NPV(Faktory!$D$5,'TCO TO BE- SW'!K173:K181)+'TCO TO BE- SW'!K182+NPV(Faktory!$D$5,'TCO TO BE- SW'!K183:K191)</f>
        <v>0</v>
      </c>
      <c r="AM14" s="460">
        <f>'TCO TO BE- SW'!L172+NPV(Faktory!$D$5,'TCO TO BE- SW'!L173:L181)+'TCO TO BE- SW'!L182+NPV(Faktory!$D$5,'TCO TO BE- SW'!L183:L191)</f>
        <v>0</v>
      </c>
      <c r="AN14" s="460">
        <f>'TCO TO BE- SW'!M172+NPV(Faktory!$D$5,'TCO TO BE- SW'!M173:M181)+'TCO TO BE- SW'!M182+NPV(Faktory!$D$5,'TCO TO BE- SW'!M183:M191)</f>
        <v>0</v>
      </c>
      <c r="AO14" s="460">
        <f>'TCO TO BE- SW'!N172+NPV(Faktory!$D$5,'TCO TO BE- SW'!N173:N181)+'TCO TO BE- SW'!N182+NPV(Faktory!$D$5,'TCO TO BE- SW'!N183:N191)</f>
        <v>0</v>
      </c>
      <c r="AP14" s="460">
        <f>'TCO TO BE- SW'!O172+NPV(Faktory!$D$5,'TCO TO BE- SW'!O173:O181)+'TCO TO BE- SW'!O182+NPV(Faktory!$D$5,'TCO TO BE- SW'!O183:O191)</f>
        <v>0</v>
      </c>
      <c r="AQ14" s="460">
        <f>'TCO TO BE- SW'!P172+NPV(Faktory!$D$5,'TCO TO BE- SW'!P173:P181)+'TCO TO BE- SW'!P182+NPV(Faktory!$D$5,'TCO TO BE- SW'!P183:P191)</f>
        <v>0</v>
      </c>
      <c r="AR14" s="460">
        <f>'TCO TO BE- SW'!Q172+NPV(Faktory!$D$5,'TCO TO BE- SW'!Q173:Q181)+'TCO TO BE- SW'!Q182+NPV(Faktory!$D$5,'TCO TO BE- SW'!Q183:Q191)</f>
        <v>0</v>
      </c>
      <c r="AS14" s="460">
        <f>'TCO TO BE- SW'!R172+NPV(Faktory!$D$5,'TCO TO BE- SW'!R173:R181)+'TCO TO BE- SW'!R182+NPV(Faktory!$D$5,'TCO TO BE- SW'!R183:R191)</f>
        <v>0</v>
      </c>
      <c r="AT14" s="460">
        <f>'TCO TO BE- SW'!S172+NPV(Faktory!$D$5,'TCO TO BE- SW'!S173:S181)+'TCO TO BE- SW'!S182+NPV(Faktory!$D$5,'TCO TO BE- SW'!S183:S191)</f>
        <v>0</v>
      </c>
      <c r="AU14" s="460">
        <f>'TCO TO BE- SW'!T172+NPV(Faktory!$D$5,'TCO TO BE- SW'!T173:T181)+'TCO TO BE- SW'!T182+NPV(Faktory!$D$5,'TCO TO BE- SW'!T183:T191)</f>
        <v>0</v>
      </c>
      <c r="AV14" s="460">
        <f>'TCO TO BE- SW'!U172+NPV(Faktory!$D$5,'TCO TO BE- SW'!U173:U181)+'TCO TO BE- SW'!U182+NPV(Faktory!$D$5,'TCO TO BE- SW'!U183:U191)</f>
        <v>0</v>
      </c>
      <c r="AW14" s="460">
        <f>'TCO TO BE- SW'!V172+NPV(Faktory!$D$5,'TCO TO BE- SW'!V173:V181)+'TCO TO BE- SW'!V182+NPV(Faktory!$D$5,'TCO TO BE- SW'!V183:V191)</f>
        <v>0</v>
      </c>
      <c r="AX14" s="460">
        <f>'TCO TO BE- SW'!W172+NPV(Faktory!$D$5,'TCO TO BE- SW'!W173:W181)+'TCO TO BE- SW'!W182+NPV(Faktory!$D$5,'TCO TO BE- SW'!W183:W191)</f>
        <v>0</v>
      </c>
      <c r="AY14" s="460">
        <f>'TCO TO BE- SW'!X172+NPV(Faktory!$D$5,'TCO TO BE- SW'!X173:X181)+'TCO TO BE- SW'!X182+NPV(Faktory!$D$5,'TCO TO BE- SW'!X183:X191)</f>
        <v>0</v>
      </c>
      <c r="AZ14" s="460">
        <f>'TCO TO BE- SW'!Y172+NPV(Faktory!$D$5,'TCO TO BE- SW'!Y173:Y181)+'TCO TO BE- SW'!Y182+NPV(Faktory!$D$5,'TCO TO BE- SW'!Y183:Y191)</f>
        <v>0</v>
      </c>
      <c r="BA14" s="460">
        <f>'TCO TO BE- SW'!Z172+NPV(Faktory!$D$5,'TCO TO BE- SW'!Z173:Z181)+'TCO TO BE- SW'!Z182+NPV(Faktory!$D$5,'TCO TO BE- SW'!Z183:Z191)</f>
        <v>0</v>
      </c>
    </row>
    <row r="15" spans="1:53">
      <c r="A15" s="453" t="s">
        <v>160</v>
      </c>
      <c r="B15" s="453"/>
      <c r="C15" s="453"/>
      <c r="D15" s="461">
        <f>SUM(E15:X15)</f>
        <v>14547698.81043704</v>
      </c>
      <c r="E15" s="454">
        <f>E16+E19</f>
        <v>0</v>
      </c>
      <c r="F15" s="454">
        <f t="shared" ref="F15:Y15" si="3">F16+F19</f>
        <v>0</v>
      </c>
      <c r="G15" s="454">
        <f t="shared" si="3"/>
        <v>3874956.2660683873</v>
      </c>
      <c r="H15" s="454">
        <f t="shared" si="3"/>
        <v>0</v>
      </c>
      <c r="I15" s="454">
        <f t="shared" si="3"/>
        <v>0</v>
      </c>
      <c r="J15" s="454">
        <f t="shared" si="3"/>
        <v>5454701.7104789428</v>
      </c>
      <c r="K15" s="454">
        <f t="shared" si="3"/>
        <v>0</v>
      </c>
      <c r="L15" s="454">
        <f t="shared" si="3"/>
        <v>0</v>
      </c>
      <c r="M15" s="454">
        <f t="shared" si="3"/>
        <v>881619.70203749707</v>
      </c>
      <c r="N15" s="454">
        <f t="shared" si="3"/>
        <v>743279.46705468744</v>
      </c>
      <c r="O15" s="454">
        <f t="shared" si="3"/>
        <v>0</v>
      </c>
      <c r="P15" s="454">
        <f t="shared" si="3"/>
        <v>3593141.6647975254</v>
      </c>
      <c r="Q15" s="454">
        <f t="shared" si="3"/>
        <v>0</v>
      </c>
      <c r="R15" s="454">
        <f t="shared" si="3"/>
        <v>0</v>
      </c>
      <c r="S15" s="454">
        <f t="shared" si="3"/>
        <v>0</v>
      </c>
      <c r="T15" s="454">
        <f t="shared" si="3"/>
        <v>0</v>
      </c>
      <c r="U15" s="454">
        <f t="shared" si="3"/>
        <v>0</v>
      </c>
      <c r="V15" s="454">
        <f t="shared" si="3"/>
        <v>0</v>
      </c>
      <c r="W15" s="454">
        <f t="shared" si="3"/>
        <v>0</v>
      </c>
      <c r="X15" s="454">
        <f t="shared" si="3"/>
        <v>0</v>
      </c>
      <c r="Y15" s="454">
        <f t="shared" si="3"/>
        <v>0</v>
      </c>
      <c r="AC15" s="453" t="s">
        <v>160</v>
      </c>
      <c r="AD15" s="453"/>
      <c r="AE15" s="453"/>
      <c r="AF15" s="461">
        <f>SUM(AG15:AZ15)</f>
        <v>11062206.796522209</v>
      </c>
      <c r="AG15" s="461">
        <f>AG16+AG19</f>
        <v>0</v>
      </c>
      <c r="AH15" s="461">
        <f t="shared" ref="AH15:BA15" si="4">AH16+AH19</f>
        <v>0</v>
      </c>
      <c r="AI15" s="461">
        <f t="shared" si="4"/>
        <v>2812231.060321263</v>
      </c>
      <c r="AJ15" s="461">
        <f t="shared" si="4"/>
        <v>0</v>
      </c>
      <c r="AK15" s="461">
        <f t="shared" si="4"/>
        <v>0</v>
      </c>
      <c r="AL15" s="461">
        <f t="shared" si="4"/>
        <v>4222633.4949728874</v>
      </c>
      <c r="AM15" s="461">
        <f t="shared" si="4"/>
        <v>0</v>
      </c>
      <c r="AN15" s="461">
        <f t="shared" si="4"/>
        <v>0</v>
      </c>
      <c r="AO15" s="461">
        <f t="shared" si="4"/>
        <v>680055.33545468957</v>
      </c>
      <c r="AP15" s="461">
        <f t="shared" si="4"/>
        <v>573719.10897048074</v>
      </c>
      <c r="AQ15" s="461">
        <f t="shared" si="4"/>
        <v>0</v>
      </c>
      <c r="AR15" s="461">
        <f t="shared" si="4"/>
        <v>2773567.7968028882</v>
      </c>
      <c r="AS15" s="461">
        <f t="shared" si="4"/>
        <v>0</v>
      </c>
      <c r="AT15" s="461">
        <f t="shared" si="4"/>
        <v>0</v>
      </c>
      <c r="AU15" s="461">
        <f t="shared" si="4"/>
        <v>0</v>
      </c>
      <c r="AV15" s="461">
        <f t="shared" si="4"/>
        <v>0</v>
      </c>
      <c r="AW15" s="461">
        <f t="shared" si="4"/>
        <v>0</v>
      </c>
      <c r="AX15" s="461">
        <f t="shared" si="4"/>
        <v>0</v>
      </c>
      <c r="AY15" s="461">
        <f t="shared" si="4"/>
        <v>0</v>
      </c>
      <c r="AZ15" s="461">
        <f t="shared" si="4"/>
        <v>0</v>
      </c>
      <c r="BA15" s="461">
        <f t="shared" si="4"/>
        <v>0</v>
      </c>
    </row>
    <row r="16" spans="1:53">
      <c r="A16" s="455"/>
      <c r="B16" s="456" t="s">
        <v>17</v>
      </c>
      <c r="C16" s="456"/>
      <c r="D16" s="457">
        <f>SUM(E16:X16)</f>
        <v>0</v>
      </c>
      <c r="E16" s="457">
        <f>E17+E18</f>
        <v>0</v>
      </c>
      <c r="F16" s="457">
        <f t="shared" ref="F16:Y16" si="5">F17+F18</f>
        <v>0</v>
      </c>
      <c r="G16" s="457">
        <f t="shared" si="5"/>
        <v>0</v>
      </c>
      <c r="H16" s="457">
        <f t="shared" si="5"/>
        <v>0</v>
      </c>
      <c r="I16" s="457">
        <f t="shared" si="5"/>
        <v>0</v>
      </c>
      <c r="J16" s="457">
        <f t="shared" si="5"/>
        <v>0</v>
      </c>
      <c r="K16" s="457">
        <f t="shared" si="5"/>
        <v>0</v>
      </c>
      <c r="L16" s="457">
        <f t="shared" si="5"/>
        <v>0</v>
      </c>
      <c r="M16" s="457">
        <f t="shared" si="5"/>
        <v>0</v>
      </c>
      <c r="N16" s="457">
        <f t="shared" si="5"/>
        <v>0</v>
      </c>
      <c r="O16" s="457">
        <f t="shared" si="5"/>
        <v>0</v>
      </c>
      <c r="P16" s="457">
        <f t="shared" si="5"/>
        <v>0</v>
      </c>
      <c r="Q16" s="457">
        <f t="shared" si="5"/>
        <v>0</v>
      </c>
      <c r="R16" s="457">
        <f t="shared" si="5"/>
        <v>0</v>
      </c>
      <c r="S16" s="457">
        <f t="shared" si="5"/>
        <v>0</v>
      </c>
      <c r="T16" s="457">
        <f t="shared" si="5"/>
        <v>0</v>
      </c>
      <c r="U16" s="457">
        <f t="shared" si="5"/>
        <v>0</v>
      </c>
      <c r="V16" s="457">
        <f t="shared" si="5"/>
        <v>0</v>
      </c>
      <c r="W16" s="457">
        <f t="shared" si="5"/>
        <v>0</v>
      </c>
      <c r="X16" s="457">
        <f t="shared" si="5"/>
        <v>0</v>
      </c>
      <c r="Y16" s="457">
        <f t="shared" si="5"/>
        <v>0</v>
      </c>
      <c r="AC16" s="455"/>
      <c r="AD16" s="456" t="s">
        <v>17</v>
      </c>
      <c r="AE16" s="456"/>
      <c r="AF16" s="457">
        <f>SUM(AG16:AZ16)</f>
        <v>0</v>
      </c>
      <c r="AG16" s="457">
        <f>AG17+AG18</f>
        <v>0</v>
      </c>
      <c r="AH16" s="457">
        <f t="shared" ref="AH16:BA16" si="6">AH17+AH18</f>
        <v>0</v>
      </c>
      <c r="AI16" s="457">
        <f t="shared" si="6"/>
        <v>0</v>
      </c>
      <c r="AJ16" s="457">
        <f t="shared" si="6"/>
        <v>0</v>
      </c>
      <c r="AK16" s="457">
        <f t="shared" si="6"/>
        <v>0</v>
      </c>
      <c r="AL16" s="457">
        <f t="shared" si="6"/>
        <v>0</v>
      </c>
      <c r="AM16" s="457">
        <f t="shared" si="6"/>
        <v>0</v>
      </c>
      <c r="AN16" s="457">
        <f t="shared" si="6"/>
        <v>0</v>
      </c>
      <c r="AO16" s="457">
        <f t="shared" si="6"/>
        <v>0</v>
      </c>
      <c r="AP16" s="457">
        <f t="shared" si="6"/>
        <v>0</v>
      </c>
      <c r="AQ16" s="457">
        <f t="shared" si="6"/>
        <v>0</v>
      </c>
      <c r="AR16" s="457">
        <f t="shared" si="6"/>
        <v>0</v>
      </c>
      <c r="AS16" s="457">
        <f t="shared" si="6"/>
        <v>0</v>
      </c>
      <c r="AT16" s="457">
        <f t="shared" si="6"/>
        <v>0</v>
      </c>
      <c r="AU16" s="457">
        <f t="shared" si="6"/>
        <v>0</v>
      </c>
      <c r="AV16" s="457">
        <f t="shared" si="6"/>
        <v>0</v>
      </c>
      <c r="AW16" s="457">
        <f t="shared" si="6"/>
        <v>0</v>
      </c>
      <c r="AX16" s="457">
        <f t="shared" si="6"/>
        <v>0</v>
      </c>
      <c r="AY16" s="457">
        <f t="shared" si="6"/>
        <v>0</v>
      </c>
      <c r="AZ16" s="457">
        <f t="shared" si="6"/>
        <v>0</v>
      </c>
      <c r="BA16" s="457">
        <f t="shared" si="6"/>
        <v>0</v>
      </c>
    </row>
    <row r="17" spans="1:53">
      <c r="A17" s="458"/>
      <c r="B17" s="458"/>
      <c r="C17" s="459" t="s">
        <v>47</v>
      </c>
      <c r="D17" s="475">
        <f>SUM(E17:X17)</f>
        <v>0</v>
      </c>
      <c r="E17" s="475">
        <f>SUM('Parametre - Agendové IS'!I116:I125)</f>
        <v>0</v>
      </c>
      <c r="F17" s="475">
        <f>SUM('Parametre - Agendové IS'!J116:J125)</f>
        <v>0</v>
      </c>
      <c r="G17" s="475">
        <f>SUM('Parametre - Agendové IS'!K116:K125)</f>
        <v>0</v>
      </c>
      <c r="H17" s="475">
        <f>SUM('Parametre - Agendové IS'!L116:L125)</f>
        <v>0</v>
      </c>
      <c r="I17" s="475">
        <f>SUM('Parametre - Agendové IS'!M116:M125)</f>
        <v>0</v>
      </c>
      <c r="J17" s="475">
        <f>SUM('Parametre - Agendové IS'!N116:N125)</f>
        <v>0</v>
      </c>
      <c r="K17" s="475">
        <f>SUM('Parametre - Agendové IS'!O116:O125)</f>
        <v>0</v>
      </c>
      <c r="L17" s="475">
        <f>SUM('Parametre - Agendové IS'!P116:P125)</f>
        <v>0</v>
      </c>
      <c r="M17" s="475">
        <f>SUM('Parametre - Agendové IS'!Q116:Q125)</f>
        <v>0</v>
      </c>
      <c r="N17" s="475">
        <f>SUM('Parametre - Agendové IS'!R116:R125)</f>
        <v>0</v>
      </c>
      <c r="O17" s="475">
        <f>SUM('Parametre - Agendové IS'!S116:S125)</f>
        <v>0</v>
      </c>
      <c r="P17" s="475">
        <f>SUM('Parametre - Agendové IS'!T116:T125)</f>
        <v>0</v>
      </c>
      <c r="Q17" s="475">
        <f>SUM('Parametre - Agendové IS'!U116:U125)</f>
        <v>0</v>
      </c>
      <c r="R17" s="475">
        <f>SUM('Parametre - Agendové IS'!V116:V125)</f>
        <v>0</v>
      </c>
      <c r="S17" s="475">
        <f>SUM('Parametre - Agendové IS'!W116:W125)</f>
        <v>0</v>
      </c>
      <c r="T17" s="475">
        <f>SUM('Parametre - Agendové IS'!X116:X125)</f>
        <v>0</v>
      </c>
      <c r="U17" s="475">
        <f>SUM('Parametre - Agendové IS'!Y116:Y125)</f>
        <v>0</v>
      </c>
      <c r="V17" s="475">
        <f>SUM('Parametre - Agendové IS'!Z116:Z125)</f>
        <v>0</v>
      </c>
      <c r="W17" s="475">
        <f>SUM('Parametre - Agendové IS'!AA116:AA125)</f>
        <v>0</v>
      </c>
      <c r="X17" s="475">
        <f>SUM('Parametre - Agendové IS'!AB116:AB125)</f>
        <v>0</v>
      </c>
      <c r="Y17" s="475">
        <f>SUM('Parametre - Agendové IS'!AC116:AC125)</f>
        <v>0</v>
      </c>
      <c r="AC17" s="458"/>
      <c r="AD17" s="458"/>
      <c r="AE17" s="459" t="s">
        <v>47</v>
      </c>
      <c r="AF17" s="470">
        <f>SUM(AG17:AZ17)</f>
        <v>0</v>
      </c>
      <c r="AG17" s="470">
        <f>'Parametre - Agendové IS'!I116+NPV(Faktory!$D$3,'Parametre - Agendové IS'!I117:I125)</f>
        <v>0</v>
      </c>
      <c r="AH17" s="470">
        <f>'Parametre - Agendové IS'!J116+NPV(Faktory!$D$3,'Parametre - Agendové IS'!J117:J125)</f>
        <v>0</v>
      </c>
      <c r="AI17" s="470">
        <f>'Parametre - Agendové IS'!K116+NPV(Faktory!$D$3,'Parametre - Agendové IS'!K117:K125)</f>
        <v>0</v>
      </c>
      <c r="AJ17" s="470">
        <f>'Parametre - Agendové IS'!L116+NPV(Faktory!$D$3,'Parametre - Agendové IS'!L117:L125)</f>
        <v>0</v>
      </c>
      <c r="AK17" s="470">
        <f>'Parametre - Agendové IS'!M116+NPV(Faktory!$D$3,'Parametre - Agendové IS'!M117:M125)</f>
        <v>0</v>
      </c>
      <c r="AL17" s="470">
        <f>'Parametre - Agendové IS'!N116+NPV(Faktory!$D$3,'Parametre - Agendové IS'!N117:N125)</f>
        <v>0</v>
      </c>
      <c r="AM17" s="470">
        <f>'Parametre - Agendové IS'!O116+NPV(Faktory!$D$3,'Parametre - Agendové IS'!O117:O125)</f>
        <v>0</v>
      </c>
      <c r="AN17" s="470">
        <f>'Parametre - Agendové IS'!P116+NPV(Faktory!$D$3,'Parametre - Agendové IS'!P117:P125)</f>
        <v>0</v>
      </c>
      <c r="AO17" s="470">
        <f>'Parametre - Agendové IS'!Q116+NPV(Faktory!$D$3,'Parametre - Agendové IS'!Q117:Q125)</f>
        <v>0</v>
      </c>
      <c r="AP17" s="470">
        <f>'Parametre - Agendové IS'!R116+NPV(Faktory!$D$3,'Parametre - Agendové IS'!R117:R125)</f>
        <v>0</v>
      </c>
      <c r="AQ17" s="470">
        <f>'Parametre - Agendové IS'!S116+NPV(Faktory!$D$3,'Parametre - Agendové IS'!S117:S125)</f>
        <v>0</v>
      </c>
      <c r="AR17" s="470">
        <f>'Parametre - Agendové IS'!T116+NPV(Faktory!$D$3,'Parametre - Agendové IS'!T117:T125)</f>
        <v>0</v>
      </c>
      <c r="AS17" s="470">
        <f>'Parametre - Agendové IS'!U116+NPV(Faktory!$D$3,'Parametre - Agendové IS'!U117:U125)</f>
        <v>0</v>
      </c>
      <c r="AT17" s="470">
        <f>'Parametre - Agendové IS'!V116+NPV(Faktory!$D$3,'Parametre - Agendové IS'!V117:V125)</f>
        <v>0</v>
      </c>
      <c r="AU17" s="470">
        <f>'Parametre - Agendové IS'!W116+NPV(Faktory!$D$3,'Parametre - Agendové IS'!W117:W125)</f>
        <v>0</v>
      </c>
      <c r="AV17" s="470">
        <f>'Parametre - Agendové IS'!X116+NPV(Faktory!$D$3,'Parametre - Agendové IS'!X117:X125)</f>
        <v>0</v>
      </c>
      <c r="AW17" s="470">
        <f>'Parametre - Agendové IS'!Y116+NPV(Faktory!$D$3,'Parametre - Agendové IS'!Y117:Y125)</f>
        <v>0</v>
      </c>
      <c r="AX17" s="470">
        <f>'Parametre - Agendové IS'!Z116+NPV(Faktory!$D$3,'Parametre - Agendové IS'!Z117:Z125)</f>
        <v>0</v>
      </c>
      <c r="AY17" s="470">
        <f>'Parametre - Agendové IS'!AA116+NPV(Faktory!$D$3,'Parametre - Agendové IS'!AA117:AA125)</f>
        <v>0</v>
      </c>
      <c r="AZ17" s="470">
        <f>'Parametre - Agendové IS'!AB116+NPV(Faktory!$D$3,'Parametre - Agendové IS'!AB117:AB125)</f>
        <v>0</v>
      </c>
      <c r="BA17" s="470">
        <f>'Parametre - Agendové IS'!AC116+NPV(Faktory!$D$3,'Parametre - Agendové IS'!AC117:AC125)</f>
        <v>0</v>
      </c>
    </row>
    <row r="18" spans="1:53">
      <c r="A18" s="458"/>
      <c r="B18" s="458"/>
      <c r="C18" s="459" t="s">
        <v>48</v>
      </c>
      <c r="D18" s="475">
        <f>'Prínosy - Agendové IS'!AN15</f>
        <v>0</v>
      </c>
      <c r="E18" s="472"/>
      <c r="F18" s="472"/>
      <c r="G18" s="472"/>
      <c r="H18" s="472"/>
      <c r="I18" s="472"/>
      <c r="J18" s="473"/>
      <c r="K18" s="472"/>
      <c r="L18" s="472"/>
      <c r="M18" s="472"/>
      <c r="N18" s="473"/>
      <c r="O18" s="472"/>
      <c r="P18" s="472"/>
      <c r="Q18" s="472"/>
      <c r="R18" s="473"/>
      <c r="S18" s="472"/>
      <c r="T18" s="472"/>
      <c r="U18" s="472"/>
      <c r="V18" s="473"/>
      <c r="W18" s="472"/>
      <c r="X18" s="472"/>
      <c r="Y18" s="472"/>
      <c r="Z18" s="332"/>
      <c r="AC18" s="458"/>
      <c r="AD18" s="458"/>
      <c r="AE18" s="459" t="s">
        <v>48</v>
      </c>
      <c r="AF18" s="470">
        <f>'Prínosy - Agendové IS'!L15</f>
        <v>0</v>
      </c>
      <c r="AG18" s="472"/>
      <c r="AH18" s="472"/>
      <c r="AI18" s="472"/>
      <c r="AJ18" s="472"/>
      <c r="AK18" s="473"/>
      <c r="AL18" s="472"/>
      <c r="AM18" s="472"/>
      <c r="AN18" s="472"/>
      <c r="AO18" s="473"/>
      <c r="AP18" s="472"/>
      <c r="AQ18" s="472"/>
      <c r="AR18" s="472"/>
      <c r="AS18" s="473"/>
      <c r="AT18" s="472"/>
      <c r="AU18" s="472"/>
      <c r="AV18" s="472"/>
      <c r="AW18" s="473"/>
      <c r="AX18" s="472"/>
      <c r="AY18" s="472"/>
      <c r="AZ18" s="472"/>
      <c r="BA18" s="473"/>
    </row>
    <row r="19" spans="1:53">
      <c r="A19" s="455"/>
      <c r="B19" s="456" t="s">
        <v>18</v>
      </c>
      <c r="C19" s="456"/>
      <c r="D19" s="457">
        <f>SUM(E19:X19)</f>
        <v>14547698.81043704</v>
      </c>
      <c r="E19" s="457">
        <f>E20+E21+E23</f>
        <v>0</v>
      </c>
      <c r="F19" s="457">
        <f t="shared" ref="F19:Y19" si="7">F20+F21+F23</f>
        <v>0</v>
      </c>
      <c r="G19" s="457">
        <f t="shared" si="7"/>
        <v>3874956.2660683873</v>
      </c>
      <c r="H19" s="457">
        <f t="shared" si="7"/>
        <v>0</v>
      </c>
      <c r="I19" s="457">
        <f t="shared" si="7"/>
        <v>0</v>
      </c>
      <c r="J19" s="457">
        <f t="shared" si="7"/>
        <v>5454701.7104789428</v>
      </c>
      <c r="K19" s="457">
        <f t="shared" si="7"/>
        <v>0</v>
      </c>
      <c r="L19" s="457">
        <f t="shared" si="7"/>
        <v>0</v>
      </c>
      <c r="M19" s="457">
        <f t="shared" si="7"/>
        <v>881619.70203749707</v>
      </c>
      <c r="N19" s="457">
        <f t="shared" si="7"/>
        <v>743279.46705468744</v>
      </c>
      <c r="O19" s="457">
        <f t="shared" si="7"/>
        <v>0</v>
      </c>
      <c r="P19" s="457">
        <f t="shared" si="7"/>
        <v>3593141.6647975254</v>
      </c>
      <c r="Q19" s="457">
        <f t="shared" si="7"/>
        <v>0</v>
      </c>
      <c r="R19" s="457">
        <f t="shared" si="7"/>
        <v>0</v>
      </c>
      <c r="S19" s="457">
        <f t="shared" si="7"/>
        <v>0</v>
      </c>
      <c r="T19" s="457">
        <f t="shared" si="7"/>
        <v>0</v>
      </c>
      <c r="U19" s="457">
        <f t="shared" si="7"/>
        <v>0</v>
      </c>
      <c r="V19" s="457">
        <f t="shared" si="7"/>
        <v>0</v>
      </c>
      <c r="W19" s="457">
        <f t="shared" si="7"/>
        <v>0</v>
      </c>
      <c r="X19" s="457">
        <f t="shared" si="7"/>
        <v>0</v>
      </c>
      <c r="Y19" s="457">
        <f t="shared" si="7"/>
        <v>0</v>
      </c>
      <c r="AC19" s="455"/>
      <c r="AD19" s="456" t="s">
        <v>18</v>
      </c>
      <c r="AE19" s="456"/>
      <c r="AF19" s="457">
        <f>SUM(AG19:AZ19)</f>
        <v>11062206.796522209</v>
      </c>
      <c r="AG19" s="457">
        <f>AG20+AG21+AG23</f>
        <v>0</v>
      </c>
      <c r="AH19" s="457">
        <f t="shared" ref="AH19:BA19" si="8">AH20+AH21+AH23</f>
        <v>0</v>
      </c>
      <c r="AI19" s="457">
        <f t="shared" si="8"/>
        <v>2812231.060321263</v>
      </c>
      <c r="AJ19" s="457">
        <f t="shared" si="8"/>
        <v>0</v>
      </c>
      <c r="AK19" s="457">
        <f t="shared" si="8"/>
        <v>0</v>
      </c>
      <c r="AL19" s="457">
        <f t="shared" si="8"/>
        <v>4222633.4949728874</v>
      </c>
      <c r="AM19" s="457">
        <f t="shared" si="8"/>
        <v>0</v>
      </c>
      <c r="AN19" s="457">
        <f t="shared" si="8"/>
        <v>0</v>
      </c>
      <c r="AO19" s="457">
        <f t="shared" si="8"/>
        <v>680055.33545468957</v>
      </c>
      <c r="AP19" s="457">
        <f t="shared" si="8"/>
        <v>573719.10897048074</v>
      </c>
      <c r="AQ19" s="457">
        <f t="shared" si="8"/>
        <v>0</v>
      </c>
      <c r="AR19" s="457">
        <f t="shared" si="8"/>
        <v>2773567.7968028882</v>
      </c>
      <c r="AS19" s="457">
        <f t="shared" si="8"/>
        <v>0</v>
      </c>
      <c r="AT19" s="457">
        <f t="shared" si="8"/>
        <v>0</v>
      </c>
      <c r="AU19" s="457">
        <f t="shared" si="8"/>
        <v>0</v>
      </c>
      <c r="AV19" s="457">
        <f t="shared" si="8"/>
        <v>0</v>
      </c>
      <c r="AW19" s="457">
        <f t="shared" si="8"/>
        <v>0</v>
      </c>
      <c r="AX19" s="457">
        <f t="shared" si="8"/>
        <v>0</v>
      </c>
      <c r="AY19" s="457">
        <f t="shared" si="8"/>
        <v>0</v>
      </c>
      <c r="AZ19" s="457">
        <f t="shared" si="8"/>
        <v>0</v>
      </c>
      <c r="BA19" s="457">
        <f t="shared" si="8"/>
        <v>0</v>
      </c>
    </row>
    <row r="20" spans="1:53">
      <c r="A20" s="458"/>
      <c r="B20" s="458"/>
      <c r="C20" s="459" t="s">
        <v>162</v>
      </c>
      <c r="D20" s="475">
        <f>SUM(E20:X20)</f>
        <v>0</v>
      </c>
      <c r="E20" s="475">
        <f>SUM('Parametre - Agendové IS'!I96:I105)</f>
        <v>0</v>
      </c>
      <c r="F20" s="475">
        <f>SUM('Parametre - Agendové IS'!L96:L105)</f>
        <v>0</v>
      </c>
      <c r="G20" s="475">
        <f>SUM('Parametre - Agendové IS'!O96:O105)</f>
        <v>0</v>
      </c>
      <c r="H20" s="475">
        <f>SUM('Parametre - Agendové IS'!R96:R105)</f>
        <v>0</v>
      </c>
      <c r="I20" s="475">
        <f>SUM('Parametre - Agendové IS'!U96:U105)</f>
        <v>0</v>
      </c>
      <c r="J20" s="475">
        <f>SUM('Parametre - Agendové IS'!X96:X105)</f>
        <v>0</v>
      </c>
      <c r="K20" s="475">
        <f>SUM('Parametre - Agendové IS'!AA96:AA105)</f>
        <v>0</v>
      </c>
      <c r="L20" s="475">
        <f>SUM('Parametre - Agendové IS'!AD96:AD105)</f>
        <v>0</v>
      </c>
      <c r="M20" s="475">
        <f>SUM('Parametre - Agendové IS'!AG96:AG105)</f>
        <v>0</v>
      </c>
      <c r="N20" s="475">
        <f>SUM('Parametre - Agendové IS'!AJ96:AJ105)</f>
        <v>0</v>
      </c>
      <c r="O20" s="475">
        <f>SUM('Parametre - Agendové IS'!AM96:AM105)</f>
        <v>0</v>
      </c>
      <c r="P20" s="475">
        <f>SUM('Parametre - Agendové IS'!AP96:AP105)</f>
        <v>0</v>
      </c>
      <c r="Q20" s="475">
        <f>SUM('Parametre - Agendové IS'!AS96:AS105)</f>
        <v>0</v>
      </c>
      <c r="R20" s="475">
        <f>SUM('Parametre - Agendové IS'!AV96:AV105)</f>
        <v>0</v>
      </c>
      <c r="S20" s="475">
        <f>SUM('Parametre - Agendové IS'!AY96:AY105)</f>
        <v>0</v>
      </c>
      <c r="T20" s="475">
        <f>SUM('Parametre - Agendové IS'!BB96:BB105)</f>
        <v>0</v>
      </c>
      <c r="U20" s="475">
        <f>SUM('Parametre - Agendové IS'!BE96:BE105)</f>
        <v>0</v>
      </c>
      <c r="V20" s="475">
        <f>SUM('Parametre - Agendové IS'!BH96:BH105)</f>
        <v>0</v>
      </c>
      <c r="W20" s="475">
        <f>SUM('Parametre - Agendové IS'!BK96:BK105)</f>
        <v>0</v>
      </c>
      <c r="X20" s="475">
        <f>SUM('Parametre - Agendové IS'!BN96:BN105)</f>
        <v>0</v>
      </c>
      <c r="Y20" s="475">
        <f>SUM('Parametre - Agendové IS'!BQ96:BQ105)</f>
        <v>0</v>
      </c>
      <c r="AC20" s="458"/>
      <c r="AD20" s="458"/>
      <c r="AE20" s="459" t="s">
        <v>162</v>
      </c>
      <c r="AF20" s="470">
        <f>SUM(AG20:AZ20)</f>
        <v>0</v>
      </c>
      <c r="AG20" s="470">
        <f>'Parametre - Agendové IS'!I96+NPV(Faktory!$D$5,'Parametre - Agendové IS'!I97:I105)</f>
        <v>0</v>
      </c>
      <c r="AH20" s="470">
        <f>'Parametre - Agendové IS'!L96+NPV(Faktory!$D$5,'Parametre - Agendové IS'!L97:L105)</f>
        <v>0</v>
      </c>
      <c r="AI20" s="470">
        <f>'Parametre - Agendové IS'!O96+NPV(Faktory!$D$5,'Parametre - Agendové IS'!O97:O105)</f>
        <v>0</v>
      </c>
      <c r="AJ20" s="470">
        <f>'Parametre - Agendové IS'!R96+NPV(Faktory!$D$5,'Parametre - Agendové IS'!R97:R105)</f>
        <v>0</v>
      </c>
      <c r="AK20" s="470">
        <f>'Parametre - Agendové IS'!U96+NPV(Faktory!$D$5,'Parametre - Agendové IS'!U97:U105)</f>
        <v>0</v>
      </c>
      <c r="AL20" s="470">
        <f>'Parametre - Agendové IS'!X96+NPV(Faktory!$D$5,'Parametre - Agendové IS'!X97:X105)</f>
        <v>0</v>
      </c>
      <c r="AM20" s="470">
        <f>'Parametre - Agendové IS'!AA96+NPV(Faktory!$D$5,'Parametre - Agendové IS'!AA97:AA105)</f>
        <v>0</v>
      </c>
      <c r="AN20" s="470">
        <f>'Parametre - Agendové IS'!AD96+NPV(Faktory!$D$5,'Parametre - Agendové IS'!AD97:AD105)</f>
        <v>0</v>
      </c>
      <c r="AO20" s="470">
        <f>'Parametre - Agendové IS'!AG96+NPV(Faktory!$D$5,'Parametre - Agendové IS'!AG97:AG105)</f>
        <v>0</v>
      </c>
      <c r="AP20" s="470">
        <f>'Parametre - Agendové IS'!AJ96+NPV(Faktory!$D$5,'Parametre - Agendové IS'!AJ97:AJ105)</f>
        <v>0</v>
      </c>
      <c r="AQ20" s="470">
        <f>'Parametre - Agendové IS'!AM96+NPV(Faktory!$D$5,'Parametre - Agendové IS'!AM97:AM105)</f>
        <v>0</v>
      </c>
      <c r="AR20" s="470">
        <f>'Parametre - Agendové IS'!AP96+NPV(Faktory!$D$5,'Parametre - Agendové IS'!AP97:AP105)</f>
        <v>0</v>
      </c>
      <c r="AS20" s="470">
        <f>'Parametre - Agendové IS'!AS96+NPV(Faktory!$D$5,'Parametre - Agendové IS'!AS97:AS105)</f>
        <v>0</v>
      </c>
      <c r="AT20" s="470">
        <f>'Parametre - Agendové IS'!AV96+NPV(Faktory!$D$5,'Parametre - Agendové IS'!AV97:AV105)</f>
        <v>0</v>
      </c>
      <c r="AU20" s="470">
        <f>'Parametre - Agendové IS'!AY96+NPV(Faktory!$D$5,'Parametre - Agendové IS'!AY97:AY105)</f>
        <v>0</v>
      </c>
      <c r="AV20" s="470">
        <f>'Parametre - Agendové IS'!BB96+NPV(Faktory!$D$5,'Parametre - Agendové IS'!BB97:BB105)</f>
        <v>0</v>
      </c>
      <c r="AW20" s="470">
        <f>'Parametre - Agendové IS'!BE96+NPV(Faktory!$D$5,'Parametre - Agendové IS'!BE97:BE105)</f>
        <v>0</v>
      </c>
      <c r="AX20" s="470">
        <f>'Parametre - Agendové IS'!BH96+NPV(Faktory!$D$5,'Parametre - Agendové IS'!BH97:BH105)</f>
        <v>0</v>
      </c>
      <c r="AY20" s="470">
        <f>'Parametre - Agendové IS'!BK96+NPV(Faktory!$D$5,'Parametre - Agendové IS'!BK97:BK105)</f>
        <v>0</v>
      </c>
      <c r="AZ20" s="470">
        <f>'Parametre - Agendové IS'!BN96+NPV(Faktory!$D$5,'Parametre - Agendové IS'!BN97:BN105)</f>
        <v>0</v>
      </c>
      <c r="BA20" s="470">
        <f>'Parametre - Agendové IS'!BQ96+NPV(Faktory!$D$5,'Parametre - Agendové IS'!BQ97:BQC105)</f>
        <v>0</v>
      </c>
    </row>
    <row r="21" spans="1:53">
      <c r="A21" s="458"/>
      <c r="B21" s="458"/>
      <c r="C21" s="459" t="s">
        <v>161</v>
      </c>
      <c r="D21" s="475">
        <f>SUM(E21:X21)</f>
        <v>10672742.544368653</v>
      </c>
      <c r="E21" s="475">
        <f>-(SUM('Parametre - Agendové IS'!I76:I85))</f>
        <v>0</v>
      </c>
      <c r="F21" s="475">
        <f>-(SUM('Parametre - Agendové IS'!L76:L85))</f>
        <v>0</v>
      </c>
      <c r="G21" s="475">
        <f>-(SUM('Parametre - Agendové IS'!O76:O85))</f>
        <v>0</v>
      </c>
      <c r="H21" s="475">
        <f>-(SUM('Parametre - Agendové IS'!R76:R85))</f>
        <v>0</v>
      </c>
      <c r="I21" s="475">
        <f>-(SUM('Parametre - Agendové IS'!U76:U85))</f>
        <v>0</v>
      </c>
      <c r="J21" s="475">
        <f>-(SUM('Parametre - Agendové IS'!X76:X85))</f>
        <v>5454701.7104789428</v>
      </c>
      <c r="K21" s="475">
        <f>-(SUM('Parametre - Agendové IS'!AA76:AA85))</f>
        <v>0</v>
      </c>
      <c r="L21" s="475">
        <f>-(SUM('Parametre - Agendové IS'!AD76:AD85))</f>
        <v>0</v>
      </c>
      <c r="M21" s="475">
        <f>-(SUM('Parametre - Agendové IS'!AG76:AG85))</f>
        <v>881619.70203749707</v>
      </c>
      <c r="N21" s="475">
        <f>-(SUM('Parametre - Agendové IS'!AJ76:AJ85))</f>
        <v>743279.46705468744</v>
      </c>
      <c r="O21" s="475">
        <f>-(SUM('Parametre - Agendové IS'!AM76:AM85))</f>
        <v>0</v>
      </c>
      <c r="P21" s="475">
        <f>-(SUM('Parametre - Agendové IS'!AP76:AP85))</f>
        <v>3593141.6647975254</v>
      </c>
      <c r="Q21" s="475">
        <f>-(SUM('Parametre - Agendové IS'!AS76:AS85))</f>
        <v>0</v>
      </c>
      <c r="R21" s="475">
        <f>-(SUM('Parametre - Agendové IS'!AV76:AV85))</f>
        <v>0</v>
      </c>
      <c r="S21" s="475">
        <f>-(SUM('Parametre - Agendové IS'!AY76:AY85))</f>
        <v>0</v>
      </c>
      <c r="T21" s="475">
        <f>-(SUM('Parametre - Agendové IS'!BB76:BB85))</f>
        <v>0</v>
      </c>
      <c r="U21" s="475">
        <f>-(SUM('Parametre - Agendové IS'!BE76:BE85))</f>
        <v>0</v>
      </c>
      <c r="V21" s="475">
        <f>-(SUM('Parametre - Agendové IS'!BH76:BH85))</f>
        <v>0</v>
      </c>
      <c r="W21" s="475">
        <f>-(SUM('Parametre - Agendové IS'!BK76:BK85))</f>
        <v>0</v>
      </c>
      <c r="X21" s="475">
        <f>-(SUM('Parametre - Agendové IS'!BN76:BN85))</f>
        <v>0</v>
      </c>
      <c r="Y21" s="475">
        <f>-(SUM('Parametre - Agendové IS'!BQ76:BQ85))</f>
        <v>0</v>
      </c>
      <c r="AC21" s="458"/>
      <c r="AD21" s="458"/>
      <c r="AE21" s="459" t="s">
        <v>161</v>
      </c>
      <c r="AF21" s="470">
        <f>SUM(AG21:AZ21)</f>
        <v>8249975.7362009455</v>
      </c>
      <c r="AG21" s="470">
        <f>-('Parametre - Agendové IS'!I76+NPV(Faktory!$D$5,'Parametre - Agendové IS'!I77:I85))</f>
        <v>0</v>
      </c>
      <c r="AH21" s="470">
        <f>-('Parametre - Agendové IS'!L76+NPV(Faktory!$D$5,'Parametre - Agendové IS'!L77:L85))</f>
        <v>0</v>
      </c>
      <c r="AI21" s="470">
        <f>-('Parametre - Agendové IS'!O76+NPV(Faktory!$D$5,'Parametre - Agendové IS'!O77:O85))</f>
        <v>0</v>
      </c>
      <c r="AJ21" s="470">
        <f>-('Parametre - Agendové IS'!R76+NPV(Faktory!$D$5,'Parametre - Agendové IS'!R77:R85))</f>
        <v>0</v>
      </c>
      <c r="AK21" s="470">
        <f>-('Parametre - Agendové IS'!U76+NPV(Faktory!$D$5,'Parametre - Agendové IS'!U77:U85))</f>
        <v>0</v>
      </c>
      <c r="AL21" s="470">
        <f>-('Parametre - Agendové IS'!X76+NPV(Faktory!$D$5,'Parametre - Agendové IS'!X77:X85))</f>
        <v>4222633.4949728874</v>
      </c>
      <c r="AM21" s="470">
        <f>-('Parametre - Agendové IS'!AA76+NPV(Faktory!$D$5,'Parametre - Agendové IS'!AA77:AA85))</f>
        <v>0</v>
      </c>
      <c r="AN21" s="470">
        <f>-('Parametre - Agendové IS'!AD76+NPV(Faktory!$D$5,'Parametre - Agendové IS'!AD77:AD85))</f>
        <v>0</v>
      </c>
      <c r="AO21" s="470">
        <f>-('Parametre - Agendové IS'!AG76+NPV(Faktory!$D$5,'Parametre - Agendové IS'!AG77:AG85))</f>
        <v>680055.33545468957</v>
      </c>
      <c r="AP21" s="470">
        <f>-('Parametre - Agendové IS'!AJ76+NPV(Faktory!$D$5,'Parametre - Agendové IS'!AJ77:AJ85))</f>
        <v>573719.10897048074</v>
      </c>
      <c r="AQ21" s="470">
        <f>-('Parametre - Agendové IS'!AM76+NPV(Faktory!$D$5,'Parametre - Agendové IS'!AM77:AM85))</f>
        <v>0</v>
      </c>
      <c r="AR21" s="470">
        <f>-('Parametre - Agendové IS'!AP76+NPV(Faktory!$D$5,'Parametre - Agendové IS'!AP77:AP85))</f>
        <v>2773567.7968028882</v>
      </c>
      <c r="AS21" s="470">
        <f>-('Parametre - Agendové IS'!AS76+NPV(Faktory!$D$5,'Parametre - Agendové IS'!AS77:AS85))</f>
        <v>0</v>
      </c>
      <c r="AT21" s="470">
        <f>-('Parametre - Agendové IS'!AV76+NPV(Faktory!$D$5,'Parametre - Agendové IS'!AV77:AV85))</f>
        <v>0</v>
      </c>
      <c r="AU21" s="470">
        <f>-('Parametre - Agendové IS'!AY76+NPV(Faktory!$D$5,'Parametre - Agendové IS'!AY77:AY85))</f>
        <v>0</v>
      </c>
      <c r="AV21" s="470">
        <f>-('Parametre - Agendové IS'!BB76+NPV(Faktory!$D$5,'Parametre - Agendové IS'!BB77:BB85))</f>
        <v>0</v>
      </c>
      <c r="AW21" s="470">
        <f>-('Parametre - Agendové IS'!BE76+NPV(Faktory!$D$5,'Parametre - Agendové IS'!BE77:BE85))</f>
        <v>0</v>
      </c>
      <c r="AX21" s="470">
        <f>-('Parametre - Agendové IS'!BH76+NPV(Faktory!$D$5,'Parametre - Agendové IS'!BH77:BH85))</f>
        <v>0</v>
      </c>
      <c r="AY21" s="470">
        <f>-('Parametre - Agendové IS'!BK76+NPV(Faktory!$D$5,'Parametre - Agendové IS'!BK77:BK85))</f>
        <v>0</v>
      </c>
      <c r="AZ21" s="470">
        <f>-('Parametre - Agendové IS'!BN76+NPV(Faktory!$D$5,'Parametre - Agendové IS'!BN77:BN85))</f>
        <v>0</v>
      </c>
      <c r="BA21" s="470">
        <f>-('Parametre - Agendové IS'!BQ76+NPV(Faktory!$D$5,'Parametre - Agendové IS'!BQ77:BQ85))</f>
        <v>0</v>
      </c>
    </row>
    <row r="22" spans="1:53">
      <c r="A22" s="458"/>
      <c r="B22" s="458"/>
      <c r="C22" s="459" t="s">
        <v>163</v>
      </c>
      <c r="D22" s="473" t="s">
        <v>166</v>
      </c>
      <c r="E22" s="473" t="s">
        <v>166</v>
      </c>
      <c r="F22" s="473" t="s">
        <v>166</v>
      </c>
      <c r="G22" s="473" t="s">
        <v>166</v>
      </c>
      <c r="H22" s="473" t="s">
        <v>166</v>
      </c>
      <c r="I22" s="473" t="s">
        <v>166</v>
      </c>
      <c r="J22" s="473" t="s">
        <v>166</v>
      </c>
      <c r="K22" s="473" t="s">
        <v>166</v>
      </c>
      <c r="L22" s="473" t="s">
        <v>166</v>
      </c>
      <c r="M22" s="473" t="s">
        <v>166</v>
      </c>
      <c r="N22" s="473" t="s">
        <v>166</v>
      </c>
      <c r="O22" s="473" t="s">
        <v>166</v>
      </c>
      <c r="P22" s="473" t="s">
        <v>166</v>
      </c>
      <c r="Q22" s="473" t="s">
        <v>166</v>
      </c>
      <c r="R22" s="473" t="s">
        <v>166</v>
      </c>
      <c r="S22" s="473" t="s">
        <v>166</v>
      </c>
      <c r="T22" s="473" t="s">
        <v>166</v>
      </c>
      <c r="U22" s="473" t="s">
        <v>166</v>
      </c>
      <c r="V22" s="473" t="s">
        <v>166</v>
      </c>
      <c r="W22" s="473" t="s">
        <v>166</v>
      </c>
      <c r="X22" s="473" t="s">
        <v>166</v>
      </c>
      <c r="Y22" s="473" t="s">
        <v>166</v>
      </c>
      <c r="AC22" s="458"/>
      <c r="AD22" s="458"/>
      <c r="AE22" s="459" t="s">
        <v>163</v>
      </c>
      <c r="AF22" s="473" t="s">
        <v>166</v>
      </c>
      <c r="AG22" s="473" t="s">
        <v>166</v>
      </c>
      <c r="AH22" s="473" t="s">
        <v>166</v>
      </c>
      <c r="AI22" s="473" t="s">
        <v>166</v>
      </c>
      <c r="AJ22" s="473" t="s">
        <v>166</v>
      </c>
      <c r="AK22" s="473" t="s">
        <v>166</v>
      </c>
      <c r="AL22" s="473" t="s">
        <v>166</v>
      </c>
      <c r="AM22" s="473" t="s">
        <v>166</v>
      </c>
      <c r="AN22" s="473" t="s">
        <v>166</v>
      </c>
      <c r="AO22" s="473" t="s">
        <v>166</v>
      </c>
      <c r="AP22" s="473" t="s">
        <v>166</v>
      </c>
      <c r="AQ22" s="473" t="s">
        <v>166</v>
      </c>
      <c r="AR22" s="473" t="s">
        <v>166</v>
      </c>
      <c r="AS22" s="473" t="s">
        <v>166</v>
      </c>
      <c r="AT22" s="473" t="s">
        <v>166</v>
      </c>
      <c r="AU22" s="473" t="s">
        <v>166</v>
      </c>
      <c r="AV22" s="473" t="s">
        <v>166</v>
      </c>
      <c r="AW22" s="473" t="s">
        <v>166</v>
      </c>
      <c r="AX22" s="473" t="s">
        <v>166</v>
      </c>
      <c r="AY22" s="473" t="s">
        <v>166</v>
      </c>
      <c r="AZ22" s="473" t="s">
        <v>166</v>
      </c>
      <c r="BA22" s="473" t="s">
        <v>166</v>
      </c>
    </row>
    <row r="23" spans="1:53">
      <c r="A23" s="458"/>
      <c r="B23" s="458"/>
      <c r="C23" s="459" t="s">
        <v>39</v>
      </c>
      <c r="D23" s="475">
        <f>SUM(E23:X23)</f>
        <v>3874956.2660683873</v>
      </c>
      <c r="E23" s="475">
        <f>SUM('Parametre - Agendové IS'!I126:I135)</f>
        <v>0</v>
      </c>
      <c r="F23" s="475">
        <f>SUM('Parametre - Agendové IS'!L126:L135)</f>
        <v>0</v>
      </c>
      <c r="G23" s="475">
        <f>SUM('Parametre - Agendové IS'!O126:O135)</f>
        <v>3874956.2660683873</v>
      </c>
      <c r="H23" s="475">
        <f>SUM('Parametre - Agendové IS'!R126:R135)</f>
        <v>0</v>
      </c>
      <c r="I23" s="475">
        <f>SUM('Parametre - Agendové IS'!U126:U135)</f>
        <v>0</v>
      </c>
      <c r="J23" s="475">
        <f>SUM('Parametre - Agendové IS'!X126:X135)</f>
        <v>0</v>
      </c>
      <c r="K23" s="475">
        <f>SUM('Parametre - Agendové IS'!AA126:AA135)</f>
        <v>0</v>
      </c>
      <c r="L23" s="475">
        <f>SUM('Parametre - Agendové IS'!AD126:AD135)</f>
        <v>0</v>
      </c>
      <c r="M23" s="475">
        <f>SUM('Parametre - Agendové IS'!AG126:AG135)</f>
        <v>0</v>
      </c>
      <c r="N23" s="475">
        <f>SUM('Parametre - Agendové IS'!AJ126:AJ135)</f>
        <v>0</v>
      </c>
      <c r="O23" s="475">
        <f>SUM('Parametre - Agendové IS'!AM126:AM135)</f>
        <v>0</v>
      </c>
      <c r="P23" s="475">
        <f>SUM('Parametre - Agendové IS'!AP126:AP135)</f>
        <v>0</v>
      </c>
      <c r="Q23" s="475">
        <f>SUM('Parametre - Agendové IS'!AS126:AS135)</f>
        <v>0</v>
      </c>
      <c r="R23" s="475">
        <f>SUM('Parametre - Agendové IS'!AV126:AV135)</f>
        <v>0</v>
      </c>
      <c r="S23" s="475">
        <f>SUM('Parametre - Agendové IS'!AY126:AY135)</f>
        <v>0</v>
      </c>
      <c r="T23" s="475">
        <f>SUM('Parametre - Agendové IS'!BB126:BB135)</f>
        <v>0</v>
      </c>
      <c r="U23" s="475">
        <f>SUM('Parametre - Agendové IS'!BE126:BE135)</f>
        <v>0</v>
      </c>
      <c r="V23" s="475">
        <f>SUM('Parametre - Agendové IS'!BH126:BH135)</f>
        <v>0</v>
      </c>
      <c r="W23" s="475">
        <f>SUM('Parametre - Agendové IS'!BK126:BK135)</f>
        <v>0</v>
      </c>
      <c r="X23" s="475">
        <f>SUM('Parametre - Agendové IS'!BN126:BN135)</f>
        <v>0</v>
      </c>
      <c r="Y23" s="475">
        <f>SUM('Parametre - Agendové IS'!BQ126:BQ135)</f>
        <v>0</v>
      </c>
      <c r="AC23" s="458"/>
      <c r="AD23" s="458"/>
      <c r="AE23" s="459" t="s">
        <v>39</v>
      </c>
      <c r="AF23" s="470">
        <f>SUM(AG23:AZ23)</f>
        <v>2812231.060321263</v>
      </c>
      <c r="AG23" s="470">
        <f>'Parametre - Agendové IS'!I126+NPV(Faktory!$D$5,'Parametre - Agendové IS'!I127:I135)</f>
        <v>0</v>
      </c>
      <c r="AH23" s="470">
        <f>'Parametre - Agendové IS'!L126+NPV(Faktory!$D$5,'Parametre - Agendové IS'!L127:L135)</f>
        <v>0</v>
      </c>
      <c r="AI23" s="470">
        <f>'Parametre - Agendové IS'!O126+NPV(Faktory!$D$5,'Parametre - Agendové IS'!O127:O135)</f>
        <v>2812231.060321263</v>
      </c>
      <c r="AJ23" s="470">
        <f>'Parametre - Agendové IS'!R126+NPV(Faktory!$D$5,'Parametre - Agendové IS'!R127:R135)</f>
        <v>0</v>
      </c>
      <c r="AK23" s="470">
        <f>'Parametre - Agendové IS'!U126+NPV(Faktory!$D$5,'Parametre - Agendové IS'!U127:U135)</f>
        <v>0</v>
      </c>
      <c r="AL23" s="470">
        <f>'Parametre - Agendové IS'!X126+NPV(Faktory!$D$5,'Parametre - Agendové IS'!X127:X135)</f>
        <v>0</v>
      </c>
      <c r="AM23" s="470">
        <f>'Parametre - Agendové IS'!AA126+NPV(Faktory!$D$5,'Parametre - Agendové IS'!AA127:AA135)</f>
        <v>0</v>
      </c>
      <c r="AN23" s="470">
        <f>'Parametre - Agendové IS'!AD126+NPV(Faktory!$D$5,'Parametre - Agendové IS'!AD127:AD135)</f>
        <v>0</v>
      </c>
      <c r="AO23" s="470">
        <f>'Parametre - Agendové IS'!AG126+NPV(Faktory!$D$5,'Parametre - Agendové IS'!AG127:AG135)</f>
        <v>0</v>
      </c>
      <c r="AP23" s="470">
        <f>'Parametre - Agendové IS'!AJ126+NPV(Faktory!$D$5,'Parametre - Agendové IS'!AJ127:AJ135)</f>
        <v>0</v>
      </c>
      <c r="AQ23" s="470">
        <f>'Parametre - Agendové IS'!AM126+NPV(Faktory!$D$5,'Parametre - Agendové IS'!AM127:AM135)</f>
        <v>0</v>
      </c>
      <c r="AR23" s="470">
        <f>'Parametre - Agendové IS'!AP126+NPV(Faktory!$D$5,'Parametre - Agendové IS'!AP127:AP135)</f>
        <v>0</v>
      </c>
      <c r="AS23" s="470">
        <f>'Parametre - Agendové IS'!AS126+NPV(Faktory!$D$5,'Parametre - Agendové IS'!AS127:AS135)</f>
        <v>0</v>
      </c>
      <c r="AT23" s="470">
        <f>'Parametre - Agendové IS'!AV126+NPV(Faktory!$D$5,'Parametre - Agendové IS'!AV127:AV135)</f>
        <v>0</v>
      </c>
      <c r="AU23" s="470">
        <f>'Parametre - Agendové IS'!AY126+NPV(Faktory!$D$5,'Parametre - Agendové IS'!AY127:AY135)</f>
        <v>0</v>
      </c>
      <c r="AV23" s="470">
        <f>'Parametre - Agendové IS'!BB126+NPV(Faktory!$D$5,'Parametre - Agendové IS'!BB127:BB135)</f>
        <v>0</v>
      </c>
      <c r="AW23" s="470">
        <f>'Parametre - Agendové IS'!BE126+NPV(Faktory!$D$5,'Parametre - Agendové IS'!BE127:BE135)</f>
        <v>0</v>
      </c>
      <c r="AX23" s="470">
        <f>'Parametre - Agendové IS'!BH126+NPV(Faktory!$D$5,'Parametre - Agendové IS'!BH127:BH135)</f>
        <v>0</v>
      </c>
      <c r="AY23" s="470">
        <f>'Parametre - Agendové IS'!BK126+NPV(Faktory!$D$5,'Parametre - Agendové IS'!BK127:BK135)</f>
        <v>0</v>
      </c>
      <c r="AZ23" s="470">
        <f>'Parametre - Agendové IS'!BN126+NPV(Faktory!$D$5,'Parametre - Agendové IS'!BN127:BN135)</f>
        <v>0</v>
      </c>
      <c r="BA23" s="470">
        <f>'Parametre - Agendové IS'!BQ126+NPV(Faktory!$D$5,'Parametre - Agendové IS'!BQ127:BQ135)</f>
        <v>0</v>
      </c>
    </row>
    <row r="24" spans="1:53">
      <c r="A24" s="455"/>
      <c r="B24" s="456" t="s">
        <v>167</v>
      </c>
      <c r="C24" s="456"/>
      <c r="D24" s="462"/>
      <c r="E24" s="468"/>
      <c r="F24" s="469"/>
      <c r="G24" s="469"/>
      <c r="H24" s="469"/>
      <c r="I24" s="469"/>
      <c r="J24" s="468"/>
      <c r="K24" s="469"/>
      <c r="L24" s="469"/>
      <c r="M24" s="469"/>
      <c r="N24" s="468"/>
      <c r="O24" s="469"/>
      <c r="P24" s="469"/>
      <c r="Q24" s="469"/>
      <c r="R24" s="468"/>
      <c r="S24" s="469"/>
      <c r="T24" s="469"/>
      <c r="U24" s="469"/>
      <c r="V24" s="468"/>
      <c r="W24" s="469"/>
      <c r="X24" s="469"/>
      <c r="Y24" s="469"/>
      <c r="AC24" s="455"/>
      <c r="AD24" s="456" t="s">
        <v>167</v>
      </c>
      <c r="AE24" s="456"/>
      <c r="AF24" s="462"/>
      <c r="AG24" s="463"/>
      <c r="AH24" s="463"/>
      <c r="AI24" s="463"/>
      <c r="AJ24" s="463"/>
      <c r="AK24" s="462"/>
      <c r="AL24" s="463"/>
      <c r="AM24" s="463"/>
      <c r="AN24" s="463"/>
      <c r="AO24" s="462"/>
      <c r="AP24" s="463"/>
      <c r="AQ24" s="463"/>
      <c r="AR24" s="463"/>
      <c r="AS24" s="462"/>
      <c r="AT24" s="463"/>
      <c r="AU24" s="463"/>
      <c r="AV24" s="463"/>
      <c r="AW24" s="462"/>
      <c r="AX24" s="463"/>
      <c r="AY24" s="463"/>
      <c r="AZ24" s="463"/>
      <c r="BA24" s="462"/>
    </row>
    <row r="25" spans="1:53">
      <c r="A25" s="464"/>
      <c r="B25" s="464"/>
      <c r="C25" s="537" t="s">
        <v>169</v>
      </c>
      <c r="D25" s="465"/>
      <c r="E25" s="464"/>
      <c r="F25" s="464"/>
      <c r="G25" s="464"/>
      <c r="H25" s="464"/>
      <c r="I25" s="464"/>
      <c r="J25" s="464"/>
      <c r="K25" s="464"/>
      <c r="L25" s="464"/>
      <c r="M25" s="464"/>
      <c r="N25" s="464"/>
      <c r="O25" s="464"/>
      <c r="P25" s="464"/>
      <c r="Q25" s="464"/>
      <c r="R25" s="464"/>
      <c r="S25" s="464"/>
      <c r="T25" s="464"/>
      <c r="U25" s="464"/>
      <c r="V25" s="464"/>
      <c r="W25" s="464"/>
      <c r="X25" s="464"/>
      <c r="Y25" s="464"/>
      <c r="AC25" s="464"/>
      <c r="AD25" s="464"/>
      <c r="AE25" s="537" t="s">
        <v>169</v>
      </c>
      <c r="AF25" s="465"/>
      <c r="AG25" s="465"/>
      <c r="AH25" s="465"/>
      <c r="AI25" s="465"/>
      <c r="AJ25" s="465"/>
      <c r="AK25" s="465"/>
      <c r="AL25" s="465"/>
      <c r="AM25" s="465"/>
      <c r="AN25" s="465"/>
      <c r="AO25" s="465"/>
      <c r="AP25" s="465"/>
      <c r="AQ25" s="465"/>
      <c r="AR25" s="465"/>
      <c r="AS25" s="465"/>
      <c r="AT25" s="465"/>
      <c r="AU25" s="465"/>
      <c r="AV25" s="465"/>
      <c r="AW25" s="465"/>
      <c r="AX25" s="465"/>
      <c r="AY25" s="465"/>
      <c r="AZ25" s="465"/>
      <c r="BA25" s="465"/>
    </row>
    <row r="26" spans="1:53">
      <c r="A26" s="464"/>
      <c r="B26" s="464"/>
      <c r="C26" s="537" t="s">
        <v>168</v>
      </c>
      <c r="D26" s="465"/>
      <c r="E26" s="464"/>
      <c r="F26" s="464"/>
      <c r="G26" s="464"/>
      <c r="H26" s="464"/>
      <c r="I26" s="464"/>
      <c r="J26" s="464"/>
      <c r="K26" s="464"/>
      <c r="L26" s="464"/>
      <c r="M26" s="464"/>
      <c r="N26" s="464"/>
      <c r="O26" s="464"/>
      <c r="P26" s="464"/>
      <c r="Q26" s="464"/>
      <c r="R26" s="464"/>
      <c r="S26" s="464"/>
      <c r="T26" s="464"/>
      <c r="U26" s="464"/>
      <c r="V26" s="464"/>
      <c r="W26" s="464"/>
      <c r="X26" s="464"/>
      <c r="Y26" s="464"/>
      <c r="AC26" s="464"/>
      <c r="AD26" s="464"/>
      <c r="AE26" s="537" t="s">
        <v>168</v>
      </c>
      <c r="AF26" s="465"/>
      <c r="AG26" s="465"/>
      <c r="AH26" s="465"/>
      <c r="AI26" s="465"/>
      <c r="AJ26" s="465"/>
      <c r="AK26" s="465"/>
      <c r="AL26" s="465"/>
      <c r="AM26" s="465"/>
      <c r="AN26" s="465"/>
      <c r="AO26" s="465"/>
      <c r="AP26" s="465"/>
      <c r="AQ26" s="465"/>
      <c r="AR26" s="465"/>
      <c r="AS26" s="465"/>
      <c r="AT26" s="465"/>
      <c r="AU26" s="465"/>
      <c r="AV26" s="465"/>
      <c r="AW26" s="465"/>
      <c r="AX26" s="465"/>
      <c r="AY26" s="465"/>
      <c r="AZ26" s="465"/>
      <c r="BA26" s="465"/>
    </row>
    <row r="27" spans="1:53">
      <c r="A27" s="464"/>
      <c r="B27" s="464"/>
      <c r="C27" s="537" t="s">
        <v>168</v>
      </c>
      <c r="D27" s="465"/>
      <c r="E27" s="464"/>
      <c r="F27" s="464"/>
      <c r="G27" s="464"/>
      <c r="H27" s="464"/>
      <c r="I27" s="464"/>
      <c r="J27" s="464"/>
      <c r="K27" s="464"/>
      <c r="L27" s="464"/>
      <c r="M27" s="464"/>
      <c r="N27" s="464"/>
      <c r="O27" s="464"/>
      <c r="P27" s="464"/>
      <c r="Q27" s="464"/>
      <c r="R27" s="464"/>
      <c r="S27" s="464"/>
      <c r="T27" s="464"/>
      <c r="U27" s="464"/>
      <c r="V27" s="464"/>
      <c r="W27" s="464"/>
      <c r="X27" s="464"/>
      <c r="Y27" s="464"/>
      <c r="AC27" s="464"/>
      <c r="AD27" s="464"/>
      <c r="AE27" s="537" t="s">
        <v>168</v>
      </c>
      <c r="AF27" s="465"/>
      <c r="AG27" s="465"/>
      <c r="AH27" s="465"/>
      <c r="AI27" s="465"/>
      <c r="AJ27" s="465"/>
      <c r="AK27" s="465"/>
      <c r="AL27" s="465"/>
      <c r="AM27" s="465"/>
      <c r="AN27" s="465"/>
      <c r="AO27" s="465"/>
      <c r="AP27" s="465"/>
      <c r="AQ27" s="465"/>
      <c r="AR27" s="465"/>
      <c r="AS27" s="465"/>
      <c r="AT27" s="465"/>
      <c r="AU27" s="465"/>
      <c r="AV27" s="465"/>
      <c r="AW27" s="465"/>
      <c r="AX27" s="465"/>
      <c r="AY27" s="465"/>
      <c r="AZ27" s="465"/>
      <c r="BA27" s="465"/>
    </row>
  </sheetData>
  <sheetProtection insertColumns="0" insertRows="0" deleteColumns="0" deleteRows="0"/>
  <mergeCells count="2">
    <mergeCell ref="A2:C2"/>
    <mergeCell ref="AC2:AE2"/>
  </mergeCells>
  <conditionalFormatting sqref="E2:Y2">
    <cfRule type="cellIs" dxfId="33" priority="1" operator="equal">
      <formula>0</formula>
    </cfRule>
  </conditionalFormatting>
  <conditionalFormatting sqref="AG2:BA2">
    <cfRule type="cellIs" dxfId="32" priority="3" operator="equal">
      <formula>0</formula>
    </cfRule>
  </conditionalFormatting>
  <pageMargins left="0.7" right="0.7" top="0.75" bottom="0.75" header="0.3" footer="0.3"/>
  <pageSetup paperSize="9" scale="53"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23">
    <tabColor theme="0" tint="-0.34998626667073579"/>
  </sheetPr>
  <dimension ref="A1:V22"/>
  <sheetViews>
    <sheetView workbookViewId="0">
      <pane xSplit="6" ySplit="2" topLeftCell="G3" activePane="bottomRight" state="frozen"/>
      <selection pane="topRight" activeCell="G1" sqref="G1"/>
      <selection pane="bottomLeft" activeCell="A3" sqref="A3"/>
      <selection pane="bottomRight" activeCell="F31" sqref="F31"/>
    </sheetView>
  </sheetViews>
  <sheetFormatPr defaultColWidth="8.85546875" defaultRowHeight="12.75"/>
  <cols>
    <col min="1" max="1" width="15.42578125" style="516" bestFit="1" customWidth="1"/>
    <col min="2" max="2" width="19.42578125" style="516" bestFit="1" customWidth="1"/>
    <col min="3" max="4" width="12.85546875" style="516" customWidth="1"/>
    <col min="5" max="5" width="12.5703125" style="516" bestFit="1" customWidth="1"/>
    <col min="6" max="6" width="6.5703125" style="516" customWidth="1"/>
    <col min="7" max="7" width="13.140625" style="516" customWidth="1"/>
    <col min="8" max="8" width="11.5703125" style="516" customWidth="1"/>
    <col min="9" max="13" width="8.42578125" style="516" customWidth="1"/>
    <col min="14" max="14" width="10.42578125" style="516" customWidth="1"/>
    <col min="15" max="15" width="13.5703125" style="516" customWidth="1"/>
    <col min="16" max="16" width="12.42578125" style="516" customWidth="1"/>
    <col min="17" max="17" width="13.5703125" style="516" customWidth="1"/>
    <col min="18" max="19" width="12.42578125" style="516" customWidth="1"/>
    <col min="20" max="20" width="13.5703125" style="516" customWidth="1"/>
    <col min="21" max="22" width="13.42578125" style="516" customWidth="1"/>
    <col min="23" max="16384" width="8.85546875" style="516"/>
  </cols>
  <sheetData>
    <row r="1" spans="1:22" s="509" customFormat="1" ht="14.45" customHeight="1">
      <c r="A1" s="783" t="s">
        <v>462</v>
      </c>
      <c r="B1" s="783" t="s">
        <v>465</v>
      </c>
      <c r="C1" s="783" t="s">
        <v>416</v>
      </c>
      <c r="D1" s="791" t="s">
        <v>750</v>
      </c>
      <c r="E1" s="787" t="s">
        <v>467</v>
      </c>
      <c r="F1" s="788"/>
      <c r="G1" s="783" t="s">
        <v>416</v>
      </c>
      <c r="H1" s="784" t="s">
        <v>474</v>
      </c>
      <c r="I1" s="785"/>
      <c r="J1" s="785"/>
      <c r="K1" s="785"/>
      <c r="L1" s="786"/>
      <c r="M1" s="661"/>
      <c r="N1" s="661"/>
      <c r="O1" s="782" t="s">
        <v>475</v>
      </c>
      <c r="P1" s="782"/>
      <c r="Q1" s="782"/>
      <c r="R1" s="782"/>
      <c r="S1" s="782"/>
      <c r="T1" s="782"/>
      <c r="U1" s="780" t="s">
        <v>684</v>
      </c>
      <c r="V1" s="781"/>
    </row>
    <row r="2" spans="1:22" s="509" customFormat="1" ht="38.25">
      <c r="A2" s="783"/>
      <c r="B2" s="783"/>
      <c r="C2" s="783"/>
      <c r="D2" s="792"/>
      <c r="E2" s="789"/>
      <c r="F2" s="790"/>
      <c r="G2" s="783"/>
      <c r="H2" s="510" t="s">
        <v>476</v>
      </c>
      <c r="I2" s="511" t="s">
        <v>673</v>
      </c>
      <c r="J2" s="511" t="s">
        <v>674</v>
      </c>
      <c r="K2" s="511" t="s">
        <v>751</v>
      </c>
      <c r="L2" s="511" t="s">
        <v>752</v>
      </c>
      <c r="M2" s="511" t="s">
        <v>770</v>
      </c>
      <c r="N2" s="511" t="s">
        <v>771</v>
      </c>
      <c r="O2" s="511" t="s">
        <v>673</v>
      </c>
      <c r="P2" s="511" t="s">
        <v>683</v>
      </c>
      <c r="Q2" s="511" t="s">
        <v>674</v>
      </c>
      <c r="R2" s="511" t="s">
        <v>683</v>
      </c>
      <c r="S2" s="511" t="s">
        <v>751</v>
      </c>
      <c r="T2" s="511" t="s">
        <v>752</v>
      </c>
      <c r="U2" s="511" t="s">
        <v>673</v>
      </c>
      <c r="V2" s="511" t="s">
        <v>674</v>
      </c>
    </row>
    <row r="3" spans="1:22">
      <c r="A3" s="774" t="s">
        <v>463</v>
      </c>
      <c r="B3" s="774" t="s">
        <v>466</v>
      </c>
      <c r="C3" s="763">
        <f>'TCO TO BE- SW'!E36</f>
        <v>8406579.0559999999</v>
      </c>
      <c r="D3" s="648" t="s">
        <v>753</v>
      </c>
      <c r="E3" s="764" t="s">
        <v>472</v>
      </c>
      <c r="F3" s="765"/>
      <c r="G3" s="513">
        <f>SUM('TCO TO BE- SW'!F47:F56,'TCO TO BE- SW'!F67:F76)</f>
        <v>0</v>
      </c>
      <c r="H3" s="514" t="str">
        <f t="shared" ref="H3:H21" si="0">IF(SUM(I3:L3)=0,"",SUM(I3:L3))</f>
        <v/>
      </c>
      <c r="I3" s="622"/>
      <c r="J3" s="622"/>
      <c r="K3" s="622"/>
      <c r="L3" s="622"/>
      <c r="M3" s="622"/>
      <c r="N3" s="622"/>
      <c r="O3" s="515">
        <f>$G3*I3</f>
        <v>0</v>
      </c>
      <c r="P3" s="626"/>
      <c r="Q3" s="515">
        <f t="shared" ref="Q3:Q21" si="1">$G3*J3</f>
        <v>0</v>
      </c>
      <c r="R3" s="626"/>
      <c r="S3" s="515">
        <f>$G3*K3</f>
        <v>0</v>
      </c>
      <c r="T3" s="515">
        <f>$G3*L3</f>
        <v>0</v>
      </c>
      <c r="U3" s="514">
        <f>IFERROR(P3/O3,0)</f>
        <v>0</v>
      </c>
      <c r="V3" s="514">
        <f>IFERROR(R3/Q3,0)</f>
        <v>0</v>
      </c>
    </row>
    <row r="4" spans="1:22">
      <c r="A4" s="779"/>
      <c r="B4" s="779"/>
      <c r="C4" s="763"/>
      <c r="D4" s="648" t="s">
        <v>754</v>
      </c>
      <c r="E4" s="764" t="s">
        <v>472</v>
      </c>
      <c r="F4" s="765"/>
      <c r="G4" s="513">
        <f>SUM('TCO TO BE- SW'!E37:E46)</f>
        <v>7666369.1999999993</v>
      </c>
      <c r="H4" s="514">
        <v>1</v>
      </c>
      <c r="I4" s="622"/>
      <c r="J4" s="622"/>
      <c r="K4" s="622"/>
      <c r="L4" s="622">
        <v>1</v>
      </c>
      <c r="M4" s="622"/>
      <c r="N4" s="622"/>
      <c r="O4" s="515">
        <f t="shared" ref="O4:O21" si="2">$G4*I4</f>
        <v>0</v>
      </c>
      <c r="P4" s="626"/>
      <c r="Q4" s="515">
        <f t="shared" si="1"/>
        <v>0</v>
      </c>
      <c r="R4" s="626"/>
      <c r="S4" s="515">
        <f t="shared" ref="S4:S21" si="3">$G4*K4</f>
        <v>0</v>
      </c>
      <c r="T4" s="515">
        <f t="shared" ref="T4:T21" si="4">$G4*L4</f>
        <v>7666369.1999999993</v>
      </c>
      <c r="U4" s="514">
        <f t="shared" ref="U4:U21" si="5">IFERROR(P4/O4,0)</f>
        <v>0</v>
      </c>
      <c r="V4" s="514">
        <f t="shared" ref="V4:V21" si="6">IFERROR(R4/Q4,0)</f>
        <v>0</v>
      </c>
    </row>
    <row r="5" spans="1:22">
      <c r="A5" s="779"/>
      <c r="B5" s="775"/>
      <c r="C5" s="763"/>
      <c r="D5" s="648" t="s">
        <v>753</v>
      </c>
      <c r="E5" s="764" t="s">
        <v>473</v>
      </c>
      <c r="F5" s="765"/>
      <c r="G5" s="513">
        <f>SUM('TCO TO BE- SW'!E57:E66)</f>
        <v>740209.85600000015</v>
      </c>
      <c r="H5" s="514">
        <v>1</v>
      </c>
      <c r="I5" s="622"/>
      <c r="J5" s="622"/>
      <c r="K5" s="622"/>
      <c r="L5" s="622"/>
      <c r="M5" s="622"/>
      <c r="N5" s="622"/>
      <c r="O5" s="515">
        <f t="shared" si="2"/>
        <v>0</v>
      </c>
      <c r="P5" s="626"/>
      <c r="Q5" s="515">
        <f t="shared" si="1"/>
        <v>0</v>
      </c>
      <c r="R5" s="626"/>
      <c r="S5" s="515">
        <f t="shared" si="3"/>
        <v>0</v>
      </c>
      <c r="T5" s="515">
        <f t="shared" si="4"/>
        <v>0</v>
      </c>
      <c r="U5" s="514">
        <f t="shared" si="5"/>
        <v>0</v>
      </c>
      <c r="V5" s="514">
        <f t="shared" si="6"/>
        <v>0</v>
      </c>
    </row>
    <row r="6" spans="1:22">
      <c r="A6" s="779"/>
      <c r="B6" s="774" t="s">
        <v>471</v>
      </c>
      <c r="C6" s="763">
        <f>'TCO TO BE - HW'!E4+'TCO TO BE- SW'!E5</f>
        <v>600000</v>
      </c>
      <c r="D6" s="648" t="s">
        <v>753</v>
      </c>
      <c r="E6" s="764" t="s">
        <v>472</v>
      </c>
      <c r="F6" s="765"/>
      <c r="G6" s="513">
        <f>SUM('TCO TO BE- SW'!E26:E35)+SUM('TCO TO BE - HW'!E15:E34)+SUM('TCO TO BE - HW'!E45:E54)</f>
        <v>0</v>
      </c>
      <c r="H6" s="514"/>
      <c r="I6" s="622"/>
      <c r="J6" s="622"/>
      <c r="K6" s="622"/>
      <c r="L6" s="622"/>
      <c r="M6" s="622"/>
      <c r="N6" s="622"/>
      <c r="O6" s="515">
        <f t="shared" si="2"/>
        <v>0</v>
      </c>
      <c r="P6" s="626"/>
      <c r="Q6" s="515">
        <f t="shared" si="1"/>
        <v>0</v>
      </c>
      <c r="R6" s="626"/>
      <c r="S6" s="515">
        <f t="shared" si="3"/>
        <v>0</v>
      </c>
      <c r="T6" s="515">
        <f t="shared" si="4"/>
        <v>0</v>
      </c>
      <c r="U6" s="514">
        <f t="shared" si="5"/>
        <v>0</v>
      </c>
      <c r="V6" s="514">
        <f t="shared" si="6"/>
        <v>0</v>
      </c>
    </row>
    <row r="7" spans="1:22">
      <c r="A7" s="779"/>
      <c r="B7" s="779"/>
      <c r="C7" s="763"/>
      <c r="D7" s="648" t="s">
        <v>754</v>
      </c>
      <c r="E7" s="764" t="s">
        <v>472</v>
      </c>
      <c r="F7" s="765"/>
      <c r="G7" s="513">
        <f>SUM('TCO TO BE- SW'!E6:E15)+SUM('TCO TO BE - HW'!E5:E14)</f>
        <v>600000</v>
      </c>
      <c r="H7" s="514">
        <v>1</v>
      </c>
      <c r="I7" s="622"/>
      <c r="J7" s="622"/>
      <c r="K7" s="622"/>
      <c r="L7" s="622">
        <v>1</v>
      </c>
      <c r="M7" s="622"/>
      <c r="N7" s="622"/>
      <c r="O7" s="515">
        <f t="shared" si="2"/>
        <v>0</v>
      </c>
      <c r="P7" s="626"/>
      <c r="Q7" s="515">
        <f t="shared" si="1"/>
        <v>0</v>
      </c>
      <c r="R7" s="626"/>
      <c r="S7" s="515">
        <f t="shared" si="3"/>
        <v>0</v>
      </c>
      <c r="T7" s="515">
        <f t="shared" si="4"/>
        <v>600000</v>
      </c>
      <c r="U7" s="514">
        <f t="shared" si="5"/>
        <v>0</v>
      </c>
      <c r="V7" s="514">
        <f t="shared" si="6"/>
        <v>0</v>
      </c>
    </row>
    <row r="8" spans="1:22">
      <c r="A8" s="775"/>
      <c r="B8" s="775"/>
      <c r="C8" s="763"/>
      <c r="D8" s="648" t="s">
        <v>753</v>
      </c>
      <c r="E8" s="764" t="s">
        <v>473</v>
      </c>
      <c r="F8" s="765"/>
      <c r="G8" s="513">
        <f>SUM('TCO TO BE- SW'!E16:E25)+SUM('TCO TO BE - HW'!E35:E44)</f>
        <v>0</v>
      </c>
      <c r="H8" s="514" t="str">
        <f t="shared" si="0"/>
        <v/>
      </c>
      <c r="I8" s="622"/>
      <c r="J8" s="622"/>
      <c r="K8" s="622"/>
      <c r="L8" s="622"/>
      <c r="M8" s="622"/>
      <c r="N8" s="622"/>
      <c r="O8" s="515">
        <f t="shared" si="2"/>
        <v>0</v>
      </c>
      <c r="P8" s="626"/>
      <c r="Q8" s="515">
        <f t="shared" si="1"/>
        <v>0</v>
      </c>
      <c r="R8" s="626"/>
      <c r="S8" s="515">
        <f t="shared" si="3"/>
        <v>0</v>
      </c>
      <c r="T8" s="515">
        <f t="shared" si="4"/>
        <v>0</v>
      </c>
      <c r="U8" s="514">
        <f t="shared" si="5"/>
        <v>0</v>
      </c>
      <c r="V8" s="514">
        <f t="shared" si="6"/>
        <v>0</v>
      </c>
    </row>
    <row r="9" spans="1:22">
      <c r="A9" s="774" t="s">
        <v>470</v>
      </c>
      <c r="B9" s="774" t="s">
        <v>104</v>
      </c>
      <c r="C9" s="763">
        <f>'TCO TO BE- SW'!E99</f>
        <v>6212201.0129004624</v>
      </c>
      <c r="D9" s="648" t="s">
        <v>753</v>
      </c>
      <c r="E9" s="764" t="s">
        <v>472</v>
      </c>
      <c r="F9" s="765"/>
      <c r="G9" s="513">
        <f>SUM('TCO TO BE- SW'!E100:E119,'TCO TO BE- SW'!E140:E149)</f>
        <v>6212201.0129004624</v>
      </c>
      <c r="H9" s="514">
        <v>1</v>
      </c>
      <c r="I9" s="622"/>
      <c r="J9" s="622"/>
      <c r="K9" s="622"/>
      <c r="L9" s="622"/>
      <c r="M9" s="622"/>
      <c r="N9" s="622"/>
      <c r="O9" s="515">
        <f t="shared" si="2"/>
        <v>0</v>
      </c>
      <c r="P9" s="626"/>
      <c r="Q9" s="515">
        <f t="shared" si="1"/>
        <v>0</v>
      </c>
      <c r="R9" s="626"/>
      <c r="S9" s="515">
        <f t="shared" si="3"/>
        <v>0</v>
      </c>
      <c r="T9" s="515">
        <f t="shared" si="4"/>
        <v>0</v>
      </c>
      <c r="U9" s="514">
        <f t="shared" si="5"/>
        <v>0</v>
      </c>
      <c r="V9" s="514">
        <f t="shared" si="6"/>
        <v>0</v>
      </c>
    </row>
    <row r="10" spans="1:22">
      <c r="A10" s="779"/>
      <c r="B10" s="779"/>
      <c r="C10" s="763"/>
      <c r="D10" s="648" t="s">
        <v>754</v>
      </c>
      <c r="E10" s="764" t="s">
        <v>472</v>
      </c>
      <c r="F10" s="765"/>
      <c r="G10" s="513">
        <f>SUM('TCO TO BE- SW'!E120:E129)</f>
        <v>0</v>
      </c>
      <c r="H10" s="514">
        <v>1</v>
      </c>
      <c r="I10" s="622"/>
      <c r="J10" s="622"/>
      <c r="K10" s="622"/>
      <c r="L10" s="622"/>
      <c r="M10" s="622"/>
      <c r="N10" s="622"/>
      <c r="O10" s="515">
        <f t="shared" si="2"/>
        <v>0</v>
      </c>
      <c r="P10" s="626"/>
      <c r="Q10" s="515">
        <f t="shared" si="1"/>
        <v>0</v>
      </c>
      <c r="R10" s="626"/>
      <c r="S10" s="515">
        <f t="shared" si="3"/>
        <v>0</v>
      </c>
      <c r="T10" s="515">
        <f t="shared" si="4"/>
        <v>0</v>
      </c>
      <c r="U10" s="514">
        <f t="shared" si="5"/>
        <v>0</v>
      </c>
      <c r="V10" s="514">
        <f t="shared" si="6"/>
        <v>0</v>
      </c>
    </row>
    <row r="11" spans="1:22">
      <c r="A11" s="779"/>
      <c r="B11" s="775"/>
      <c r="C11" s="763"/>
      <c r="D11" s="648" t="s">
        <v>753</v>
      </c>
      <c r="E11" s="764" t="s">
        <v>473</v>
      </c>
      <c r="F11" s="765"/>
      <c r="G11" s="513">
        <f>SUM('TCO TO BE- SW'!E130:E139)</f>
        <v>0</v>
      </c>
      <c r="H11" s="514" t="str">
        <f t="shared" si="0"/>
        <v/>
      </c>
      <c r="I11" s="622"/>
      <c r="J11" s="622"/>
      <c r="K11" s="622"/>
      <c r="L11" s="622"/>
      <c r="M11" s="622"/>
      <c r="N11" s="622"/>
      <c r="O11" s="515">
        <f t="shared" si="2"/>
        <v>0</v>
      </c>
      <c r="P11" s="626"/>
      <c r="Q11" s="515">
        <f t="shared" si="1"/>
        <v>0</v>
      </c>
      <c r="R11" s="626"/>
      <c r="S11" s="515">
        <f t="shared" si="3"/>
        <v>0</v>
      </c>
      <c r="T11" s="515">
        <f t="shared" si="4"/>
        <v>0</v>
      </c>
      <c r="U11" s="514">
        <f t="shared" si="5"/>
        <v>0</v>
      </c>
      <c r="V11" s="514">
        <f t="shared" si="6"/>
        <v>0</v>
      </c>
    </row>
    <row r="12" spans="1:22">
      <c r="A12" s="779"/>
      <c r="B12" s="774" t="s">
        <v>461</v>
      </c>
      <c r="C12" s="763">
        <f>'TCO TO BE - HW'!E55+'TCO TO BE- SW'!E78</f>
        <v>0</v>
      </c>
      <c r="D12" s="648" t="s">
        <v>753</v>
      </c>
      <c r="E12" s="764" t="s">
        <v>472</v>
      </c>
      <c r="F12" s="765"/>
      <c r="G12" s="513">
        <f>SUM('TCO TO BE- SW'!E79:E88)+SUM('TCO TO BE - HW'!E56:E65,'TCO TO BE - HW'!E76:E85,'TCO TO BE - HW'!E96:E105)</f>
        <v>0</v>
      </c>
      <c r="H12" s="514" t="str">
        <f t="shared" si="0"/>
        <v/>
      </c>
      <c r="I12" s="622"/>
      <c r="J12" s="622"/>
      <c r="K12" s="622"/>
      <c r="L12" s="622"/>
      <c r="M12" s="622"/>
      <c r="N12" s="622"/>
      <c r="O12" s="515">
        <f t="shared" si="2"/>
        <v>0</v>
      </c>
      <c r="P12" s="626"/>
      <c r="Q12" s="515">
        <f t="shared" si="1"/>
        <v>0</v>
      </c>
      <c r="R12" s="626"/>
      <c r="S12" s="515">
        <f t="shared" si="3"/>
        <v>0</v>
      </c>
      <c r="T12" s="515">
        <f t="shared" si="4"/>
        <v>0</v>
      </c>
      <c r="U12" s="514">
        <f t="shared" si="5"/>
        <v>0</v>
      </c>
      <c r="V12" s="514">
        <f t="shared" si="6"/>
        <v>0</v>
      </c>
    </row>
    <row r="13" spans="1:22">
      <c r="A13" s="779"/>
      <c r="B13" s="779"/>
      <c r="C13" s="763"/>
      <c r="D13" s="648" t="s">
        <v>754</v>
      </c>
      <c r="E13" s="764" t="s">
        <v>472</v>
      </c>
      <c r="F13" s="765"/>
      <c r="G13" s="513">
        <f>SUM('TCO TO BE- SW'!E89:E98)+SUM('TCO TO BE - HW'!E66:E75)</f>
        <v>0</v>
      </c>
      <c r="H13" s="514"/>
      <c r="I13" s="622"/>
      <c r="J13" s="622"/>
      <c r="K13" s="622"/>
      <c r="L13" s="622">
        <v>1</v>
      </c>
      <c r="M13" s="622"/>
      <c r="N13" s="622"/>
      <c r="O13" s="515">
        <f t="shared" si="2"/>
        <v>0</v>
      </c>
      <c r="P13" s="626"/>
      <c r="Q13" s="515">
        <f t="shared" si="1"/>
        <v>0</v>
      </c>
      <c r="R13" s="626"/>
      <c r="S13" s="515">
        <f t="shared" si="3"/>
        <v>0</v>
      </c>
      <c r="T13" s="515">
        <f t="shared" si="4"/>
        <v>0</v>
      </c>
      <c r="U13" s="514">
        <f t="shared" si="5"/>
        <v>0</v>
      </c>
      <c r="V13" s="514">
        <f t="shared" si="6"/>
        <v>0</v>
      </c>
    </row>
    <row r="14" spans="1:22">
      <c r="A14" s="775"/>
      <c r="B14" s="775"/>
      <c r="C14" s="763"/>
      <c r="D14" s="648" t="s">
        <v>753</v>
      </c>
      <c r="E14" s="764" t="s">
        <v>473</v>
      </c>
      <c r="F14" s="765"/>
      <c r="G14" s="513">
        <f>SUM('TCO TO BE - HW'!E86:E95)</f>
        <v>0</v>
      </c>
      <c r="H14" s="514" t="str">
        <f t="shared" si="0"/>
        <v/>
      </c>
      <c r="I14" s="622"/>
      <c r="J14" s="622"/>
      <c r="K14" s="622"/>
      <c r="L14" s="622"/>
      <c r="M14" s="622"/>
      <c r="N14" s="622"/>
      <c r="O14" s="515">
        <f t="shared" si="2"/>
        <v>0</v>
      </c>
      <c r="P14" s="626"/>
      <c r="Q14" s="515">
        <f t="shared" si="1"/>
        <v>0</v>
      </c>
      <c r="R14" s="626"/>
      <c r="S14" s="515">
        <f t="shared" si="3"/>
        <v>0</v>
      </c>
      <c r="T14" s="515">
        <f t="shared" si="4"/>
        <v>0</v>
      </c>
      <c r="U14" s="514">
        <f t="shared" si="5"/>
        <v>0</v>
      </c>
      <c r="V14" s="514">
        <f t="shared" si="6"/>
        <v>0</v>
      </c>
    </row>
    <row r="15" spans="1:22" ht="14.45" customHeight="1">
      <c r="A15" s="776" t="s">
        <v>464</v>
      </c>
      <c r="B15" s="774" t="s">
        <v>468</v>
      </c>
      <c r="C15" s="763">
        <f>SUM('TCO TO BE- SW'!E151:E160)</f>
        <v>0</v>
      </c>
      <c r="D15" s="648" t="s">
        <v>753</v>
      </c>
      <c r="E15" s="764" t="s">
        <v>472</v>
      </c>
      <c r="F15" s="765"/>
      <c r="G15" s="515">
        <f>SUM(AKTIVITY_POZICIE!M41:M52)</f>
        <v>0</v>
      </c>
      <c r="H15" s="514" t="str">
        <f t="shared" si="0"/>
        <v/>
      </c>
      <c r="I15" s="622"/>
      <c r="J15" s="622"/>
      <c r="K15" s="622"/>
      <c r="L15" s="622"/>
      <c r="M15" s="622"/>
      <c r="N15" s="622"/>
      <c r="O15" s="515">
        <f t="shared" si="2"/>
        <v>0</v>
      </c>
      <c r="P15" s="626"/>
      <c r="Q15" s="515">
        <f t="shared" si="1"/>
        <v>0</v>
      </c>
      <c r="R15" s="626"/>
      <c r="S15" s="515">
        <f t="shared" si="3"/>
        <v>0</v>
      </c>
      <c r="T15" s="515">
        <f t="shared" si="4"/>
        <v>0</v>
      </c>
      <c r="U15" s="514">
        <f t="shared" si="5"/>
        <v>0</v>
      </c>
      <c r="V15" s="514">
        <f t="shared" si="6"/>
        <v>0</v>
      </c>
    </row>
    <row r="16" spans="1:22">
      <c r="A16" s="777"/>
      <c r="B16" s="775"/>
      <c r="C16" s="763"/>
      <c r="D16" s="648" t="s">
        <v>753</v>
      </c>
      <c r="E16" s="764" t="s">
        <v>473</v>
      </c>
      <c r="F16" s="765"/>
      <c r="G16" s="513">
        <f>SUM(POZICIE_INTERNE!I40:I51)</f>
        <v>0</v>
      </c>
      <c r="H16" s="514">
        <f t="shared" si="0"/>
        <v>1</v>
      </c>
      <c r="I16" s="622"/>
      <c r="J16" s="622"/>
      <c r="K16" s="622"/>
      <c r="L16" s="622">
        <v>1</v>
      </c>
      <c r="M16" s="622"/>
      <c r="N16" s="622"/>
      <c r="O16" s="515">
        <f t="shared" si="2"/>
        <v>0</v>
      </c>
      <c r="P16" s="626"/>
      <c r="Q16" s="515">
        <f t="shared" si="1"/>
        <v>0</v>
      </c>
      <c r="R16" s="626"/>
      <c r="S16" s="515">
        <f t="shared" si="3"/>
        <v>0</v>
      </c>
      <c r="T16" s="515">
        <f t="shared" si="4"/>
        <v>0</v>
      </c>
      <c r="U16" s="514">
        <f t="shared" si="5"/>
        <v>0</v>
      </c>
      <c r="V16" s="514">
        <f t="shared" si="6"/>
        <v>0</v>
      </c>
    </row>
    <row r="17" spans="1:22">
      <c r="A17" s="777"/>
      <c r="B17" s="774" t="s">
        <v>469</v>
      </c>
      <c r="C17" s="763">
        <f>SUM('TCO TO BE- SW'!E161:E170)</f>
        <v>630460.53391999996</v>
      </c>
      <c r="D17" s="648" t="s">
        <v>753</v>
      </c>
      <c r="E17" s="764" t="s">
        <v>472</v>
      </c>
      <c r="F17" s="765"/>
      <c r="G17" s="513">
        <f>SUM(AKTIVITY_POZICIE!M53:M64)</f>
        <v>0</v>
      </c>
      <c r="H17" s="514" t="str">
        <f t="shared" si="0"/>
        <v/>
      </c>
      <c r="I17" s="622"/>
      <c r="J17" s="622"/>
      <c r="K17" s="622"/>
      <c r="L17" s="622"/>
      <c r="M17" s="622"/>
      <c r="N17" s="622"/>
      <c r="O17" s="515">
        <f t="shared" si="2"/>
        <v>0</v>
      </c>
      <c r="P17" s="626"/>
      <c r="Q17" s="515">
        <f t="shared" si="1"/>
        <v>0</v>
      </c>
      <c r="R17" s="626"/>
      <c r="S17" s="515">
        <f t="shared" si="3"/>
        <v>0</v>
      </c>
      <c r="T17" s="515">
        <f t="shared" si="4"/>
        <v>0</v>
      </c>
      <c r="U17" s="514">
        <f t="shared" si="5"/>
        <v>0</v>
      </c>
      <c r="V17" s="514">
        <f t="shared" si="6"/>
        <v>0</v>
      </c>
    </row>
    <row r="18" spans="1:22">
      <c r="A18" s="777"/>
      <c r="B18" s="775"/>
      <c r="C18" s="763"/>
      <c r="D18" s="648" t="s">
        <v>753</v>
      </c>
      <c r="E18" s="764" t="s">
        <v>473</v>
      </c>
      <c r="F18" s="765"/>
      <c r="G18" s="513">
        <f>SUM(POZICIE_INTERNE!I52:I62)</f>
        <v>0</v>
      </c>
      <c r="H18" s="514" t="str">
        <f t="shared" si="0"/>
        <v/>
      </c>
      <c r="I18" s="622"/>
      <c r="J18" s="622"/>
      <c r="K18" s="622"/>
      <c r="L18" s="622"/>
      <c r="M18" s="622"/>
      <c r="N18" s="622"/>
      <c r="O18" s="515">
        <f t="shared" si="2"/>
        <v>0</v>
      </c>
      <c r="P18" s="626"/>
      <c r="Q18" s="515">
        <f t="shared" si="1"/>
        <v>0</v>
      </c>
      <c r="R18" s="626"/>
      <c r="S18" s="515">
        <f t="shared" si="3"/>
        <v>0</v>
      </c>
      <c r="T18" s="515">
        <f t="shared" si="4"/>
        <v>0</v>
      </c>
      <c r="U18" s="514">
        <f t="shared" si="5"/>
        <v>0</v>
      </c>
      <c r="V18" s="514">
        <f t="shared" si="6"/>
        <v>0</v>
      </c>
    </row>
    <row r="19" spans="1:22">
      <c r="A19" s="778"/>
      <c r="B19" s="664" t="s">
        <v>772</v>
      </c>
      <c r="C19" s="647"/>
      <c r="D19" s="766" t="s">
        <v>773</v>
      </c>
      <c r="E19" s="767"/>
      <c r="F19" s="663"/>
      <c r="G19" s="513">
        <f>POZICIE_INTERNE!I63</f>
        <v>630460.53392000007</v>
      </c>
      <c r="H19" s="514">
        <v>1</v>
      </c>
      <c r="I19" s="622"/>
      <c r="J19" s="622"/>
      <c r="K19" s="622"/>
      <c r="L19" s="622"/>
      <c r="M19" s="622"/>
      <c r="N19" s="622"/>
      <c r="O19" s="515"/>
      <c r="P19" s="626"/>
      <c r="Q19" s="515"/>
      <c r="R19" s="626"/>
      <c r="S19" s="515"/>
      <c r="T19" s="515"/>
      <c r="U19" s="514"/>
      <c r="V19" s="514"/>
    </row>
    <row r="20" spans="1:22">
      <c r="A20" s="770" t="s">
        <v>246</v>
      </c>
      <c r="B20" s="771"/>
      <c r="C20" s="763">
        <f>'TCO TO BE- SW'!E171</f>
        <v>0</v>
      </c>
      <c r="D20" s="647"/>
      <c r="E20" s="512" t="s">
        <v>472</v>
      </c>
      <c r="F20" s="622"/>
      <c r="G20" s="513">
        <f>C20*F20</f>
        <v>0</v>
      </c>
      <c r="H20" s="514" t="str">
        <f t="shared" si="0"/>
        <v/>
      </c>
      <c r="I20" s="622"/>
      <c r="J20" s="622"/>
      <c r="K20" s="622"/>
      <c r="L20" s="622"/>
      <c r="M20" s="622"/>
      <c r="N20" s="622"/>
      <c r="O20" s="515">
        <f t="shared" si="2"/>
        <v>0</v>
      </c>
      <c r="P20" s="626"/>
      <c r="Q20" s="515">
        <f t="shared" si="1"/>
        <v>0</v>
      </c>
      <c r="R20" s="626"/>
      <c r="S20" s="515">
        <f t="shared" si="3"/>
        <v>0</v>
      </c>
      <c r="T20" s="515">
        <f t="shared" si="4"/>
        <v>0</v>
      </c>
      <c r="U20" s="514">
        <f t="shared" si="5"/>
        <v>0</v>
      </c>
      <c r="V20" s="514">
        <f t="shared" si="6"/>
        <v>0</v>
      </c>
    </row>
    <row r="21" spans="1:22">
      <c r="A21" s="772"/>
      <c r="B21" s="773"/>
      <c r="C21" s="763"/>
      <c r="D21" s="647"/>
      <c r="E21" s="512" t="s">
        <v>473</v>
      </c>
      <c r="F21" s="622"/>
      <c r="G21" s="513">
        <f>F21*C20</f>
        <v>0</v>
      </c>
      <c r="H21" s="514" t="str">
        <f t="shared" si="0"/>
        <v/>
      </c>
      <c r="I21" s="622"/>
      <c r="J21" s="622"/>
      <c r="K21" s="622"/>
      <c r="L21" s="622"/>
      <c r="M21" s="622"/>
      <c r="N21" s="622"/>
      <c r="O21" s="515">
        <f t="shared" si="2"/>
        <v>0</v>
      </c>
      <c r="P21" s="626"/>
      <c r="Q21" s="515">
        <f t="shared" si="1"/>
        <v>0</v>
      </c>
      <c r="R21" s="626"/>
      <c r="S21" s="515">
        <f t="shared" si="3"/>
        <v>0</v>
      </c>
      <c r="T21" s="515">
        <f t="shared" si="4"/>
        <v>0</v>
      </c>
      <c r="U21" s="514">
        <f t="shared" si="5"/>
        <v>0</v>
      </c>
      <c r="V21" s="514">
        <f t="shared" si="6"/>
        <v>0</v>
      </c>
    </row>
    <row r="22" spans="1:22">
      <c r="A22" s="768" t="s">
        <v>35</v>
      </c>
      <c r="B22" s="769"/>
      <c r="C22" s="517">
        <f>SUM(C3:C21)</f>
        <v>15849240.602820462</v>
      </c>
      <c r="D22" s="517"/>
      <c r="E22" s="512" t="s">
        <v>460</v>
      </c>
      <c r="F22" s="512"/>
      <c r="G22" s="513">
        <f>SUM(G3:G21)</f>
        <v>15849240.602820462</v>
      </c>
      <c r="H22" s="518"/>
      <c r="I22" s="519"/>
      <c r="J22" s="519"/>
      <c r="K22" s="519"/>
      <c r="L22" s="519"/>
      <c r="M22" s="519"/>
      <c r="N22" s="519"/>
      <c r="O22" s="513">
        <f t="shared" ref="O22:T22" si="7">SUM(O3:O21)</f>
        <v>0</v>
      </c>
      <c r="P22" s="513">
        <f>SUM(P3:P21)</f>
        <v>0</v>
      </c>
      <c r="Q22" s="513">
        <f t="shared" si="7"/>
        <v>0</v>
      </c>
      <c r="R22" s="513">
        <f>SUM(R3:R21)</f>
        <v>0</v>
      </c>
      <c r="S22" s="513">
        <f t="shared" si="7"/>
        <v>0</v>
      </c>
      <c r="T22" s="513">
        <f t="shared" si="7"/>
        <v>8266369.1999999993</v>
      </c>
      <c r="U22" s="627"/>
      <c r="V22" s="627"/>
    </row>
  </sheetData>
  <mergeCells count="44">
    <mergeCell ref="U1:V1"/>
    <mergeCell ref="O1:T1"/>
    <mergeCell ref="E8:F8"/>
    <mergeCell ref="A1:A2"/>
    <mergeCell ref="B1:B2"/>
    <mergeCell ref="C1:C2"/>
    <mergeCell ref="G1:G2"/>
    <mergeCell ref="H1:L1"/>
    <mergeCell ref="E1:F2"/>
    <mergeCell ref="D1:D2"/>
    <mergeCell ref="B6:B8"/>
    <mergeCell ref="C3:C5"/>
    <mergeCell ref="C6:C8"/>
    <mergeCell ref="B9:B11"/>
    <mergeCell ref="B12:B14"/>
    <mergeCell ref="A9:A14"/>
    <mergeCell ref="A3:A8"/>
    <mergeCell ref="B3:B5"/>
    <mergeCell ref="C9:C11"/>
    <mergeCell ref="C12:C14"/>
    <mergeCell ref="E3:F3"/>
    <mergeCell ref="E5:F5"/>
    <mergeCell ref="E6:F6"/>
    <mergeCell ref="E9:F9"/>
    <mergeCell ref="E11:F11"/>
    <mergeCell ref="E12:F12"/>
    <mergeCell ref="E14:F14"/>
    <mergeCell ref="E4:F4"/>
    <mergeCell ref="E7:F7"/>
    <mergeCell ref="E10:F10"/>
    <mergeCell ref="E13:F13"/>
    <mergeCell ref="A22:B22"/>
    <mergeCell ref="A20:B21"/>
    <mergeCell ref="B15:B16"/>
    <mergeCell ref="B17:B18"/>
    <mergeCell ref="A15:A19"/>
    <mergeCell ref="C20:C21"/>
    <mergeCell ref="C15:C16"/>
    <mergeCell ref="C17:C18"/>
    <mergeCell ref="E15:F15"/>
    <mergeCell ref="E16:F16"/>
    <mergeCell ref="E17:F17"/>
    <mergeCell ref="E18:F18"/>
    <mergeCell ref="D19:E19"/>
  </mergeCells>
  <conditionalFormatting sqref="G22">
    <cfRule type="expression" dxfId="31" priority="6">
      <formula>$C$22=$G$22</formula>
    </cfRule>
    <cfRule type="expression" dxfId="30" priority="7">
      <formula>$C$22&lt;&gt;$G$22</formula>
    </cfRule>
  </conditionalFormatting>
  <conditionalFormatting sqref="H3:H21">
    <cfRule type="expression" dxfId="29" priority="10">
      <formula>H3=1</formula>
    </cfRule>
    <cfRule type="expression" dxfId="28" priority="11">
      <formula>H3&lt;&gt;1</formula>
    </cfRule>
  </conditionalFormatting>
  <conditionalFormatting sqref="O22 Q22">
    <cfRule type="expression" dxfId="27" priority="8">
      <formula>SUM($O$22,$Q$22,$S$22,$T$22)=$G$22</formula>
    </cfRule>
    <cfRule type="expression" dxfId="26" priority="9">
      <formula>SUM($O$22,$Q$22,$S$22,$T$22)&lt;&gt;$G$22</formula>
    </cfRule>
  </conditionalFormatting>
  <conditionalFormatting sqref="S22:T22">
    <cfRule type="expression" dxfId="25" priority="1">
      <formula>SUM($O$22,$Q$22,$S$22,$T$22)=$G$22</formula>
    </cfRule>
    <cfRule type="expression" dxfId="24" priority="2">
      <formula>SUM($O$22,$Q$22,$S$22,$T$22)&lt;&gt;$G$22</formula>
    </cfRule>
  </conditionalFormatting>
  <conditionalFormatting sqref="U3:V21">
    <cfRule type="cellIs" dxfId="23" priority="3" operator="greaterThan">
      <formula>0</formula>
    </cfRule>
  </conditionalFormatting>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4">
    <tabColor theme="0" tint="-0.34998626667073579"/>
  </sheetPr>
  <dimension ref="A1:L22"/>
  <sheetViews>
    <sheetView zoomScaleNormal="100" workbookViewId="0">
      <selection activeCell="N15" sqref="N15"/>
    </sheetView>
  </sheetViews>
  <sheetFormatPr defaultColWidth="8.85546875" defaultRowHeight="15"/>
  <cols>
    <col min="1" max="1" width="9.42578125" customWidth="1"/>
    <col min="2" max="4" width="13.85546875" customWidth="1"/>
    <col min="5" max="7" width="13.5703125" customWidth="1"/>
    <col min="8" max="8" width="9.85546875" customWidth="1"/>
    <col min="9" max="9" width="15.42578125" customWidth="1"/>
    <col min="10" max="10" width="15.85546875" customWidth="1"/>
    <col min="11" max="11" width="19.85546875" customWidth="1"/>
    <col min="12" max="12" width="23.140625" customWidth="1"/>
  </cols>
  <sheetData>
    <row r="1" spans="1:12" ht="15.75" thickBot="1">
      <c r="A1" s="9"/>
      <c r="B1" s="795" t="s">
        <v>36</v>
      </c>
      <c r="C1" s="796"/>
      <c r="D1" s="796"/>
      <c r="E1" s="796"/>
      <c r="F1" s="796"/>
      <c r="G1" s="797"/>
      <c r="H1" s="798" t="s">
        <v>16</v>
      </c>
      <c r="I1" s="799"/>
      <c r="J1" s="799"/>
      <c r="K1" s="799"/>
      <c r="L1" s="800"/>
    </row>
    <row r="2" spans="1:12" ht="30">
      <c r="A2" s="10"/>
      <c r="B2" s="798" t="s">
        <v>255</v>
      </c>
      <c r="C2" s="799"/>
      <c r="D2" s="800"/>
      <c r="E2" s="798" t="s">
        <v>256</v>
      </c>
      <c r="F2" s="799"/>
      <c r="G2" s="800"/>
      <c r="H2" s="50" t="s">
        <v>19</v>
      </c>
      <c r="I2" s="45" t="s">
        <v>20</v>
      </c>
      <c r="J2" s="12" t="s">
        <v>21</v>
      </c>
      <c r="K2" s="801" t="s">
        <v>22</v>
      </c>
      <c r="L2" s="802"/>
    </row>
    <row r="3" spans="1:12" ht="15.75" thickBot="1">
      <c r="A3" s="11" t="s">
        <v>23</v>
      </c>
      <c r="B3" s="14" t="s">
        <v>172</v>
      </c>
      <c r="C3" s="15" t="s">
        <v>125</v>
      </c>
      <c r="D3" s="16" t="s">
        <v>24</v>
      </c>
      <c r="E3" s="14" t="s">
        <v>172</v>
      </c>
      <c r="F3" s="15" t="s">
        <v>125</v>
      </c>
      <c r="G3" s="16" t="s">
        <v>24</v>
      </c>
      <c r="H3" s="51"/>
      <c r="I3" s="46"/>
      <c r="J3" s="13"/>
      <c r="K3" s="793"/>
      <c r="L3" s="794"/>
    </row>
    <row r="4" spans="1:12">
      <c r="A4" s="44" t="s">
        <v>25</v>
      </c>
      <c r="B4" s="26">
        <f>'Prínosy - Agendové IS'!V4-'Výdavky - Agendové IS'!U4</f>
        <v>0</v>
      </c>
      <c r="C4" s="25">
        <f>'Prínosy - Agendové IS'!W4-'Výdavky - Agendové IS'!V4</f>
        <v>-210153.51130666665</v>
      </c>
      <c r="D4" s="32">
        <f>C4-B4</f>
        <v>-210153.51130666665</v>
      </c>
      <c r="E4" s="26">
        <f>'Prínosy - Agendové IS'!Y4-('Výdavky - Agendové IS'!U4/1.2)</f>
        <v>-2664133.3843371649</v>
      </c>
      <c r="F4" s="26">
        <f>'Prínosy - Agendové IS'!Z4-('Výdavky - Agendové IS'!V4/1.2)</f>
        <v>-2839261.3104260536</v>
      </c>
      <c r="G4" s="32">
        <f t="shared" ref="G4:G13" si="0">F4-E4</f>
        <v>-175127.92608888866</v>
      </c>
      <c r="H4" s="52">
        <v>0</v>
      </c>
      <c r="I4" s="47">
        <f>D4*(1/(1+Faktory!$D$3)^H4)</f>
        <v>-210153.51130666665</v>
      </c>
      <c r="J4" s="54">
        <f>G4*(1/(1+Faktory!$D$5)^H4)</f>
        <v>-175127.92608888866</v>
      </c>
      <c r="K4" s="53">
        <f>J4</f>
        <v>-175127.92608888866</v>
      </c>
      <c r="L4" s="30" t="str">
        <f>IF(K4&gt;0,"Rok návratu investície","&lt;")</f>
        <v>&lt;</v>
      </c>
    </row>
    <row r="5" spans="1:12">
      <c r="A5" s="31" t="s">
        <v>26</v>
      </c>
      <c r="B5" s="26">
        <f>'Prínosy - Agendové IS'!V5-'Výdavky - Agendové IS'!U5</f>
        <v>0</v>
      </c>
      <c r="C5" s="25">
        <f>'Prínosy - Agendové IS'!W5-'Výdavky - Agendové IS'!V5</f>
        <v>-810153.51130666665</v>
      </c>
      <c r="D5" s="28">
        <f t="shared" ref="D5:D13" si="1">C5-B5</f>
        <v>-810153.51130666665</v>
      </c>
      <c r="E5" s="26">
        <f>'Prínosy - Agendové IS'!Y5-('Výdavky - Agendové IS'!U5/1.2)</f>
        <v>-2669622.9394636019</v>
      </c>
      <c r="F5" s="26">
        <f>'Prínosy - Agendové IS'!Z5-('Výdavky - Agendové IS'!V5/1.2)</f>
        <v>-3344750.8655524906</v>
      </c>
      <c r="G5" s="28">
        <f t="shared" si="0"/>
        <v>-675127.92608888866</v>
      </c>
      <c r="H5" s="52">
        <v>1</v>
      </c>
      <c r="I5" s="48">
        <f>D5*(1/(1+Faktory!$D$3)^H5)</f>
        <v>-778993.76087179477</v>
      </c>
      <c r="J5" s="55">
        <f>G5*(1/(1+Faktory!$D$5)^H5)</f>
        <v>-642978.97722751298</v>
      </c>
      <c r="K5" s="53">
        <f>J5+K4</f>
        <v>-818106.90331640164</v>
      </c>
      <c r="L5" s="30" t="str">
        <f>IF(L4="&lt;",IF(K5&gt;0,"Rok návratu investície","&lt;"),"&gt;")</f>
        <v>&lt;</v>
      </c>
    </row>
    <row r="6" spans="1:12">
      <c r="A6" s="31" t="s">
        <v>27</v>
      </c>
      <c r="B6" s="26">
        <f>'Prínosy - Agendové IS'!V6-'Výdavky - Agendové IS'!U6</f>
        <v>-1900000</v>
      </c>
      <c r="C6" s="25">
        <f>'Prínosy - Agendové IS'!W6-'Výdavky - Agendové IS'!V6</f>
        <v>-9378549.7322071288</v>
      </c>
      <c r="D6" s="28">
        <f t="shared" si="1"/>
        <v>-7478549.7322071288</v>
      </c>
      <c r="E6" s="26">
        <f>'Prínosy - Agendové IS'!Y6-('Výdavky - Agendové IS'!U6/1.2)</f>
        <v>-4252956.2727969354</v>
      </c>
      <c r="F6" s="26">
        <f>'Prínosy - Agendové IS'!Z6-('Výdavky - Agendové IS'!V6/1.2)</f>
        <v>-8960184.0159956124</v>
      </c>
      <c r="G6" s="28">
        <f t="shared" si="0"/>
        <v>-4707227.743198677</v>
      </c>
      <c r="H6" s="52">
        <v>2</v>
      </c>
      <c r="I6" s="48">
        <f>D6*(1/(1+Faktory!$D$3)^H6)</f>
        <v>-6914339.6192743415</v>
      </c>
      <c r="J6" s="55">
        <f>G6*(1/(1+Faktory!$D$5)^H6)</f>
        <v>-4269594.3248967584</v>
      </c>
      <c r="K6" s="53">
        <f t="shared" ref="K6:K13" si="2">J6+K5</f>
        <v>-5087701.2282131603</v>
      </c>
      <c r="L6" s="30" t="str">
        <f t="shared" ref="L6:L13" si="3">IF(L5="&lt;",IF(K6&gt;0,"Rok návratu investície","&lt;"),"&gt;")</f>
        <v>&lt;</v>
      </c>
    </row>
    <row r="7" spans="1:12">
      <c r="A7" s="31" t="s">
        <v>28</v>
      </c>
      <c r="B7" s="26">
        <f>'Prínosy - Agendové IS'!V7-'Výdavky - Agendové IS'!U7</f>
        <v>-1900000</v>
      </c>
      <c r="C7" s="25">
        <f>'Prínosy - Agendové IS'!W7-'Výdavky - Agendové IS'!V7</f>
        <v>-778626.2640000002</v>
      </c>
      <c r="D7" s="28">
        <f t="shared" si="1"/>
        <v>1121373.7359999998</v>
      </c>
      <c r="E7" s="26">
        <f>'Prínosy - Agendové IS'!Y7-('Výdavky - Agendové IS'!U7/1.2)</f>
        <v>-4252956.2727969354</v>
      </c>
      <c r="F7" s="26">
        <f>'Prínosy - Agendové IS'!Z7-('Výdavky - Agendové IS'!V7/1.2)</f>
        <v>-1708812.5463112048</v>
      </c>
      <c r="G7" s="28">
        <f t="shared" si="0"/>
        <v>2544143.7264857306</v>
      </c>
      <c r="H7" s="52">
        <v>3</v>
      </c>
      <c r="I7" s="48">
        <f>D7*(1/(1+Faktory!$D$3)^H7)</f>
        <v>996897.16801319958</v>
      </c>
      <c r="J7" s="55">
        <f>G7*(1/(1+Faktory!$D$5)^H7)</f>
        <v>2197727.0070063537</v>
      </c>
      <c r="K7" s="53">
        <f t="shared" si="2"/>
        <v>-2889974.2212068066</v>
      </c>
      <c r="L7" s="30" t="str">
        <f t="shared" si="3"/>
        <v>&lt;</v>
      </c>
    </row>
    <row r="8" spans="1:12">
      <c r="A8" s="31" t="s">
        <v>29</v>
      </c>
      <c r="B8" s="26">
        <f>'Prínosy - Agendové IS'!V8-'Výdavky - Agendové IS'!U8</f>
        <v>-1900000</v>
      </c>
      <c r="C8" s="25">
        <f>'Prínosy - Agendové IS'!W8-'Výdavky - Agendové IS'!V8</f>
        <v>-778626.2640000002</v>
      </c>
      <c r="D8" s="28">
        <f t="shared" si="1"/>
        <v>1121373.7359999998</v>
      </c>
      <c r="E8" s="26">
        <f>'Prínosy - Agendové IS'!Y8-('Výdavky - Agendové IS'!U8/1.2)</f>
        <v>-4252956.2727969354</v>
      </c>
      <c r="F8" s="26">
        <f>'Prínosy - Agendové IS'!Z8-('Výdavky - Agendové IS'!V8/1.2)</f>
        <v>-1624479.5669197987</v>
      </c>
      <c r="G8" s="28">
        <f t="shared" si="0"/>
        <v>2628476.7058771364</v>
      </c>
      <c r="H8" s="52">
        <v>4</v>
      </c>
      <c r="I8" s="48">
        <f>D8*(1/(1+Faktory!$D$3)^H8)</f>
        <v>958554.96924346103</v>
      </c>
      <c r="J8" s="55">
        <f>G8*(1/(1+Faktory!$D$5)^H8)</f>
        <v>2162454.2908579339</v>
      </c>
      <c r="K8" s="53">
        <f t="shared" si="2"/>
        <v>-727519.93034887267</v>
      </c>
      <c r="L8" s="30" t="str">
        <f t="shared" si="3"/>
        <v>&lt;</v>
      </c>
    </row>
    <row r="9" spans="1:12">
      <c r="A9" s="31" t="s">
        <v>30</v>
      </c>
      <c r="B9" s="26">
        <f>'Prínosy - Agendové IS'!V9-'Výdavky - Agendové IS'!U9</f>
        <v>-1900000</v>
      </c>
      <c r="C9" s="25">
        <f>'Prínosy - Agendové IS'!W9-'Výdavky - Agendové IS'!V9</f>
        <v>-778626.2640000002</v>
      </c>
      <c r="D9" s="28">
        <f t="shared" si="1"/>
        <v>1121373.7359999998</v>
      </c>
      <c r="E9" s="26">
        <f>'Prínosy - Agendové IS'!Y9-('Výdavky - Agendové IS'!U9/1.2)</f>
        <v>-4252956.2727969354</v>
      </c>
      <c r="F9" s="26">
        <f>'Prínosy - Agendové IS'!Z9-('Výdavky - Agendové IS'!V9/1.2)</f>
        <v>-1540590.6818334882</v>
      </c>
      <c r="G9" s="28">
        <f t="shared" si="0"/>
        <v>2712365.5909634475</v>
      </c>
      <c r="H9" s="52">
        <v>5</v>
      </c>
      <c r="I9" s="48">
        <f>D9*(1/(1+Faktory!$D$3)^H9)</f>
        <v>921687.47042640473</v>
      </c>
      <c r="J9" s="55">
        <f>G9*(1/(1+Faktory!$D$5)^H9)</f>
        <v>2125209.4135485464</v>
      </c>
      <c r="K9" s="53">
        <f t="shared" si="2"/>
        <v>1397689.4831996737</v>
      </c>
      <c r="L9" s="30" t="str">
        <f t="shared" si="3"/>
        <v>Rok návratu investície</v>
      </c>
    </row>
    <row r="10" spans="1:12">
      <c r="A10" s="31" t="s">
        <v>31</v>
      </c>
      <c r="B10" s="26">
        <f>'Prínosy - Agendové IS'!V10-'Výdavky - Agendové IS'!U10</f>
        <v>-1900000</v>
      </c>
      <c r="C10" s="25">
        <f>'Prínosy - Agendové IS'!W10-'Výdavky - Agendové IS'!V10</f>
        <v>-778626.2640000002</v>
      </c>
      <c r="D10" s="28">
        <f t="shared" si="1"/>
        <v>1121373.7359999998</v>
      </c>
      <c r="E10" s="26">
        <f>'Prínosy - Agendové IS'!Y10-('Výdavky - Agendové IS'!U10/1.2)</f>
        <v>-4252956.2727969354</v>
      </c>
      <c r="F10" s="26">
        <f>'Prínosy - Agendové IS'!Z10-('Výdavky - Agendové IS'!V10/1.2)</f>
        <v>-1457154.5529424939</v>
      </c>
      <c r="G10" s="28">
        <f t="shared" si="0"/>
        <v>2795801.7198544415</v>
      </c>
      <c r="H10" s="52">
        <v>6</v>
      </c>
      <c r="I10" s="48">
        <f>D10*(1/(1+Faktory!$D$3)^H10)</f>
        <v>886237.95233308151</v>
      </c>
      <c r="J10" s="55">
        <f>G10*(1/(1+Faktory!$D$5)^H10)</f>
        <v>2086270.2892985477</v>
      </c>
      <c r="K10" s="53">
        <f t="shared" si="2"/>
        <v>3483959.7724982211</v>
      </c>
      <c r="L10" s="30" t="str">
        <f t="shared" si="3"/>
        <v>&gt;</v>
      </c>
    </row>
    <row r="11" spans="1:12">
      <c r="A11" s="31" t="s">
        <v>32</v>
      </c>
      <c r="B11" s="26">
        <f>'Prínosy - Agendové IS'!V11-'Výdavky - Agendové IS'!U11</f>
        <v>-1900000</v>
      </c>
      <c r="C11" s="25">
        <f>'Prínosy - Agendové IS'!W11-'Výdavky - Agendové IS'!V11</f>
        <v>-778626.2640000002</v>
      </c>
      <c r="D11" s="28">
        <f t="shared" si="1"/>
        <v>1121373.7359999998</v>
      </c>
      <c r="E11" s="26">
        <f>'Prínosy - Agendové IS'!Y11-('Výdavky - Agendové IS'!U11/1.2)</f>
        <v>-4252956.2727969354</v>
      </c>
      <c r="F11" s="26">
        <f>'Prínosy - Agendové IS'!Z11-('Výdavky - Agendové IS'!V11/1.2)</f>
        <v>-1374180.0131748812</v>
      </c>
      <c r="G11" s="28">
        <f t="shared" si="0"/>
        <v>2878776.2596220542</v>
      </c>
      <c r="H11" s="52">
        <v>7</v>
      </c>
      <c r="I11" s="48">
        <f>D11*(1/(1+Faktory!$D$3)^H11)</f>
        <v>852151.8772433477</v>
      </c>
      <c r="J11" s="55">
        <f>G11*(1/(1+Faktory!$D$5)^H11)</f>
        <v>2045892.5413352174</v>
      </c>
      <c r="K11" s="53">
        <f t="shared" si="2"/>
        <v>5529852.3138334388</v>
      </c>
      <c r="L11" s="30" t="str">
        <f t="shared" si="3"/>
        <v>&gt;</v>
      </c>
    </row>
    <row r="12" spans="1:12">
      <c r="A12" s="31" t="s">
        <v>33</v>
      </c>
      <c r="B12" s="26">
        <f>'Prínosy - Agendové IS'!V12-'Výdavky - Agendové IS'!U12</f>
        <v>-1900000</v>
      </c>
      <c r="C12" s="25">
        <f>'Prínosy - Agendové IS'!W12-'Výdavky - Agendové IS'!V12</f>
        <v>-778626.2640000002</v>
      </c>
      <c r="D12" s="28">
        <f t="shared" si="1"/>
        <v>1121373.7359999998</v>
      </c>
      <c r="E12" s="26">
        <f>'Prínosy - Agendové IS'!Y12-('Výdavky - Agendové IS'!U12/1.2)</f>
        <v>-4252956.2727969354</v>
      </c>
      <c r="F12" s="26">
        <f>'Prínosy - Agendové IS'!Z12-('Výdavky - Agendové IS'!V12/1.2)</f>
        <v>-1291676.0698953173</v>
      </c>
      <c r="G12" s="28">
        <f t="shared" si="0"/>
        <v>2961280.2029016181</v>
      </c>
      <c r="H12" s="52">
        <v>8</v>
      </c>
      <c r="I12" s="48">
        <f>D12*(1/(1+Faktory!$D$3)^H12)</f>
        <v>819376.80504168035</v>
      </c>
      <c r="J12" s="55">
        <f>G12*(1/(1+Faktory!$D$5)^H12)</f>
        <v>2004311.0033201126</v>
      </c>
      <c r="K12" s="53">
        <f t="shared" si="2"/>
        <v>7534163.3171535516</v>
      </c>
      <c r="L12" s="30" t="str">
        <f t="shared" si="3"/>
        <v>&gt;</v>
      </c>
    </row>
    <row r="13" spans="1:12" ht="15.75" thickBot="1">
      <c r="A13" s="31" t="s">
        <v>34</v>
      </c>
      <c r="B13" s="43">
        <f>'Prínosy - Agendové IS'!V13-'Výdavky - Agendové IS'!U13</f>
        <v>-1900000</v>
      </c>
      <c r="C13" s="39">
        <f>'Prínosy - Agendové IS'!W13-'Výdavky - Agendové IS'!V13</f>
        <v>-778626.2640000002</v>
      </c>
      <c r="D13" s="33">
        <f t="shared" si="1"/>
        <v>1121373.7359999998</v>
      </c>
      <c r="E13" s="26">
        <f>'Prínosy - Agendové IS'!Y13-('Výdavky - Agendové IS'!U13/1.2)</f>
        <v>-4252956.2727969354</v>
      </c>
      <c r="F13" s="26">
        <f>'Prínosy - Agendové IS'!Z13-('Výdavky - Agendové IS'!V13/1.2)</f>
        <v>-1209651.9083715866</v>
      </c>
      <c r="G13" s="33">
        <f t="shared" si="0"/>
        <v>3043304.364425349</v>
      </c>
      <c r="H13" s="52">
        <v>9</v>
      </c>
      <c r="I13" s="49">
        <f>D13*(1/(1+Faktory!$D$3)^H13)</f>
        <v>787862.31254007702</v>
      </c>
      <c r="J13" s="56">
        <f>G13*(1/(1+Faktory!$D$5)^H13)</f>
        <v>1961741.1280731165</v>
      </c>
      <c r="K13" s="53">
        <f t="shared" si="2"/>
        <v>9495904.4452266674</v>
      </c>
      <c r="L13" s="30" t="str">
        <f t="shared" si="3"/>
        <v>&gt;</v>
      </c>
    </row>
    <row r="14" spans="1:12" ht="15.75" thickBot="1">
      <c r="A14" s="58" t="s">
        <v>35</v>
      </c>
      <c r="B14" s="40">
        <f t="shared" ref="B14:G14" si="4">SUM(B4:B13)</f>
        <v>-15200000</v>
      </c>
      <c r="C14" s="41">
        <f t="shared" si="4"/>
        <v>-15849240.602820465</v>
      </c>
      <c r="D14" s="41">
        <f>SUM(D4:D13)</f>
        <v>-649240.60282046488</v>
      </c>
      <c r="E14" s="41">
        <f t="shared" si="4"/>
        <v>-39357406.506176256</v>
      </c>
      <c r="F14" s="41">
        <f t="shared" si="4"/>
        <v>-25350741.531422924</v>
      </c>
      <c r="G14" s="42">
        <f t="shared" si="4"/>
        <v>14006664.974753324</v>
      </c>
      <c r="H14" s="59" t="s">
        <v>35</v>
      </c>
      <c r="I14" s="134">
        <f>SUM(I4:I13)</f>
        <v>-1680718.3366115517</v>
      </c>
      <c r="J14" s="135">
        <f>SUM(J4:J13)</f>
        <v>9495904.4452266674</v>
      </c>
      <c r="K14" s="7"/>
      <c r="L14" s="7"/>
    </row>
    <row r="16" spans="1:12" ht="15.75" thickBot="1">
      <c r="H16" s="97" t="s">
        <v>138</v>
      </c>
      <c r="J16" s="145" t="s">
        <v>127</v>
      </c>
      <c r="K16" s="145" t="s">
        <v>136</v>
      </c>
    </row>
    <row r="17" spans="5:11" s="114" customFormat="1" ht="23.25" thickBot="1">
      <c r="H17" s="139" t="s">
        <v>115</v>
      </c>
      <c r="I17" s="141" t="s">
        <v>133</v>
      </c>
      <c r="J17" s="142">
        <f>'Prínosy - Agendové IS'!AA16/('Výdavky - Agendové IS'!V15)</f>
        <v>1.5494911828692564</v>
      </c>
      <c r="K17" s="146">
        <v>1</v>
      </c>
    </row>
    <row r="18" spans="5:11" s="114" customFormat="1" ht="23.25" thickBot="1">
      <c r="H18" s="140" t="s">
        <v>130</v>
      </c>
      <c r="I18" s="141" t="s">
        <v>134</v>
      </c>
      <c r="J18" s="143">
        <f>IRR($D$4:$D$13,0.01)</f>
        <v>-1.8826535539843703E-2</v>
      </c>
      <c r="K18" s="147" t="s">
        <v>137</v>
      </c>
    </row>
    <row r="19" spans="5:11" s="114" customFormat="1" ht="34.5" thickBot="1">
      <c r="E19" s="136"/>
      <c r="H19" s="140" t="s">
        <v>131</v>
      </c>
      <c r="I19" s="141" t="s">
        <v>135</v>
      </c>
      <c r="J19" s="143">
        <f>IRR($G$4:$G$13,0.01)</f>
        <v>0.4071416212082144</v>
      </c>
      <c r="K19" s="147">
        <v>0.05</v>
      </c>
    </row>
    <row r="20" spans="5:11" ht="15.75" thickBot="1">
      <c r="H20" s="137"/>
      <c r="I20" s="138"/>
      <c r="J20" s="137"/>
      <c r="K20" s="148"/>
    </row>
    <row r="21" spans="5:11" s="114" customFormat="1" ht="34.5" thickBot="1">
      <c r="H21" s="140" t="s">
        <v>132</v>
      </c>
      <c r="I21" s="141" t="s">
        <v>259</v>
      </c>
      <c r="J21" s="144">
        <f>I14</f>
        <v>-1680718.3366115517</v>
      </c>
      <c r="K21" s="149" t="s">
        <v>137</v>
      </c>
    </row>
    <row r="22" spans="5:11" s="114" customFormat="1" ht="34.5" thickBot="1">
      <c r="H22" s="140" t="s">
        <v>69</v>
      </c>
      <c r="I22" s="141" t="s">
        <v>258</v>
      </c>
      <c r="J22" s="144">
        <f>J14</f>
        <v>9495904.4452266674</v>
      </c>
      <c r="K22" s="149">
        <v>0</v>
      </c>
    </row>
  </sheetData>
  <mergeCells count="6">
    <mergeCell ref="K3:L3"/>
    <mergeCell ref="B1:G1"/>
    <mergeCell ref="H1:L1"/>
    <mergeCell ref="B2:D2"/>
    <mergeCell ref="E2:G2"/>
    <mergeCell ref="K2:L2"/>
  </mergeCells>
  <conditionalFormatting sqref="L4:L13">
    <cfRule type="cellIs" dxfId="22" priority="1" stopIfTrue="1" operator="equal">
      <formula>"Rok návratu investície"</formula>
    </cfRule>
  </conditionalFormatting>
  <pageMargins left="0.7" right="0.7" top="0.75" bottom="0.75" header="0.3" footer="0.3"/>
  <pageSetup paperSize="9" scale="4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7">
    <tabColor theme="0" tint="-0.34998626667073579"/>
  </sheetPr>
  <dimension ref="A1:X22"/>
  <sheetViews>
    <sheetView view="pageBreakPreview" topLeftCell="H1" zoomScaleNormal="80" zoomScaleSheetLayoutView="100" workbookViewId="0">
      <selection activeCell="U4" sqref="U4:U13"/>
    </sheetView>
  </sheetViews>
  <sheetFormatPr defaultColWidth="8.85546875" defaultRowHeight="15"/>
  <cols>
    <col min="2" max="2" width="4.42578125" bestFit="1" customWidth="1"/>
    <col min="3" max="3" width="14.42578125" customWidth="1"/>
    <col min="4" max="4" width="15.85546875" bestFit="1" customWidth="1"/>
    <col min="5" max="5" width="16.5703125" bestFit="1" customWidth="1"/>
    <col min="6" max="7" width="13.42578125" bestFit="1" customWidth="1"/>
    <col min="8" max="8" width="16.5703125" bestFit="1" customWidth="1"/>
    <col min="9" max="9" width="14.42578125" bestFit="1" customWidth="1"/>
    <col min="10" max="10" width="13.42578125" bestFit="1" customWidth="1"/>
    <col min="11" max="11" width="16.5703125" bestFit="1" customWidth="1"/>
    <col min="12" max="17" width="16.5703125" customWidth="1"/>
    <col min="18" max="18" width="13.42578125" bestFit="1" customWidth="1"/>
    <col min="19" max="19" width="15.85546875" bestFit="1" customWidth="1"/>
    <col min="20" max="20" width="15.42578125" customWidth="1"/>
    <col min="21" max="22" width="17" bestFit="1" customWidth="1"/>
    <col min="23" max="23" width="14.42578125" bestFit="1" customWidth="1"/>
  </cols>
  <sheetData>
    <row r="1" spans="1:24" ht="15.75" customHeight="1" thickBot="1">
      <c r="A1" s="654"/>
      <c r="B1" s="655"/>
      <c r="C1" s="809" t="s">
        <v>141</v>
      </c>
      <c r="D1" s="809"/>
      <c r="E1" s="809"/>
      <c r="F1" s="809"/>
      <c r="G1" s="809"/>
      <c r="H1" s="809"/>
      <c r="I1" s="809"/>
      <c r="J1" s="809"/>
      <c r="K1" s="809"/>
      <c r="L1" s="809"/>
      <c r="M1" s="809"/>
      <c r="N1" s="810"/>
      <c r="O1" s="808" t="s">
        <v>233</v>
      </c>
      <c r="P1" s="809"/>
      <c r="Q1" s="810"/>
      <c r="R1" s="807" t="s">
        <v>67</v>
      </c>
      <c r="S1" s="807"/>
      <c r="T1" s="807"/>
      <c r="U1" s="795" t="s">
        <v>68</v>
      </c>
      <c r="V1" s="796"/>
      <c r="W1" s="797"/>
    </row>
    <row r="2" spans="1:24" ht="15.75" customHeight="1" thickBot="1">
      <c r="A2" s="656"/>
      <c r="B2" s="650"/>
      <c r="C2" s="796" t="s">
        <v>64</v>
      </c>
      <c r="D2" s="796"/>
      <c r="E2" s="797"/>
      <c r="F2" s="796" t="s">
        <v>65</v>
      </c>
      <c r="G2" s="796"/>
      <c r="H2" s="797"/>
      <c r="I2" s="796" t="s">
        <v>104</v>
      </c>
      <c r="J2" s="796"/>
      <c r="K2" s="797"/>
      <c r="L2" s="796" t="s">
        <v>249</v>
      </c>
      <c r="M2" s="796"/>
      <c r="N2" s="797"/>
      <c r="O2" s="796"/>
      <c r="P2" s="796"/>
      <c r="Q2" s="797"/>
      <c r="R2" s="796" t="s">
        <v>66</v>
      </c>
      <c r="S2" s="796"/>
      <c r="T2" s="797"/>
      <c r="U2" s="8"/>
      <c r="V2" s="8"/>
      <c r="W2" s="35"/>
    </row>
    <row r="3" spans="1:24" ht="19.350000000000001" customHeight="1" thickBot="1">
      <c r="A3" s="36" t="s">
        <v>23</v>
      </c>
      <c r="B3" s="653" t="s">
        <v>98</v>
      </c>
      <c r="C3" s="37" t="s">
        <v>172</v>
      </c>
      <c r="D3" s="37" t="s">
        <v>125</v>
      </c>
      <c r="E3" s="38" t="s">
        <v>24</v>
      </c>
      <c r="F3" s="37" t="s">
        <v>172</v>
      </c>
      <c r="G3" s="37" t="s">
        <v>125</v>
      </c>
      <c r="H3" s="38" t="s">
        <v>24</v>
      </c>
      <c r="I3" s="37" t="s">
        <v>172</v>
      </c>
      <c r="J3" s="37" t="s">
        <v>125</v>
      </c>
      <c r="K3" s="38" t="s">
        <v>24</v>
      </c>
      <c r="L3" s="37" t="s">
        <v>172</v>
      </c>
      <c r="M3" s="37" t="s">
        <v>125</v>
      </c>
      <c r="N3" s="38" t="s">
        <v>24</v>
      </c>
      <c r="O3" s="37" t="s">
        <v>172</v>
      </c>
      <c r="P3" s="37" t="s">
        <v>125</v>
      </c>
      <c r="Q3" s="38" t="s">
        <v>24</v>
      </c>
      <c r="R3" s="37" t="s">
        <v>172</v>
      </c>
      <c r="S3" s="37" t="s">
        <v>125</v>
      </c>
      <c r="T3" s="38" t="s">
        <v>24</v>
      </c>
      <c r="U3" s="37" t="s">
        <v>172</v>
      </c>
      <c r="V3" s="37" t="s">
        <v>125</v>
      </c>
      <c r="W3" s="38" t="s">
        <v>24</v>
      </c>
    </row>
    <row r="4" spans="1:24">
      <c r="A4" s="24" t="s">
        <v>25</v>
      </c>
      <c r="B4" s="63">
        <v>1</v>
      </c>
      <c r="C4" s="26">
        <f>TCO!D26+TCO!D27</f>
        <v>0</v>
      </c>
      <c r="D4" s="25">
        <f>(TCO!D$12*(1+$X$5))+TCO!D$13</f>
        <v>0</v>
      </c>
      <c r="E4" s="32">
        <f>D4-C4</f>
        <v>0</v>
      </c>
      <c r="F4" s="26">
        <f>TCO!D22+TCO!D23</f>
        <v>0</v>
      </c>
      <c r="G4" s="25">
        <f>(TCO!D$7*(1+$X$5))+TCO!D$8</f>
        <v>0</v>
      </c>
      <c r="H4" s="32">
        <f>G4-F4</f>
        <v>0</v>
      </c>
      <c r="I4" s="25">
        <f>TCO!D24+TCO!D25</f>
        <v>0</v>
      </c>
      <c r="J4" s="25">
        <f>(TCO!D$9*(1+$X$5))+TCO!D$10</f>
        <v>0</v>
      </c>
      <c r="K4" s="32">
        <f>J4-I4</f>
        <v>0</v>
      </c>
      <c r="L4" s="26">
        <v>0</v>
      </c>
      <c r="M4" s="26">
        <f>TCO!D11</f>
        <v>0</v>
      </c>
      <c r="N4" s="32">
        <f>M4-L4</f>
        <v>0</v>
      </c>
      <c r="O4" s="26">
        <v>0</v>
      </c>
      <c r="P4" s="26">
        <f>TCO!D14</f>
        <v>210153.51130666665</v>
      </c>
      <c r="Q4" s="32">
        <f>P4-O4</f>
        <v>210153.51130666665</v>
      </c>
      <c r="R4" s="26">
        <f>'Parametre - Agendové IS'!D106</f>
        <v>0</v>
      </c>
      <c r="S4" s="26">
        <f>'Parametre - Agendové IS'!E106</f>
        <v>0</v>
      </c>
      <c r="T4" s="32">
        <f t="shared" ref="T4:T13" si="0">IF(ISERR(S4-R4),"-",S4-R4)</f>
        <v>0</v>
      </c>
      <c r="U4" s="25">
        <f>SUM(C4,F4,I4,L4,O4,R4)</f>
        <v>0</v>
      </c>
      <c r="V4" s="25">
        <f>((D4+G4+M4+P4+J4)*(1+$X$4))+S4</f>
        <v>210153.51130666665</v>
      </c>
      <c r="W4" s="32">
        <f>V4-U4</f>
        <v>210153.51130666665</v>
      </c>
      <c r="X4" s="163">
        <f>'Analyza citlivosti - AgendovéIS'!B7</f>
        <v>0</v>
      </c>
    </row>
    <row r="5" spans="1:24">
      <c r="A5" s="24" t="s">
        <v>26</v>
      </c>
      <c r="B5" s="64">
        <v>2</v>
      </c>
      <c r="C5" s="26">
        <f>TCO!E26+TCO!E27</f>
        <v>0</v>
      </c>
      <c r="D5" s="25">
        <f>(TCO!E$12*(1+$X$5))+TCO!E$13</f>
        <v>0</v>
      </c>
      <c r="E5" s="28">
        <f t="shared" ref="E5:E13" si="1">D5-C5</f>
        <v>0</v>
      </c>
      <c r="F5" s="26">
        <f>TCO!E22+TCO!E23</f>
        <v>0</v>
      </c>
      <c r="G5" s="25">
        <f>(TCO!E$7*(1+$X$5))+TCO!E$8</f>
        <v>600000</v>
      </c>
      <c r="H5" s="28">
        <f t="shared" ref="H5:H13" si="2">G5-F5</f>
        <v>600000</v>
      </c>
      <c r="I5" s="25">
        <f>TCO!E24+TCO!E25</f>
        <v>0</v>
      </c>
      <c r="J5" s="25">
        <f>(TCO!E$9*(1+$X$5))+TCO!E$10</f>
        <v>0</v>
      </c>
      <c r="K5" s="28">
        <f t="shared" ref="K5:K13" si="3">J5-I5</f>
        <v>0</v>
      </c>
      <c r="L5" s="26">
        <v>0</v>
      </c>
      <c r="M5" s="26">
        <f>TCO!E11</f>
        <v>0</v>
      </c>
      <c r="N5" s="28">
        <f t="shared" ref="N5:N13" si="4">M5-L5</f>
        <v>0</v>
      </c>
      <c r="O5" s="26">
        <v>0</v>
      </c>
      <c r="P5" s="26">
        <f>TCO!E14</f>
        <v>210153.51130666665</v>
      </c>
      <c r="Q5" s="28">
        <f t="shared" ref="Q5:Q13" si="5">P5-O5</f>
        <v>210153.51130666665</v>
      </c>
      <c r="R5" s="26">
        <f>'Parametre - Agendové IS'!D107</f>
        <v>0</v>
      </c>
      <c r="S5" s="26">
        <f>'Parametre - Agendové IS'!E107</f>
        <v>0</v>
      </c>
      <c r="T5" s="28">
        <f t="shared" si="0"/>
        <v>0</v>
      </c>
      <c r="U5" s="25">
        <f t="shared" ref="U5:U13" si="6">SUM(C5,F5,I5,L5,O5,R5)</f>
        <v>0</v>
      </c>
      <c r="V5" s="25">
        <f t="shared" ref="V5:V13" si="7">((D5+G5+M5+P5+J5)*(1+$X$4))+S5</f>
        <v>810153.51130666665</v>
      </c>
      <c r="W5" s="28">
        <f t="shared" ref="W5:W13" si="8">V5-U5</f>
        <v>810153.51130666665</v>
      </c>
      <c r="X5" s="163">
        <f>'Analyza citlivosti - AgendovéIS'!E7</f>
        <v>0</v>
      </c>
    </row>
    <row r="6" spans="1:24">
      <c r="A6" s="24" t="s">
        <v>27</v>
      </c>
      <c r="B6" s="64">
        <v>3</v>
      </c>
      <c r="C6" s="26">
        <f>TCO!F26+TCO!F27</f>
        <v>0</v>
      </c>
      <c r="D6" s="25">
        <f>(TCO!F$12*(1+$X$5))+TCO!F$13</f>
        <v>0</v>
      </c>
      <c r="E6" s="28">
        <f t="shared" si="1"/>
        <v>0</v>
      </c>
      <c r="F6" s="26">
        <f>TCO!F22+TCO!F23</f>
        <v>1900000</v>
      </c>
      <c r="G6" s="25">
        <f>(TCO!F$7*(1+$X$5))+TCO!F$8</f>
        <v>0</v>
      </c>
      <c r="H6" s="28">
        <f t="shared" si="2"/>
        <v>-1900000</v>
      </c>
      <c r="I6" s="25">
        <f>TCO!F24+TCO!F25</f>
        <v>0</v>
      </c>
      <c r="J6" s="25">
        <f>(TCO!F$9*(1+$X$5))+TCO!F$10</f>
        <v>9168396.2209004629</v>
      </c>
      <c r="K6" s="28">
        <f t="shared" si="3"/>
        <v>9168396.2209004629</v>
      </c>
      <c r="L6" s="26">
        <v>0</v>
      </c>
      <c r="M6" s="26">
        <f>TCO!F11</f>
        <v>0</v>
      </c>
      <c r="N6" s="28">
        <f t="shared" si="4"/>
        <v>0</v>
      </c>
      <c r="O6" s="26">
        <v>0</v>
      </c>
      <c r="P6" s="26">
        <f>TCO!F14</f>
        <v>210153.51130666665</v>
      </c>
      <c r="Q6" s="28">
        <f t="shared" si="5"/>
        <v>210153.51130666665</v>
      </c>
      <c r="R6" s="26">
        <f>'Parametre - Agendové IS'!D108</f>
        <v>0</v>
      </c>
      <c r="S6" s="26">
        <f>'Parametre - Agendové IS'!E108</f>
        <v>0</v>
      </c>
      <c r="T6" s="28">
        <f t="shared" si="0"/>
        <v>0</v>
      </c>
      <c r="U6" s="25">
        <f t="shared" si="6"/>
        <v>1900000</v>
      </c>
      <c r="V6" s="25">
        <f t="shared" si="7"/>
        <v>9378549.7322071288</v>
      </c>
      <c r="W6" s="28">
        <f t="shared" si="8"/>
        <v>7478549.7322071288</v>
      </c>
    </row>
    <row r="7" spans="1:24">
      <c r="A7" s="24" t="s">
        <v>28</v>
      </c>
      <c r="B7" s="64">
        <v>4</v>
      </c>
      <c r="C7" s="26">
        <f>TCO!G26+TCO!G27</f>
        <v>0</v>
      </c>
      <c r="D7" s="25">
        <f>(TCO!G$12*(1+$X$5))+TCO!G$13</f>
        <v>0</v>
      </c>
      <c r="E7" s="28">
        <f t="shared" si="1"/>
        <v>0</v>
      </c>
      <c r="F7" s="26">
        <f>TCO!G22+TCO!G23</f>
        <v>1900000</v>
      </c>
      <c r="G7" s="25">
        <f>(TCO!G$7*(1+$X$5))+TCO!G$8</f>
        <v>0</v>
      </c>
      <c r="H7" s="28">
        <f t="shared" si="2"/>
        <v>-1900000</v>
      </c>
      <c r="I7" s="25">
        <f>TCO!G24+TCO!G25</f>
        <v>0</v>
      </c>
      <c r="J7" s="25">
        <f>(TCO!G$9*(1+$X$5))+TCO!G$10</f>
        <v>778626.2640000002</v>
      </c>
      <c r="K7" s="28">
        <f t="shared" si="3"/>
        <v>778626.2640000002</v>
      </c>
      <c r="L7" s="26">
        <v>0</v>
      </c>
      <c r="M7" s="26">
        <f>TCO!G11</f>
        <v>0</v>
      </c>
      <c r="N7" s="28">
        <f t="shared" si="4"/>
        <v>0</v>
      </c>
      <c r="O7" s="26">
        <v>0</v>
      </c>
      <c r="P7" s="26">
        <f>TCO!G14</f>
        <v>0</v>
      </c>
      <c r="Q7" s="28">
        <f t="shared" si="5"/>
        <v>0</v>
      </c>
      <c r="R7" s="26">
        <f>'Parametre - Agendové IS'!D109</f>
        <v>0</v>
      </c>
      <c r="S7" s="26">
        <f>'Parametre - Agendové IS'!E109</f>
        <v>0</v>
      </c>
      <c r="T7" s="28">
        <f t="shared" si="0"/>
        <v>0</v>
      </c>
      <c r="U7" s="25">
        <f t="shared" si="6"/>
        <v>1900000</v>
      </c>
      <c r="V7" s="25">
        <f t="shared" si="7"/>
        <v>778626.2640000002</v>
      </c>
      <c r="W7" s="28">
        <f t="shared" si="8"/>
        <v>-1121373.7359999998</v>
      </c>
    </row>
    <row r="8" spans="1:24">
      <c r="A8" s="24" t="s">
        <v>29</v>
      </c>
      <c r="B8" s="64">
        <v>5</v>
      </c>
      <c r="C8" s="26">
        <f>TCO!H26+TCO!H27</f>
        <v>0</v>
      </c>
      <c r="D8" s="25">
        <f>(TCO!H$12*(1+$X$5))+TCO!H$13</f>
        <v>0</v>
      </c>
      <c r="E8" s="28">
        <f t="shared" si="1"/>
        <v>0</v>
      </c>
      <c r="F8" s="26">
        <f>TCO!H22+TCO!H23</f>
        <v>1900000</v>
      </c>
      <c r="G8" s="25">
        <f>(TCO!H$7*(1+$X$5))+TCO!H$8</f>
        <v>0</v>
      </c>
      <c r="H8" s="28">
        <f t="shared" si="2"/>
        <v>-1900000</v>
      </c>
      <c r="I8" s="25">
        <f>TCO!H24+TCO!H25</f>
        <v>0</v>
      </c>
      <c r="J8" s="25">
        <f>(TCO!H$9*(1+$X$5))+TCO!H$10</f>
        <v>778626.2640000002</v>
      </c>
      <c r="K8" s="28">
        <f t="shared" si="3"/>
        <v>778626.2640000002</v>
      </c>
      <c r="L8" s="26">
        <v>0</v>
      </c>
      <c r="M8" s="26">
        <f>TCO!H11</f>
        <v>0</v>
      </c>
      <c r="N8" s="28">
        <f t="shared" si="4"/>
        <v>0</v>
      </c>
      <c r="O8" s="26">
        <v>0</v>
      </c>
      <c r="P8" s="26">
        <f>TCO!H14</f>
        <v>0</v>
      </c>
      <c r="Q8" s="28">
        <f t="shared" si="5"/>
        <v>0</v>
      </c>
      <c r="R8" s="26">
        <f>'Parametre - Agendové IS'!D110</f>
        <v>0</v>
      </c>
      <c r="S8" s="26">
        <f>'Parametre - Agendové IS'!E110</f>
        <v>0</v>
      </c>
      <c r="T8" s="28">
        <f t="shared" si="0"/>
        <v>0</v>
      </c>
      <c r="U8" s="25">
        <f t="shared" si="6"/>
        <v>1900000</v>
      </c>
      <c r="V8" s="25">
        <f t="shared" si="7"/>
        <v>778626.2640000002</v>
      </c>
      <c r="W8" s="28">
        <f t="shared" si="8"/>
        <v>-1121373.7359999998</v>
      </c>
    </row>
    <row r="9" spans="1:24">
      <c r="A9" s="24" t="s">
        <v>30</v>
      </c>
      <c r="B9" s="64">
        <v>6</v>
      </c>
      <c r="C9" s="26">
        <f>TCO!I26+TCO!I27</f>
        <v>0</v>
      </c>
      <c r="D9" s="25">
        <f>(TCO!I$12*(1+$X$5))+TCO!I$13</f>
        <v>0</v>
      </c>
      <c r="E9" s="28">
        <f t="shared" si="1"/>
        <v>0</v>
      </c>
      <c r="F9" s="26">
        <f>TCO!I22+TCO!I23</f>
        <v>1900000</v>
      </c>
      <c r="G9" s="25">
        <f>(TCO!I$7*(1+$X$5))+TCO!I$8</f>
        <v>0</v>
      </c>
      <c r="H9" s="28">
        <f t="shared" si="2"/>
        <v>-1900000</v>
      </c>
      <c r="I9" s="25">
        <f>TCO!I24+TCO!I25</f>
        <v>0</v>
      </c>
      <c r="J9" s="25">
        <f>(TCO!I$9*(1+$X$5))+TCO!I$10</f>
        <v>778626.2640000002</v>
      </c>
      <c r="K9" s="28">
        <f t="shared" si="3"/>
        <v>778626.2640000002</v>
      </c>
      <c r="L9" s="26">
        <v>0</v>
      </c>
      <c r="M9" s="26">
        <f>TCO!I11</f>
        <v>0</v>
      </c>
      <c r="N9" s="28">
        <f t="shared" si="4"/>
        <v>0</v>
      </c>
      <c r="O9" s="26">
        <v>0</v>
      </c>
      <c r="P9" s="26">
        <f>TCO!I14</f>
        <v>0</v>
      </c>
      <c r="Q9" s="28">
        <f t="shared" si="5"/>
        <v>0</v>
      </c>
      <c r="R9" s="26">
        <f>'Parametre - Agendové IS'!D111</f>
        <v>0</v>
      </c>
      <c r="S9" s="26">
        <f>'Parametre - Agendové IS'!E111</f>
        <v>0</v>
      </c>
      <c r="T9" s="28">
        <f t="shared" si="0"/>
        <v>0</v>
      </c>
      <c r="U9" s="25">
        <f t="shared" si="6"/>
        <v>1900000</v>
      </c>
      <c r="V9" s="25">
        <f t="shared" si="7"/>
        <v>778626.2640000002</v>
      </c>
      <c r="W9" s="28">
        <f t="shared" si="8"/>
        <v>-1121373.7359999998</v>
      </c>
    </row>
    <row r="10" spans="1:24">
      <c r="A10" s="24" t="s">
        <v>31</v>
      </c>
      <c r="B10" s="64">
        <v>7</v>
      </c>
      <c r="C10" s="26">
        <f>TCO!J26+TCO!J27</f>
        <v>0</v>
      </c>
      <c r="D10" s="25">
        <f>(TCO!J$12*(1+$X$5))+TCO!J$13</f>
        <v>0</v>
      </c>
      <c r="E10" s="28">
        <f t="shared" si="1"/>
        <v>0</v>
      </c>
      <c r="F10" s="26">
        <f>TCO!J22+TCO!J23</f>
        <v>1900000</v>
      </c>
      <c r="G10" s="25">
        <f>(TCO!J$7*(1+$X$5))+TCO!J$8</f>
        <v>0</v>
      </c>
      <c r="H10" s="28">
        <f t="shared" si="2"/>
        <v>-1900000</v>
      </c>
      <c r="I10" s="25">
        <f>TCO!J24+TCO!J25</f>
        <v>0</v>
      </c>
      <c r="J10" s="25">
        <f>(TCO!J$9*(1+$X$5))+TCO!J$10</f>
        <v>778626.2640000002</v>
      </c>
      <c r="K10" s="28">
        <f t="shared" si="3"/>
        <v>778626.2640000002</v>
      </c>
      <c r="L10" s="26">
        <v>0</v>
      </c>
      <c r="M10" s="26">
        <f>TCO!J11</f>
        <v>0</v>
      </c>
      <c r="N10" s="28">
        <f t="shared" si="4"/>
        <v>0</v>
      </c>
      <c r="O10" s="26">
        <v>0</v>
      </c>
      <c r="P10" s="26">
        <f>TCO!J14</f>
        <v>0</v>
      </c>
      <c r="Q10" s="28">
        <f t="shared" si="5"/>
        <v>0</v>
      </c>
      <c r="R10" s="26">
        <f>'Parametre - Agendové IS'!D112</f>
        <v>0</v>
      </c>
      <c r="S10" s="26">
        <f>'Parametre - Agendové IS'!E112</f>
        <v>0</v>
      </c>
      <c r="T10" s="28">
        <f t="shared" si="0"/>
        <v>0</v>
      </c>
      <c r="U10" s="25">
        <f t="shared" si="6"/>
        <v>1900000</v>
      </c>
      <c r="V10" s="25">
        <f t="shared" si="7"/>
        <v>778626.2640000002</v>
      </c>
      <c r="W10" s="28">
        <f t="shared" si="8"/>
        <v>-1121373.7359999998</v>
      </c>
    </row>
    <row r="11" spans="1:24">
      <c r="A11" s="24" t="s">
        <v>32</v>
      </c>
      <c r="B11" s="64">
        <v>8</v>
      </c>
      <c r="C11" s="26">
        <f>TCO!K26+TCO!K27</f>
        <v>0</v>
      </c>
      <c r="D11" s="25">
        <f>(TCO!K$12*(1+$X$5))+TCO!K$13</f>
        <v>0</v>
      </c>
      <c r="E11" s="28">
        <f t="shared" si="1"/>
        <v>0</v>
      </c>
      <c r="F11" s="26">
        <f>TCO!K22+TCO!K23</f>
        <v>1900000</v>
      </c>
      <c r="G11" s="25">
        <f>(TCO!K$7*(1+$X$5))+TCO!K$8</f>
        <v>0</v>
      </c>
      <c r="H11" s="28">
        <f t="shared" si="2"/>
        <v>-1900000</v>
      </c>
      <c r="I11" s="25">
        <f>TCO!K24+TCO!K25</f>
        <v>0</v>
      </c>
      <c r="J11" s="25">
        <f>(TCO!K$9*(1+$X$5))+TCO!K$10</f>
        <v>778626.2640000002</v>
      </c>
      <c r="K11" s="28">
        <f t="shared" si="3"/>
        <v>778626.2640000002</v>
      </c>
      <c r="L11" s="26">
        <v>0</v>
      </c>
      <c r="M11" s="26">
        <f>TCO!K11</f>
        <v>0</v>
      </c>
      <c r="N11" s="28">
        <f t="shared" si="4"/>
        <v>0</v>
      </c>
      <c r="O11" s="26">
        <v>0</v>
      </c>
      <c r="P11" s="26">
        <f>TCO!K14</f>
        <v>0</v>
      </c>
      <c r="Q11" s="28">
        <f t="shared" si="5"/>
        <v>0</v>
      </c>
      <c r="R11" s="26">
        <f>'Parametre - Agendové IS'!D113</f>
        <v>0</v>
      </c>
      <c r="S11" s="26">
        <f>'Parametre - Agendové IS'!E113</f>
        <v>0</v>
      </c>
      <c r="T11" s="28">
        <f t="shared" si="0"/>
        <v>0</v>
      </c>
      <c r="U11" s="25">
        <f t="shared" si="6"/>
        <v>1900000</v>
      </c>
      <c r="V11" s="25">
        <f t="shared" si="7"/>
        <v>778626.2640000002</v>
      </c>
      <c r="W11" s="28">
        <f t="shared" si="8"/>
        <v>-1121373.7359999998</v>
      </c>
    </row>
    <row r="12" spans="1:24">
      <c r="A12" s="24" t="s">
        <v>33</v>
      </c>
      <c r="B12" s="64">
        <v>9</v>
      </c>
      <c r="C12" s="26">
        <f>TCO!L26+TCO!L27</f>
        <v>0</v>
      </c>
      <c r="D12" s="25">
        <f>(TCO!L$12*(1+$X$5))+TCO!L$13</f>
        <v>0</v>
      </c>
      <c r="E12" s="28">
        <f t="shared" si="1"/>
        <v>0</v>
      </c>
      <c r="F12" s="26">
        <f>TCO!L22+TCO!L23</f>
        <v>1900000</v>
      </c>
      <c r="G12" s="25">
        <f>(TCO!L$7*(1+$X$5))+TCO!L$8</f>
        <v>0</v>
      </c>
      <c r="H12" s="28">
        <f t="shared" si="2"/>
        <v>-1900000</v>
      </c>
      <c r="I12" s="25">
        <f>TCO!L24+TCO!L25</f>
        <v>0</v>
      </c>
      <c r="J12" s="25">
        <f>(TCO!L$9*(1+$X$5))+TCO!L$10</f>
        <v>778626.2640000002</v>
      </c>
      <c r="K12" s="28">
        <f t="shared" si="3"/>
        <v>778626.2640000002</v>
      </c>
      <c r="L12" s="26">
        <v>0</v>
      </c>
      <c r="M12" s="26">
        <f>TCO!L11</f>
        <v>0</v>
      </c>
      <c r="N12" s="28">
        <f t="shared" si="4"/>
        <v>0</v>
      </c>
      <c r="O12" s="26">
        <v>0</v>
      </c>
      <c r="P12" s="26">
        <f>TCO!L14</f>
        <v>0</v>
      </c>
      <c r="Q12" s="28">
        <f t="shared" si="5"/>
        <v>0</v>
      </c>
      <c r="R12" s="26">
        <f>'Parametre - Agendové IS'!D114</f>
        <v>0</v>
      </c>
      <c r="S12" s="26">
        <f>'Parametre - Agendové IS'!E114</f>
        <v>0</v>
      </c>
      <c r="T12" s="28">
        <f t="shared" si="0"/>
        <v>0</v>
      </c>
      <c r="U12" s="25">
        <f t="shared" si="6"/>
        <v>1900000</v>
      </c>
      <c r="V12" s="25">
        <f t="shared" si="7"/>
        <v>778626.2640000002</v>
      </c>
      <c r="W12" s="28">
        <f t="shared" si="8"/>
        <v>-1121373.7359999998</v>
      </c>
    </row>
    <row r="13" spans="1:24" ht="15.75" thickBot="1">
      <c r="A13" s="24" t="s">
        <v>34</v>
      </c>
      <c r="B13" s="65">
        <v>10</v>
      </c>
      <c r="C13" s="43">
        <f>TCO!M26+TCO!M27</f>
        <v>0</v>
      </c>
      <c r="D13" s="39">
        <f>(TCO!M$12*(1+$X$5))+TCO!M$13</f>
        <v>0</v>
      </c>
      <c r="E13" s="124">
        <f t="shared" si="1"/>
        <v>0</v>
      </c>
      <c r="F13" s="26">
        <f>TCO!M22+TCO!M23</f>
        <v>1900000</v>
      </c>
      <c r="G13" s="39">
        <f>(TCO!M$7*(1+$X$5))+TCO!M$8</f>
        <v>0</v>
      </c>
      <c r="H13" s="124">
        <f t="shared" si="2"/>
        <v>-1900000</v>
      </c>
      <c r="I13" s="39">
        <f>TCO!M24+TCO!M25</f>
        <v>0</v>
      </c>
      <c r="J13" s="39">
        <f>(TCO!M$9*(1+$X$5))+TCO!M$10</f>
        <v>778626.2640000002</v>
      </c>
      <c r="K13" s="124">
        <f t="shared" si="3"/>
        <v>778626.2640000002</v>
      </c>
      <c r="L13" s="43">
        <v>0</v>
      </c>
      <c r="M13" s="43">
        <f>TCO!M11</f>
        <v>0</v>
      </c>
      <c r="N13" s="124">
        <f t="shared" si="4"/>
        <v>0</v>
      </c>
      <c r="O13" s="43">
        <v>0</v>
      </c>
      <c r="P13" s="43">
        <f>TCO!M14</f>
        <v>0</v>
      </c>
      <c r="Q13" s="124">
        <f t="shared" si="5"/>
        <v>0</v>
      </c>
      <c r="R13" s="43">
        <f>'Parametre - Agendové IS'!D115</f>
        <v>0</v>
      </c>
      <c r="S13" s="43">
        <f>'Parametre - Agendové IS'!E115</f>
        <v>0</v>
      </c>
      <c r="T13" s="124">
        <f t="shared" si="0"/>
        <v>0</v>
      </c>
      <c r="U13" s="25">
        <f t="shared" si="6"/>
        <v>1900000</v>
      </c>
      <c r="V13" s="25">
        <f t="shared" si="7"/>
        <v>778626.2640000002</v>
      </c>
      <c r="W13" s="124">
        <f t="shared" si="8"/>
        <v>-1121373.7359999998</v>
      </c>
    </row>
    <row r="14" spans="1:24">
      <c r="A14" s="803" t="s">
        <v>102</v>
      </c>
      <c r="B14" s="804"/>
      <c r="C14" s="346">
        <f>SUM(C4:C13)</f>
        <v>0</v>
      </c>
      <c r="D14" s="344">
        <f t="shared" ref="D14:T14" si="9">SUM(D4:D13)</f>
        <v>0</v>
      </c>
      <c r="E14" s="343">
        <f t="shared" si="9"/>
        <v>0</v>
      </c>
      <c r="F14" s="346">
        <f t="shared" si="9"/>
        <v>15200000</v>
      </c>
      <c r="G14" s="344">
        <f t="shared" si="9"/>
        <v>600000</v>
      </c>
      <c r="H14" s="343">
        <f t="shared" si="9"/>
        <v>-14600000</v>
      </c>
      <c r="I14" s="346">
        <f t="shared" si="9"/>
        <v>0</v>
      </c>
      <c r="J14" s="344">
        <f t="shared" si="9"/>
        <v>14618780.068900466</v>
      </c>
      <c r="K14" s="343">
        <f t="shared" si="9"/>
        <v>14618780.068900466</v>
      </c>
      <c r="L14" s="346">
        <f t="shared" ref="L14:Q14" si="10">SUM(L4:L13)</f>
        <v>0</v>
      </c>
      <c r="M14" s="344">
        <f t="shared" si="10"/>
        <v>0</v>
      </c>
      <c r="N14" s="343">
        <f t="shared" si="10"/>
        <v>0</v>
      </c>
      <c r="O14" s="346">
        <f t="shared" si="10"/>
        <v>0</v>
      </c>
      <c r="P14" s="344">
        <f t="shared" si="10"/>
        <v>630460.53391999996</v>
      </c>
      <c r="Q14" s="343">
        <f t="shared" si="10"/>
        <v>630460.53391999996</v>
      </c>
      <c r="R14" s="346">
        <f t="shared" si="9"/>
        <v>0</v>
      </c>
      <c r="S14" s="344">
        <f t="shared" si="9"/>
        <v>0</v>
      </c>
      <c r="T14" s="343">
        <f t="shared" si="9"/>
        <v>0</v>
      </c>
      <c r="U14" s="355">
        <f>SUM(U4:U13)</f>
        <v>15200000</v>
      </c>
      <c r="V14" s="356">
        <f>SUM(V4:V13)</f>
        <v>15849240.602820465</v>
      </c>
      <c r="W14" s="357">
        <f>SUM(W4:W13)</f>
        <v>649240.60282046488</v>
      </c>
    </row>
    <row r="15" spans="1:24" ht="15.75" thickBot="1">
      <c r="A15" s="805" t="s">
        <v>119</v>
      </c>
      <c r="B15" s="806"/>
      <c r="C15" s="354"/>
      <c r="D15" s="352">
        <f>D4+NPV(Faktory!$D$5,D5:D13)</f>
        <v>0</v>
      </c>
      <c r="E15" s="350">
        <f>E4+NPV(Faktory!$D$5,E5:E13)</f>
        <v>0</v>
      </c>
      <c r="F15" s="354"/>
      <c r="G15" s="352">
        <f>G4+NPV(Faktory!$D$5,G5:G13)</f>
        <v>571428.57142857136</v>
      </c>
      <c r="H15" s="350">
        <f>H4+NPV(Faktory!$D$5,H5:H13)</f>
        <v>-11123908.802771317</v>
      </c>
      <c r="I15" s="354"/>
      <c r="J15" s="352">
        <f>J4+NPV(Faktory!$D$5,J5:J13)</f>
        <v>12402556.482018245</v>
      </c>
      <c r="K15" s="350">
        <f>K4+NPV(Faktory!$D$5,K5:K13)</f>
        <v>12402556.482018245</v>
      </c>
      <c r="L15" s="354"/>
      <c r="M15" s="352">
        <f>M4+NPV(Faktory!$D$5,M5:M13)</f>
        <v>0</v>
      </c>
      <c r="N15" s="350">
        <f>N4+NPV(Faktory!$D$5,N5:N13)</f>
        <v>0</v>
      </c>
      <c r="O15" s="354"/>
      <c r="P15" s="352">
        <f>P4+NPV(Faktory!$D$5,P5:P13)</f>
        <v>600915.1423077248</v>
      </c>
      <c r="Q15" s="350">
        <f>Q4+NPV(Faktory!$D$5,Q5:Q13)</f>
        <v>600915.1423077248</v>
      </c>
      <c r="R15" s="354"/>
      <c r="S15" s="352">
        <f>S4+NPV(Faktory!$D$5,S5:S13)</f>
        <v>0</v>
      </c>
      <c r="T15" s="350">
        <f>T4+NPV(Faktory!$D$5,T5:T13)</f>
        <v>0</v>
      </c>
      <c r="U15" s="358"/>
      <c r="V15" s="352">
        <f>V4+NPV(Faktory!$D$5,V5:V13)</f>
        <v>13574900.195754539</v>
      </c>
      <c r="W15" s="359">
        <f>W4+NPV(Faktory!$D$5,W5:W13)</f>
        <v>1879562.8215546557</v>
      </c>
    </row>
    <row r="16" spans="1:24">
      <c r="A16" s="7"/>
      <c r="B16" s="7"/>
      <c r="C16" s="7"/>
      <c r="D16" s="7"/>
      <c r="E16" s="116"/>
      <c r="F16" s="7"/>
      <c r="G16" s="7"/>
      <c r="H16" s="116"/>
      <c r="I16" s="7"/>
      <c r="J16" s="7"/>
      <c r="K16" s="116"/>
      <c r="L16" s="116"/>
      <c r="M16" s="116"/>
      <c r="N16" s="116"/>
      <c r="O16" s="116"/>
      <c r="P16" s="116"/>
      <c r="Q16" s="116"/>
      <c r="R16" s="7"/>
      <c r="S16" s="7"/>
      <c r="T16" s="116"/>
      <c r="U16" s="125"/>
      <c r="V16" s="125"/>
      <c r="W16" s="125"/>
    </row>
    <row r="17" spans="1:3">
      <c r="A17" s="7"/>
      <c r="B17" s="7"/>
      <c r="C17" s="97" t="s">
        <v>129</v>
      </c>
    </row>
    <row r="22" spans="1:3">
      <c r="C22" s="126"/>
    </row>
  </sheetData>
  <mergeCells count="12">
    <mergeCell ref="A14:B14"/>
    <mergeCell ref="A15:B15"/>
    <mergeCell ref="R1:T1"/>
    <mergeCell ref="U1:W1"/>
    <mergeCell ref="C2:E2"/>
    <mergeCell ref="F2:H2"/>
    <mergeCell ref="I2:K2"/>
    <mergeCell ref="R2:T2"/>
    <mergeCell ref="O1:Q1"/>
    <mergeCell ref="O2:Q2"/>
    <mergeCell ref="L2:N2"/>
    <mergeCell ref="C1:N1"/>
  </mergeCells>
  <pageMargins left="0.7" right="0.7" top="0.75" bottom="0.75" header="0.3" footer="0.3"/>
  <pageSetup paperSize="9" scale="2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6"/>
  <dimension ref="A1:AA38"/>
  <sheetViews>
    <sheetView view="pageBreakPreview" topLeftCell="I1" zoomScaleNormal="85" zoomScaleSheetLayoutView="100" workbookViewId="0">
      <selection activeCell="AA16" sqref="AA16"/>
    </sheetView>
  </sheetViews>
  <sheetFormatPr defaultColWidth="8.85546875" defaultRowHeight="15"/>
  <cols>
    <col min="1" max="1" width="9.42578125" customWidth="1"/>
    <col min="2" max="2" width="4.42578125" bestFit="1" customWidth="1"/>
    <col min="3" max="4" width="14.42578125" bestFit="1" customWidth="1"/>
    <col min="5" max="9" width="13.42578125" customWidth="1"/>
    <col min="10" max="10" width="11.140625" customWidth="1"/>
    <col min="11" max="11" width="12" customWidth="1"/>
    <col min="13" max="13" width="12" customWidth="1"/>
    <col min="14" max="14" width="14" customWidth="1"/>
    <col min="15" max="15" width="14.85546875" customWidth="1"/>
    <col min="16" max="16" width="13.42578125" customWidth="1"/>
    <col min="17" max="17" width="13.42578125" bestFit="1" customWidth="1"/>
    <col min="18" max="21" width="13.85546875" customWidth="1"/>
    <col min="22" max="22" width="14.5703125" customWidth="1"/>
    <col min="23" max="23" width="14" customWidth="1"/>
    <col min="24" max="24" width="14.42578125" customWidth="1"/>
    <col min="25" max="25" width="14.42578125" bestFit="1" customWidth="1"/>
    <col min="26" max="26" width="13.5703125" customWidth="1"/>
    <col min="27" max="27" width="15.42578125" customWidth="1"/>
  </cols>
  <sheetData>
    <row r="1" spans="1:27" ht="15.75" customHeight="1" thickBot="1">
      <c r="A1" s="18"/>
      <c r="B1" s="35"/>
      <c r="C1" s="795" t="s">
        <v>44</v>
      </c>
      <c r="D1" s="796"/>
      <c r="E1" s="796"/>
      <c r="F1" s="796"/>
      <c r="G1" s="796"/>
      <c r="H1" s="796"/>
      <c r="I1" s="797"/>
      <c r="J1" s="795" t="s">
        <v>45</v>
      </c>
      <c r="K1" s="796"/>
      <c r="L1" s="796"/>
      <c r="M1" s="796"/>
      <c r="N1" s="796"/>
      <c r="O1" s="796"/>
      <c r="P1" s="796"/>
      <c r="Q1" s="796"/>
      <c r="R1" s="796"/>
      <c r="S1" s="796"/>
      <c r="T1" s="796"/>
      <c r="U1" s="797"/>
      <c r="V1" s="798" t="s">
        <v>46</v>
      </c>
      <c r="W1" s="799"/>
      <c r="X1" s="799"/>
      <c r="Y1" s="799"/>
      <c r="Z1" s="799"/>
      <c r="AA1" s="800"/>
    </row>
    <row r="2" spans="1:27" ht="15.75" thickBot="1">
      <c r="A2" s="652"/>
      <c r="B2" s="650"/>
      <c r="C2" s="798" t="s">
        <v>47</v>
      </c>
      <c r="D2" s="799"/>
      <c r="E2" s="800"/>
      <c r="F2" s="798" t="s">
        <v>755</v>
      </c>
      <c r="G2" s="799"/>
      <c r="H2" s="799"/>
      <c r="I2" s="800"/>
      <c r="J2" s="815" t="s">
        <v>48</v>
      </c>
      <c r="K2" s="816"/>
      <c r="L2" s="817"/>
      <c r="M2" s="818" t="s">
        <v>49</v>
      </c>
      <c r="N2" s="816"/>
      <c r="O2" s="817"/>
      <c r="P2" s="818" t="s">
        <v>50</v>
      </c>
      <c r="Q2" s="816"/>
      <c r="R2" s="817"/>
      <c r="S2" s="818" t="s">
        <v>147</v>
      </c>
      <c r="T2" s="816"/>
      <c r="U2" s="819"/>
      <c r="V2" s="799" t="s">
        <v>17</v>
      </c>
      <c r="W2" s="799"/>
      <c r="X2" s="800"/>
      <c r="Y2" s="799" t="s">
        <v>18</v>
      </c>
      <c r="Z2" s="799"/>
      <c r="AA2" s="800"/>
    </row>
    <row r="3" spans="1:27" ht="18.600000000000001" customHeight="1" thickBot="1">
      <c r="A3" s="660" t="s">
        <v>23</v>
      </c>
      <c r="B3" s="70" t="s">
        <v>98</v>
      </c>
      <c r="C3" s="22" t="s">
        <v>172</v>
      </c>
      <c r="D3" s="19" t="s">
        <v>125</v>
      </c>
      <c r="E3" s="23" t="s">
        <v>24</v>
      </c>
      <c r="F3" s="22" t="s">
        <v>64</v>
      </c>
      <c r="G3" s="19" t="s">
        <v>65</v>
      </c>
      <c r="H3" s="19" t="s">
        <v>756</v>
      </c>
      <c r="I3" s="19" t="s">
        <v>104</v>
      </c>
      <c r="J3" s="14" t="s">
        <v>172</v>
      </c>
      <c r="K3" s="15" t="s">
        <v>125</v>
      </c>
      <c r="L3" s="21" t="s">
        <v>24</v>
      </c>
      <c r="M3" s="20" t="s">
        <v>172</v>
      </c>
      <c r="N3" s="15" t="s">
        <v>125</v>
      </c>
      <c r="O3" s="21" t="s">
        <v>24</v>
      </c>
      <c r="P3" s="20" t="s">
        <v>172</v>
      </c>
      <c r="Q3" s="15" t="s">
        <v>125</v>
      </c>
      <c r="R3" s="21" t="s">
        <v>24</v>
      </c>
      <c r="S3" s="20" t="s">
        <v>172</v>
      </c>
      <c r="T3" s="15" t="s">
        <v>125</v>
      </c>
      <c r="U3" s="16" t="s">
        <v>24</v>
      </c>
      <c r="V3" s="15" t="s">
        <v>172</v>
      </c>
      <c r="W3" s="15" t="s">
        <v>125</v>
      </c>
      <c r="X3" s="16" t="s">
        <v>24</v>
      </c>
      <c r="Y3" s="15" t="s">
        <v>172</v>
      </c>
      <c r="Z3" s="15" t="s">
        <v>125</v>
      </c>
      <c r="AA3" s="16" t="s">
        <v>24</v>
      </c>
    </row>
    <row r="4" spans="1:27">
      <c r="A4" s="31" t="s">
        <v>25</v>
      </c>
      <c r="B4" s="63">
        <v>1</v>
      </c>
      <c r="C4" s="26">
        <f>'Parametre - Agendové IS'!D116</f>
        <v>0</v>
      </c>
      <c r="D4" s="26">
        <f>'Parametre - Agendové IS'!E116</f>
        <v>0</v>
      </c>
      <c r="E4" s="28">
        <f>IF(ISERR(D4-C4),"-",D4-C4)</f>
        <v>0</v>
      </c>
      <c r="F4" s="26">
        <f>IF(B4&lt;=MIN(MODULY_CBA!$N$3:$N$23),0,TCO!D26+TCO!D27)</f>
        <v>0</v>
      </c>
      <c r="G4" s="26">
        <f>IF(B4&lt;=MIN(MODULY_CBA!$N$3:$N$23),0,TCO!D22+TCO!D23)</f>
        <v>0</v>
      </c>
      <c r="H4" s="651">
        <f>IF(B4&lt;=MIN(MODULY_CBA!$N$3:$N$23),0,'Parametre - Agendové IS'!D106)</f>
        <v>0</v>
      </c>
      <c r="I4" s="28">
        <f>IF(B4&lt;=MIN(MODULY_CBA!$N$3:$N$23),0,TCO!D24+TCO!D25)</f>
        <v>0</v>
      </c>
      <c r="J4" s="238"/>
      <c r="K4" s="239"/>
      <c r="L4" s="32">
        <f t="shared" ref="L4:L13" si="0">IF(ISERR(K4-J4),"-",K4-J4)</f>
        <v>0</v>
      </c>
      <c r="M4" s="29">
        <v>0</v>
      </c>
      <c r="N4" s="25">
        <f>'Parametre - Agendové IS'!E96</f>
        <v>0</v>
      </c>
      <c r="O4" s="32">
        <f>IF(ISERR(N4-M4),"-",N4-M4)</f>
        <v>0</v>
      </c>
      <c r="P4" s="26">
        <f>'Parametre - Agendové IS'!D126</f>
        <v>0</v>
      </c>
      <c r="Q4" s="26">
        <f>'Parametre - Agendové IS'!E126</f>
        <v>0</v>
      </c>
      <c r="R4" s="28">
        <f>IF(ISERR(Q4-P4),"-",Q4-P4)</f>
        <v>0</v>
      </c>
      <c r="S4" s="25">
        <f>-'Parametre - Agendové IS'!D76</f>
        <v>-2664133.3843371649</v>
      </c>
      <c r="T4" s="25">
        <f>-'Parametre - Agendové IS'!E76</f>
        <v>-2664133.3843371649</v>
      </c>
      <c r="U4" s="32">
        <f t="shared" ref="U4:U13" si="1">IF(ISERR(T4-S4),"-",T4-S4)</f>
        <v>0</v>
      </c>
      <c r="V4" s="26">
        <f t="shared" ref="V4:V13" si="2">SUM(C4,J4)</f>
        <v>0</v>
      </c>
      <c r="W4" s="25">
        <f t="shared" ref="W4:W13" si="3">SUM(D4,K4)</f>
        <v>0</v>
      </c>
      <c r="X4" s="28">
        <f>W4-V4</f>
        <v>0</v>
      </c>
      <c r="Y4" s="26">
        <f>SUM(M4,P4,S4)</f>
        <v>-2664133.3843371649</v>
      </c>
      <c r="Z4" s="25">
        <f>SUM(N4,Q4,T4)</f>
        <v>-2664133.3843371649</v>
      </c>
      <c r="AA4" s="28">
        <f>Z4-Y4</f>
        <v>0</v>
      </c>
    </row>
    <row r="5" spans="1:27">
      <c r="A5" s="31" t="s">
        <v>26</v>
      </c>
      <c r="B5" s="64">
        <v>2</v>
      </c>
      <c r="C5" s="26">
        <f>'Parametre - Agendové IS'!D117</f>
        <v>0</v>
      </c>
      <c r="D5" s="26">
        <f>'Parametre - Agendové IS'!E117</f>
        <v>0</v>
      </c>
      <c r="E5" s="28">
        <f t="shared" ref="E5:E13" si="4">IF(ISERR(D5-C5),"-",D5-C5)</f>
        <v>0</v>
      </c>
      <c r="F5" s="26">
        <f>IF(B5&lt;=MIN(MODULY_CBA!$N$3:$N$23),0,TCO!E26+TCO!E27)</f>
        <v>0</v>
      </c>
      <c r="G5" s="26">
        <f>IF(B5&lt;=MIN(MODULY_CBA!$N$3:$N$23),0,TCO!E22+TCO!E23)</f>
        <v>0</v>
      </c>
      <c r="H5" s="651">
        <f>IF(B5&lt;=MIN(MODULY_CBA!$N$3:$N$23),0,'Parametre - Agendové IS'!D107)</f>
        <v>0</v>
      </c>
      <c r="I5" s="28">
        <f>IF(B5&lt;=MIN(MODULY_CBA!$N$3:$N$23),0,TCO!E24+TCO!E25)</f>
        <v>0</v>
      </c>
      <c r="J5" s="238"/>
      <c r="K5" s="239"/>
      <c r="L5" s="28">
        <f t="shared" si="0"/>
        <v>0</v>
      </c>
      <c r="M5" s="29">
        <v>0</v>
      </c>
      <c r="N5" s="25">
        <f>'Parametre - Agendové IS'!E97</f>
        <v>0</v>
      </c>
      <c r="O5" s="115">
        <f>IF(ISERR(N5-M5),"-",N5-M5)</f>
        <v>0</v>
      </c>
      <c r="P5" s="26">
        <f>'Parametre - Agendové IS'!D127</f>
        <v>0</v>
      </c>
      <c r="Q5" s="26">
        <f>'Parametre - Agendové IS'!E127</f>
        <v>0</v>
      </c>
      <c r="R5" s="28">
        <f t="shared" ref="R5:R13" si="5">IF(ISERR(Q5-P5),"-",Q5-P5)</f>
        <v>0</v>
      </c>
      <c r="S5" s="25">
        <f>-'Parametre - Agendové IS'!D77</f>
        <v>-2669622.9394636019</v>
      </c>
      <c r="T5" s="25">
        <f>-'Parametre - Agendové IS'!E77</f>
        <v>-2669622.9394636019</v>
      </c>
      <c r="U5" s="28">
        <f t="shared" si="1"/>
        <v>0</v>
      </c>
      <c r="V5" s="26">
        <f t="shared" si="2"/>
        <v>0</v>
      </c>
      <c r="W5" s="25">
        <f t="shared" si="3"/>
        <v>0</v>
      </c>
      <c r="X5" s="28">
        <f t="shared" ref="X5:X12" si="6">W5-V5</f>
        <v>0</v>
      </c>
      <c r="Y5" s="26">
        <f t="shared" ref="Y5:Z13" si="7">SUM(M5,P5,S5)</f>
        <v>-2669622.9394636019</v>
      </c>
      <c r="Z5" s="25">
        <f t="shared" si="7"/>
        <v>-2669622.9394636019</v>
      </c>
      <c r="AA5" s="28">
        <f t="shared" ref="AA5:AA13" si="8">Z5-Y5</f>
        <v>0</v>
      </c>
    </row>
    <row r="6" spans="1:27">
      <c r="A6" s="31" t="s">
        <v>27</v>
      </c>
      <c r="B6" s="64">
        <v>3</v>
      </c>
      <c r="C6" s="26">
        <f>'Parametre - Agendové IS'!D118</f>
        <v>0</v>
      </c>
      <c r="D6" s="26">
        <f>'Parametre - Agendové IS'!E118</f>
        <v>0</v>
      </c>
      <c r="E6" s="28">
        <f t="shared" si="4"/>
        <v>0</v>
      </c>
      <c r="F6" s="26">
        <f>IF(B6&lt;=MIN(MODULY_CBA!$N$3:$N$23),0,TCO!F26+TCO!F27)</f>
        <v>0</v>
      </c>
      <c r="G6" s="26">
        <f>IF(B6&lt;=MIN(MODULY_CBA!$N$3:$N$23),0,TCO!F22+TCO!F23)</f>
        <v>0</v>
      </c>
      <c r="H6" s="651">
        <f>IF(B6&lt;=MIN(MODULY_CBA!$N$3:$N$23),0,'Parametre - Agendové IS'!D108)</f>
        <v>0</v>
      </c>
      <c r="I6" s="28">
        <f>IF(B6&lt;=MIN(MODULY_CBA!$N$3:$N$23),0,TCO!F24+TCO!F25)</f>
        <v>0</v>
      </c>
      <c r="J6" s="238"/>
      <c r="K6" s="239"/>
      <c r="L6" s="28">
        <f t="shared" si="0"/>
        <v>0</v>
      </c>
      <c r="M6" s="29">
        <v>0</v>
      </c>
      <c r="N6" s="25">
        <f>'Parametre - Agendové IS'!E98</f>
        <v>0</v>
      </c>
      <c r="O6" s="28">
        <f t="shared" ref="O6:O13" si="9">IF(ISERR(N6-M6),"-",N6-M6)</f>
        <v>0</v>
      </c>
      <c r="P6" s="26">
        <f>'Parametre - Agendové IS'!D128</f>
        <v>0</v>
      </c>
      <c r="Q6" s="26">
        <f>'Parametre - Agendové IS'!E128</f>
        <v>107637.67405745521</v>
      </c>
      <c r="R6" s="28">
        <f t="shared" si="5"/>
        <v>107637.67405745521</v>
      </c>
      <c r="S6" s="25">
        <f>-'Parametre - Agendové IS'!D78</f>
        <v>-2669622.9394636019</v>
      </c>
      <c r="T6" s="25">
        <f>-'Parametre - Agendové IS'!E78</f>
        <v>-1252363.5798804597</v>
      </c>
      <c r="U6" s="28">
        <f t="shared" si="1"/>
        <v>1417259.3595831422</v>
      </c>
      <c r="V6" s="26">
        <f t="shared" si="2"/>
        <v>0</v>
      </c>
      <c r="W6" s="25">
        <f t="shared" si="3"/>
        <v>0</v>
      </c>
      <c r="X6" s="28">
        <f t="shared" si="6"/>
        <v>0</v>
      </c>
      <c r="Y6" s="26">
        <f t="shared" si="7"/>
        <v>-2669622.9394636019</v>
      </c>
      <c r="Z6" s="25">
        <f t="shared" si="7"/>
        <v>-1144725.9058230044</v>
      </c>
      <c r="AA6" s="28">
        <f t="shared" si="8"/>
        <v>1524897.0336405975</v>
      </c>
    </row>
    <row r="7" spans="1:27">
      <c r="A7" s="31" t="s">
        <v>28</v>
      </c>
      <c r="B7" s="64">
        <v>4</v>
      </c>
      <c r="C7" s="26">
        <f>'Parametre - Agendové IS'!D119</f>
        <v>0</v>
      </c>
      <c r="D7" s="26">
        <f>'Parametre - Agendové IS'!E119</f>
        <v>0</v>
      </c>
      <c r="E7" s="28">
        <f t="shared" si="4"/>
        <v>0</v>
      </c>
      <c r="F7" s="26">
        <f>IF(B7&lt;=MIN(MODULY_CBA!$N$3:$N$23),0,TCO!G26+TCO!G27)</f>
        <v>0</v>
      </c>
      <c r="G7" s="26">
        <f>IF(B7&lt;=MIN(MODULY_CBA!$N$3:$N$23),0,TCO!G22+TCO!G23)</f>
        <v>1900000</v>
      </c>
      <c r="H7" s="651">
        <f>IF(B7&lt;=MIN(MODULY_CBA!$N$3:$N$23),0,'Parametre - Agendové IS'!D109)</f>
        <v>0</v>
      </c>
      <c r="I7" s="28">
        <f>IF(B7&lt;=MIN(MODULY_CBA!$N$3:$N$23),0,TCO!G24+TCO!G25)</f>
        <v>0</v>
      </c>
      <c r="J7" s="238"/>
      <c r="K7" s="239"/>
      <c r="L7" s="28">
        <f t="shared" si="0"/>
        <v>0</v>
      </c>
      <c r="M7" s="29">
        <v>0</v>
      </c>
      <c r="N7" s="25">
        <f>'Parametre - Agendové IS'!E99</f>
        <v>0</v>
      </c>
      <c r="O7" s="28">
        <f t="shared" si="9"/>
        <v>0</v>
      </c>
      <c r="P7" s="26">
        <f>'Parametre - Agendové IS'!D129</f>
        <v>0</v>
      </c>
      <c r="Q7" s="26">
        <f>'Parametre - Agendové IS'!E129</f>
        <v>215275.34811491042</v>
      </c>
      <c r="R7" s="28">
        <f t="shared" si="5"/>
        <v>215275.34811491042</v>
      </c>
      <c r="S7" s="25">
        <f>-'Parametre - Agendové IS'!D79</f>
        <v>-2669622.9394636019</v>
      </c>
      <c r="T7" s="25">
        <f>-'Parametre - Agendové IS'!E79</f>
        <v>-1275232.6744261151</v>
      </c>
      <c r="U7" s="28">
        <f t="shared" si="1"/>
        <v>1394390.2650374868</v>
      </c>
      <c r="V7" s="26">
        <f t="shared" si="2"/>
        <v>0</v>
      </c>
      <c r="W7" s="25">
        <f t="shared" si="3"/>
        <v>0</v>
      </c>
      <c r="X7" s="28">
        <f t="shared" si="6"/>
        <v>0</v>
      </c>
      <c r="Y7" s="26">
        <f t="shared" si="7"/>
        <v>-2669622.9394636019</v>
      </c>
      <c r="Z7" s="25">
        <f t="shared" si="7"/>
        <v>-1059957.3263112046</v>
      </c>
      <c r="AA7" s="28">
        <f t="shared" si="8"/>
        <v>1609665.6131523973</v>
      </c>
    </row>
    <row r="8" spans="1:27">
      <c r="A8" s="31" t="s">
        <v>29</v>
      </c>
      <c r="B8" s="64">
        <v>5</v>
      </c>
      <c r="C8" s="26">
        <f>'Parametre - Agendové IS'!D120</f>
        <v>0</v>
      </c>
      <c r="D8" s="26">
        <f>'Parametre - Agendové IS'!E120</f>
        <v>0</v>
      </c>
      <c r="E8" s="28">
        <f t="shared" si="4"/>
        <v>0</v>
      </c>
      <c r="F8" s="26">
        <f>IF(B8&lt;=MIN(MODULY_CBA!$N$3:$N$23),0,TCO!H26+TCO!H27)</f>
        <v>0</v>
      </c>
      <c r="G8" s="26">
        <f>IF(B8&lt;=MIN(MODULY_CBA!$N$3:$N$23),0,TCO!H22+TCO!H23)</f>
        <v>1900000</v>
      </c>
      <c r="H8" s="651">
        <f>IF(B8&lt;=MIN(MODULY_CBA!$N$3:$N$23),0,'Parametre - Agendové IS'!D110)</f>
        <v>0</v>
      </c>
      <c r="I8" s="28">
        <f>IF(B8&lt;=MIN(MODULY_CBA!$N$3:$N$23),0,TCO!H24+TCO!H25)</f>
        <v>0</v>
      </c>
      <c r="J8" s="238"/>
      <c r="K8" s="239"/>
      <c r="L8" s="28">
        <f t="shared" si="0"/>
        <v>0</v>
      </c>
      <c r="M8" s="29">
        <v>0</v>
      </c>
      <c r="N8" s="25">
        <f>'Parametre - Agendové IS'!E100</f>
        <v>0</v>
      </c>
      <c r="O8" s="28">
        <f t="shared" si="9"/>
        <v>0</v>
      </c>
      <c r="P8" s="26">
        <f>'Parametre - Agendové IS'!D130</f>
        <v>0</v>
      </c>
      <c r="Q8" s="26">
        <f>'Parametre - Agendové IS'!E130</f>
        <v>322913.02217236557</v>
      </c>
      <c r="R8" s="28">
        <f t="shared" si="5"/>
        <v>322913.02217236557</v>
      </c>
      <c r="S8" s="25">
        <f>-'Parametre - Agendové IS'!D80</f>
        <v>-2669622.9394636019</v>
      </c>
      <c r="T8" s="25">
        <f>-'Parametre - Agendové IS'!E80</f>
        <v>-1298537.3690921641</v>
      </c>
      <c r="U8" s="28">
        <f t="shared" si="1"/>
        <v>1371085.5703714378</v>
      </c>
      <c r="V8" s="26">
        <f t="shared" si="2"/>
        <v>0</v>
      </c>
      <c r="W8" s="25">
        <f t="shared" si="3"/>
        <v>0</v>
      </c>
      <c r="X8" s="28">
        <f t="shared" si="6"/>
        <v>0</v>
      </c>
      <c r="Y8" s="26">
        <f t="shared" si="7"/>
        <v>-2669622.9394636019</v>
      </c>
      <c r="Z8" s="25">
        <f t="shared" si="7"/>
        <v>-975624.34691979853</v>
      </c>
      <c r="AA8" s="28">
        <f t="shared" si="8"/>
        <v>1693998.5925438034</v>
      </c>
    </row>
    <row r="9" spans="1:27">
      <c r="A9" s="31" t="s">
        <v>30</v>
      </c>
      <c r="B9" s="64">
        <v>6</v>
      </c>
      <c r="C9" s="26">
        <f>'Parametre - Agendové IS'!D121</f>
        <v>0</v>
      </c>
      <c r="D9" s="26">
        <f>'Parametre - Agendové IS'!E121</f>
        <v>0</v>
      </c>
      <c r="E9" s="28">
        <f t="shared" si="4"/>
        <v>0</v>
      </c>
      <c r="F9" s="26">
        <f>IF(B9&lt;=MIN(MODULY_CBA!$N$3:$N$23),0,TCO!I26+TCO!I27)</f>
        <v>0</v>
      </c>
      <c r="G9" s="26">
        <f>IF(B9&lt;=MIN(MODULY_CBA!$N$3:$N$23),0,TCO!I22+TCO!I23)</f>
        <v>1900000</v>
      </c>
      <c r="H9" s="651">
        <f>IF(B9&lt;=MIN(MODULY_CBA!$N$3:$N$23),0,'Parametre - Agendové IS'!D111)</f>
        <v>0</v>
      </c>
      <c r="I9" s="28">
        <f>IF(B9&lt;=MIN(MODULY_CBA!$N$3:$N$23),0,TCO!I24+TCO!I25)</f>
        <v>0</v>
      </c>
      <c r="J9" s="238"/>
      <c r="K9" s="239"/>
      <c r="L9" s="28">
        <f t="shared" si="0"/>
        <v>0</v>
      </c>
      <c r="M9" s="29">
        <v>0</v>
      </c>
      <c r="N9" s="25">
        <f>'Parametre - Agendové IS'!E101</f>
        <v>0</v>
      </c>
      <c r="O9" s="28">
        <f t="shared" si="9"/>
        <v>0</v>
      </c>
      <c r="P9" s="26">
        <f>'Parametre - Agendové IS'!D131</f>
        <v>0</v>
      </c>
      <c r="Q9" s="26">
        <f>'Parametre - Agendové IS'!E131</f>
        <v>430550.69622982084</v>
      </c>
      <c r="R9" s="28">
        <f t="shared" si="5"/>
        <v>430550.69622982084</v>
      </c>
      <c r="S9" s="25">
        <f>-'Parametre - Agendové IS'!D81</f>
        <v>-2669622.9394636019</v>
      </c>
      <c r="T9" s="25">
        <f>-'Parametre - Agendové IS'!E81</f>
        <v>-1322286.1580633088</v>
      </c>
      <c r="U9" s="28">
        <f t="shared" si="1"/>
        <v>1347336.7814002931</v>
      </c>
      <c r="V9" s="26">
        <f t="shared" si="2"/>
        <v>0</v>
      </c>
      <c r="W9" s="25">
        <f t="shared" si="3"/>
        <v>0</v>
      </c>
      <c r="X9" s="28">
        <f t="shared" si="6"/>
        <v>0</v>
      </c>
      <c r="Y9" s="26">
        <f t="shared" si="7"/>
        <v>-2669622.9394636019</v>
      </c>
      <c r="Z9" s="25">
        <f t="shared" si="7"/>
        <v>-891735.46183348796</v>
      </c>
      <c r="AA9" s="28">
        <f t="shared" si="8"/>
        <v>1777887.4776301139</v>
      </c>
    </row>
    <row r="10" spans="1:27">
      <c r="A10" s="31" t="s">
        <v>31</v>
      </c>
      <c r="B10" s="64">
        <v>7</v>
      </c>
      <c r="C10" s="26">
        <f>'Parametre - Agendové IS'!D122</f>
        <v>0</v>
      </c>
      <c r="D10" s="26">
        <f>'Parametre - Agendové IS'!E122</f>
        <v>0</v>
      </c>
      <c r="E10" s="28">
        <f t="shared" si="4"/>
        <v>0</v>
      </c>
      <c r="F10" s="26">
        <f>IF(B10&lt;=MIN(MODULY_CBA!$N$3:$N$23),0,TCO!J26+TCO!J27)</f>
        <v>0</v>
      </c>
      <c r="G10" s="26">
        <f>IF(B10&lt;=MIN(MODULY_CBA!$N$3:$N$23),0,TCO!J22+TCO!J23)</f>
        <v>1900000</v>
      </c>
      <c r="H10" s="651">
        <f>IF(B10&lt;=MIN(MODULY_CBA!$N$3:$N$23),0,'Parametre - Agendové IS'!D112)</f>
        <v>0</v>
      </c>
      <c r="I10" s="28">
        <f>IF(B10&lt;=MIN(MODULY_CBA!$N$3:$N$23),0,TCO!J24+TCO!J25)</f>
        <v>0</v>
      </c>
      <c r="J10" s="238"/>
      <c r="K10" s="239"/>
      <c r="L10" s="28">
        <f t="shared" si="0"/>
        <v>0</v>
      </c>
      <c r="M10" s="29">
        <v>0</v>
      </c>
      <c r="N10" s="25">
        <f>'Parametre - Agendové IS'!E102</f>
        <v>0</v>
      </c>
      <c r="O10" s="28">
        <f t="shared" si="9"/>
        <v>0</v>
      </c>
      <c r="P10" s="26">
        <f>'Parametre - Agendové IS'!D132</f>
        <v>0</v>
      </c>
      <c r="Q10" s="26">
        <f>'Parametre - Agendové IS'!E132</f>
        <v>538188.37028727599</v>
      </c>
      <c r="R10" s="28">
        <f t="shared" si="5"/>
        <v>538188.37028727599</v>
      </c>
      <c r="S10" s="25">
        <f>-'Parametre - Agendové IS'!D82</f>
        <v>-2669622.9394636019</v>
      </c>
      <c r="T10" s="25">
        <f>-'Parametre - Agendové IS'!E82</f>
        <v>-1346487.7032297698</v>
      </c>
      <c r="U10" s="28">
        <f t="shared" si="1"/>
        <v>1323135.2362338321</v>
      </c>
      <c r="V10" s="26">
        <f t="shared" si="2"/>
        <v>0</v>
      </c>
      <c r="W10" s="25">
        <f t="shared" si="3"/>
        <v>0</v>
      </c>
      <c r="X10" s="28">
        <f t="shared" si="6"/>
        <v>0</v>
      </c>
      <c r="Y10" s="26">
        <f t="shared" si="7"/>
        <v>-2669622.9394636019</v>
      </c>
      <c r="Z10" s="25">
        <f t="shared" si="7"/>
        <v>-808299.33294249384</v>
      </c>
      <c r="AA10" s="28">
        <f t="shared" si="8"/>
        <v>1861323.6065211082</v>
      </c>
    </row>
    <row r="11" spans="1:27">
      <c r="A11" s="31" t="s">
        <v>32</v>
      </c>
      <c r="B11" s="64">
        <v>8</v>
      </c>
      <c r="C11" s="26">
        <f>'Parametre - Agendové IS'!D123</f>
        <v>0</v>
      </c>
      <c r="D11" s="26">
        <f>'Parametre - Agendové IS'!E123</f>
        <v>0</v>
      </c>
      <c r="E11" s="28">
        <f t="shared" si="4"/>
        <v>0</v>
      </c>
      <c r="F11" s="26">
        <f>IF(B11&lt;=MIN(MODULY_CBA!$N$3:$N$23),0,TCO!K26+TCO!K27)</f>
        <v>0</v>
      </c>
      <c r="G11" s="26">
        <f>IF(B11&lt;=MIN(MODULY_CBA!$N$3:$N$23),0,TCO!K22+TCO!K23)</f>
        <v>1900000</v>
      </c>
      <c r="H11" s="651">
        <f>IF(B11&lt;=MIN(MODULY_CBA!$N$3:$N$23),0,'Parametre - Agendové IS'!D113)</f>
        <v>0</v>
      </c>
      <c r="I11" s="28">
        <f>IF(B11&lt;=MIN(MODULY_CBA!$N$3:$N$23),0,TCO!K24+TCO!K25)</f>
        <v>0</v>
      </c>
      <c r="J11" s="238"/>
      <c r="K11" s="239"/>
      <c r="L11" s="28">
        <f t="shared" si="0"/>
        <v>0</v>
      </c>
      <c r="M11" s="29">
        <v>0</v>
      </c>
      <c r="N11" s="25">
        <f>'Parametre - Agendové IS'!E103</f>
        <v>0</v>
      </c>
      <c r="O11" s="28">
        <f t="shared" si="9"/>
        <v>0</v>
      </c>
      <c r="P11" s="26">
        <f>'Parametre - Agendové IS'!D133</f>
        <v>0</v>
      </c>
      <c r="Q11" s="26">
        <f>'Parametre - Agendové IS'!E133</f>
        <v>645826.04434473114</v>
      </c>
      <c r="R11" s="28">
        <f t="shared" si="5"/>
        <v>645826.04434473114</v>
      </c>
      <c r="S11" s="25">
        <f>-'Parametre - Agendové IS'!D83</f>
        <v>-2669622.9394636019</v>
      </c>
      <c r="T11" s="25">
        <f>-'Parametre - Agendové IS'!E83</f>
        <v>-1371150.8375196122</v>
      </c>
      <c r="U11" s="28">
        <f t="shared" si="1"/>
        <v>1298472.1019439897</v>
      </c>
      <c r="V11" s="26">
        <f t="shared" si="2"/>
        <v>0</v>
      </c>
      <c r="W11" s="25">
        <f t="shared" si="3"/>
        <v>0</v>
      </c>
      <c r="X11" s="28">
        <f t="shared" si="6"/>
        <v>0</v>
      </c>
      <c r="Y11" s="26">
        <f t="shared" si="7"/>
        <v>-2669622.9394636019</v>
      </c>
      <c r="Z11" s="25">
        <f t="shared" si="7"/>
        <v>-725324.79317488102</v>
      </c>
      <c r="AA11" s="28">
        <f t="shared" si="8"/>
        <v>1944298.1462887209</v>
      </c>
    </row>
    <row r="12" spans="1:27">
      <c r="A12" s="31" t="s">
        <v>33</v>
      </c>
      <c r="B12" s="64">
        <v>9</v>
      </c>
      <c r="C12" s="26">
        <f>'Parametre - Agendové IS'!D124</f>
        <v>0</v>
      </c>
      <c r="D12" s="26">
        <f>'Parametre - Agendové IS'!E124</f>
        <v>0</v>
      </c>
      <c r="E12" s="28">
        <f t="shared" si="4"/>
        <v>0</v>
      </c>
      <c r="F12" s="26">
        <f>IF(B12&lt;=MIN(MODULY_CBA!$N$3:$N$23),0,TCO!L26+TCO!L27)</f>
        <v>0</v>
      </c>
      <c r="G12" s="26">
        <f>IF(B12&lt;=MIN(MODULY_CBA!$N$3:$N$23),0,TCO!L22+TCO!L23)</f>
        <v>1900000</v>
      </c>
      <c r="H12" s="651">
        <f>IF(B12&lt;=MIN(MODULY_CBA!$N$3:$N$23),0,'Parametre - Agendové IS'!D114)</f>
        <v>0</v>
      </c>
      <c r="I12" s="28">
        <f>IF(B12&lt;=MIN(MODULY_CBA!$N$3:$N$23),0,TCO!L24+TCO!L25)</f>
        <v>0</v>
      </c>
      <c r="J12" s="238"/>
      <c r="K12" s="239"/>
      <c r="L12" s="28">
        <f t="shared" si="0"/>
        <v>0</v>
      </c>
      <c r="M12" s="29">
        <v>0</v>
      </c>
      <c r="N12" s="25">
        <f>'Parametre - Agendové IS'!E104</f>
        <v>0</v>
      </c>
      <c r="O12" s="28">
        <f t="shared" si="9"/>
        <v>0</v>
      </c>
      <c r="P12" s="26">
        <f>'Parametre - Agendové IS'!D134</f>
        <v>0</v>
      </c>
      <c r="Q12" s="26">
        <f>'Parametre - Agendové IS'!E134</f>
        <v>753463.71840218629</v>
      </c>
      <c r="R12" s="28">
        <f t="shared" si="5"/>
        <v>753463.71840218629</v>
      </c>
      <c r="S12" s="25">
        <f>-'Parametre - Agendové IS'!D84</f>
        <v>-2669622.9394636019</v>
      </c>
      <c r="T12" s="25">
        <f>-'Parametre - Agendové IS'!E84</f>
        <v>-1396284.5682975035</v>
      </c>
      <c r="U12" s="28">
        <f t="shared" si="1"/>
        <v>1273338.3711660984</v>
      </c>
      <c r="V12" s="26">
        <f t="shared" si="2"/>
        <v>0</v>
      </c>
      <c r="W12" s="25">
        <f t="shared" si="3"/>
        <v>0</v>
      </c>
      <c r="X12" s="28">
        <f t="shared" si="6"/>
        <v>0</v>
      </c>
      <c r="Y12" s="26">
        <f t="shared" si="7"/>
        <v>-2669622.9394636019</v>
      </c>
      <c r="Z12" s="25">
        <f t="shared" si="7"/>
        <v>-642820.84989531722</v>
      </c>
      <c r="AA12" s="28">
        <f t="shared" si="8"/>
        <v>2026802.0895682848</v>
      </c>
    </row>
    <row r="13" spans="1:27" ht="15.6" customHeight="1" thickBot="1">
      <c r="A13" s="31" t="s">
        <v>34</v>
      </c>
      <c r="B13" s="65">
        <v>10</v>
      </c>
      <c r="C13" s="43">
        <f>'Parametre - Agendové IS'!D125</f>
        <v>0</v>
      </c>
      <c r="D13" s="43">
        <f>'Parametre - Agendové IS'!E125</f>
        <v>0</v>
      </c>
      <c r="E13" s="124">
        <f t="shared" si="4"/>
        <v>0</v>
      </c>
      <c r="F13" s="26">
        <f>IF(B13&lt;=MIN(MODULY_CBA!$N$3:$N$23),0,TCO!M26+TCO!M27)</f>
        <v>0</v>
      </c>
      <c r="G13" s="26">
        <f>IF(B13&lt;=MIN(MODULY_CBA!$N$3:$N$23),0,TCO!M22+TCO!M23)</f>
        <v>1900000</v>
      </c>
      <c r="H13" s="651">
        <f>IF(B13&lt;=MIN(MODULY_CBA!$N$3:$N$23),0,'Parametre - Agendové IS'!D115)</f>
        <v>0</v>
      </c>
      <c r="I13" s="124">
        <f>IF(B13&lt;=MIN(MODULY_CBA!$N$3:$N$23),0,TCO!M24+TCO!M25)</f>
        <v>0</v>
      </c>
      <c r="J13" s="240"/>
      <c r="K13" s="241"/>
      <c r="L13" s="124">
        <f t="shared" si="0"/>
        <v>0</v>
      </c>
      <c r="M13" s="29">
        <v>0</v>
      </c>
      <c r="N13" s="39">
        <f>'Parametre - Agendové IS'!E105</f>
        <v>0</v>
      </c>
      <c r="O13" s="124">
        <f t="shared" si="9"/>
        <v>0</v>
      </c>
      <c r="P13" s="43">
        <f>'Parametre - Agendové IS'!D135</f>
        <v>0</v>
      </c>
      <c r="Q13" s="43">
        <f>'Parametre - Agendové IS'!E135</f>
        <v>861101.39245964168</v>
      </c>
      <c r="R13" s="124">
        <f t="shared" si="5"/>
        <v>861101.39245964168</v>
      </c>
      <c r="S13" s="39">
        <f>-'Parametre - Agendové IS'!D85</f>
        <v>-2669622.9394636019</v>
      </c>
      <c r="T13" s="39">
        <f>-'Parametre - Agendové IS'!E85</f>
        <v>-1421898.0808312281</v>
      </c>
      <c r="U13" s="39">
        <f t="shared" si="1"/>
        <v>1247724.8586323739</v>
      </c>
      <c r="V13" s="127">
        <f t="shared" si="2"/>
        <v>0</v>
      </c>
      <c r="W13" s="39">
        <f t="shared" si="3"/>
        <v>0</v>
      </c>
      <c r="X13" s="124">
        <f>W13-V13</f>
        <v>0</v>
      </c>
      <c r="Y13" s="43">
        <f t="shared" si="7"/>
        <v>-2669622.9394636019</v>
      </c>
      <c r="Z13" s="39">
        <f t="shared" si="7"/>
        <v>-560796.68837158638</v>
      </c>
      <c r="AA13" s="124">
        <f t="shared" si="8"/>
        <v>2108826.2510920158</v>
      </c>
    </row>
    <row r="14" spans="1:27">
      <c r="A14" s="811" t="s">
        <v>102</v>
      </c>
      <c r="B14" s="812"/>
      <c r="C14" s="342">
        <f>SUM(C4:C13)</f>
        <v>0</v>
      </c>
      <c r="D14" s="342">
        <f t="shared" ref="D14:U14" si="10">SUM(D4:D13)</f>
        <v>0</v>
      </c>
      <c r="E14" s="343">
        <f t="shared" si="10"/>
        <v>0</v>
      </c>
      <c r="F14" s="342">
        <f>SUM(F4:F13)</f>
        <v>0</v>
      </c>
      <c r="G14" s="342">
        <f t="shared" ref="G14:I14" si="11">SUM(G4:G13)</f>
        <v>13300000</v>
      </c>
      <c r="H14" s="342">
        <f t="shared" si="11"/>
        <v>0</v>
      </c>
      <c r="I14" s="343">
        <f t="shared" si="11"/>
        <v>0</v>
      </c>
      <c r="J14" s="342">
        <f t="shared" si="10"/>
        <v>0</v>
      </c>
      <c r="K14" s="344">
        <f t="shared" si="10"/>
        <v>0</v>
      </c>
      <c r="L14" s="343">
        <f t="shared" si="10"/>
        <v>0</v>
      </c>
      <c r="M14" s="342">
        <f t="shared" si="10"/>
        <v>0</v>
      </c>
      <c r="N14" s="344">
        <f t="shared" si="10"/>
        <v>0</v>
      </c>
      <c r="O14" s="343">
        <f t="shared" si="10"/>
        <v>0</v>
      </c>
      <c r="P14" s="342">
        <f t="shared" si="10"/>
        <v>0</v>
      </c>
      <c r="Q14" s="342">
        <f t="shared" si="10"/>
        <v>3874956.2660683873</v>
      </c>
      <c r="R14" s="343">
        <f t="shared" si="10"/>
        <v>3874956.2660683873</v>
      </c>
      <c r="S14" s="344">
        <f t="shared" si="10"/>
        <v>-26690739.83950958</v>
      </c>
      <c r="T14" s="344">
        <f t="shared" si="10"/>
        <v>-16017997.295140928</v>
      </c>
      <c r="U14" s="345">
        <f t="shared" si="10"/>
        <v>10672742.544368656</v>
      </c>
      <c r="V14" s="346">
        <f t="shared" ref="V14:AA14" si="12">SUM(V4:V13)</f>
        <v>0</v>
      </c>
      <c r="W14" s="344">
        <f t="shared" si="12"/>
        <v>0</v>
      </c>
      <c r="X14" s="347">
        <f t="shared" si="12"/>
        <v>0</v>
      </c>
      <c r="Y14" s="346">
        <f t="shared" si="12"/>
        <v>-26690739.83950958</v>
      </c>
      <c r="Z14" s="344">
        <f t="shared" si="12"/>
        <v>-12143041.02907254</v>
      </c>
      <c r="AA14" s="348">
        <f t="shared" si="12"/>
        <v>14547698.810437042</v>
      </c>
    </row>
    <row r="15" spans="1:27" ht="15.75" thickBot="1">
      <c r="A15" s="813" t="s">
        <v>119</v>
      </c>
      <c r="B15" s="814"/>
      <c r="C15" s="349"/>
      <c r="D15" s="349"/>
      <c r="E15" s="350">
        <f>E4+NPV(Faktory!$D$5,'Prínosy - Agendové IS'!E5:E13)</f>
        <v>0</v>
      </c>
      <c r="F15" s="657">
        <f>F4+NPV(Faktory!$D$5,'Prínosy - Agendové IS'!F5:F13)</f>
        <v>0</v>
      </c>
      <c r="G15" s="658">
        <f>G4+NPV(Faktory!$D$5,'Prínosy - Agendové IS'!G5:G13)</f>
        <v>9971981.3651295938</v>
      </c>
      <c r="H15" s="658">
        <f>H4+NPV(Faktory!$D$5,'Prínosy - Agendové IS'!H5:H13)</f>
        <v>0</v>
      </c>
      <c r="I15" s="659">
        <f>I4+NPV(Faktory!$D$5,'Prínosy - Agendové IS'!I5:I13)</f>
        <v>0</v>
      </c>
      <c r="J15" s="351"/>
      <c r="K15" s="352"/>
      <c r="L15" s="350">
        <f>L4+NPV(Faktory!$D$3,'Prínosy - Agendové IS'!L5:L13)</f>
        <v>0</v>
      </c>
      <c r="M15" s="351"/>
      <c r="N15" s="352"/>
      <c r="O15" s="350">
        <f>O4+NPV(Faktory!$D$5,'Prínosy - Agendové IS'!O5:O13)</f>
        <v>0</v>
      </c>
      <c r="P15" s="349"/>
      <c r="Q15" s="349"/>
      <c r="R15" s="350">
        <f>R4+NPV(Faktory!$D$5,'Prínosy - Agendové IS'!R5:R13)</f>
        <v>2812231.060321263</v>
      </c>
      <c r="S15" s="352"/>
      <c r="T15" s="352"/>
      <c r="U15" s="353">
        <f>U4+NPV(Faktory!$D$5,'Prínosy - Agendové IS'!U5:U13)</f>
        <v>8249975.7362009473</v>
      </c>
      <c r="V15" s="354"/>
      <c r="W15" s="352"/>
      <c r="X15" s="350">
        <f>X4+NPV(Faktory!$D$5,'Prínosy - Agendové IS'!X5:X13)</f>
        <v>0</v>
      </c>
      <c r="Y15" s="354"/>
      <c r="Z15" s="352"/>
      <c r="AA15" s="350">
        <f>AA4+NPV(Faktory!$D$5,'Prínosy - Agendové IS'!AA5:AA13)</f>
        <v>11062206.796522208</v>
      </c>
    </row>
    <row r="16" spans="1:27" ht="15.75" thickBot="1">
      <c r="AA16" s="350">
        <f>(AA15+SUM(F15:I15))</f>
        <v>21034188.161651801</v>
      </c>
    </row>
    <row r="17" spans="3:3">
      <c r="C17" s="97" t="s">
        <v>128</v>
      </c>
    </row>
    <row r="38" spans="20:20">
      <c r="T38" s="126"/>
    </row>
  </sheetData>
  <protectedRanges>
    <protectedRange algorithmName="SHA-512" hashValue="f4ycvS5NMakRYlpexdvZE7kc5B00PVZgCpNS64jzUJaJceYSE+aleudxwPGxr22CZo/5IZ2uTHVQQMolnN60/A==" saltValue="c0KVc6r/LTYq/uhy9236YA==" spinCount="100000" sqref="J2:L15" name="Rozsah1"/>
  </protectedRanges>
  <mergeCells count="13">
    <mergeCell ref="A14:B14"/>
    <mergeCell ref="A15:B15"/>
    <mergeCell ref="V1:AA1"/>
    <mergeCell ref="C2:E2"/>
    <mergeCell ref="J2:L2"/>
    <mergeCell ref="M2:O2"/>
    <mergeCell ref="P2:R2"/>
    <mergeCell ref="V2:X2"/>
    <mergeCell ref="Y2:AA2"/>
    <mergeCell ref="S2:U2"/>
    <mergeCell ref="J1:U1"/>
    <mergeCell ref="C1:I1"/>
    <mergeCell ref="F2:I2"/>
  </mergeCells>
  <pageMargins left="0.7" right="0.7" top="0.75" bottom="0.75" header="0.3" footer="0.3"/>
  <pageSetup paperSize="9" scale="2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8">
    <tabColor theme="8" tint="0.39997558519241921"/>
  </sheetPr>
  <dimension ref="A1:BR135"/>
  <sheetViews>
    <sheetView zoomScale="90" zoomScaleNormal="90" workbookViewId="0">
      <pane xSplit="6" ySplit="4" topLeftCell="G5" activePane="bottomRight" state="frozen"/>
      <selection pane="topRight" activeCell="G1" sqref="G1"/>
      <selection pane="bottomLeft" activeCell="A5" sqref="A5"/>
      <selection pane="bottomRight" activeCell="W7" sqref="W7"/>
    </sheetView>
  </sheetViews>
  <sheetFormatPr defaultColWidth="9.140625" defaultRowHeight="15"/>
  <cols>
    <col min="1" max="1" width="19.140625" style="7" customWidth="1"/>
    <col min="2" max="2" width="9.85546875" style="7" bestFit="1" customWidth="1"/>
    <col min="3" max="3" width="8.85546875" style="7" bestFit="1" customWidth="1"/>
    <col min="4" max="4" width="14.42578125" style="7" bestFit="1" customWidth="1"/>
    <col min="5" max="5" width="15.5703125" style="7" bestFit="1" customWidth="1"/>
    <col min="6" max="6" width="14.42578125" style="7" bestFit="1" customWidth="1"/>
    <col min="7" max="7" width="14.140625" style="7" customWidth="1"/>
    <col min="8" max="8" width="14.140625" style="317" customWidth="1"/>
    <col min="9" max="18" width="14.140625" style="7" customWidth="1"/>
    <col min="19" max="19" width="14.140625" style="318" customWidth="1"/>
    <col min="20" max="20" width="14.140625" style="317" customWidth="1"/>
    <col min="21" max="21" width="14.140625" style="7" customWidth="1"/>
    <col min="22" max="22" width="14.140625" style="318" customWidth="1"/>
    <col min="23" max="23" width="14.140625" style="317" customWidth="1"/>
    <col min="24" max="33" width="14.140625" style="7" customWidth="1"/>
    <col min="34" max="34" width="14.140625" style="318" customWidth="1"/>
    <col min="35" max="35" width="14.140625" style="317" customWidth="1"/>
    <col min="36" max="36" width="14.140625" style="7" customWidth="1"/>
    <col min="37" max="37" width="14.140625" style="318" customWidth="1"/>
    <col min="38" max="38" width="14.140625" style="317" customWidth="1"/>
    <col min="39" max="48" width="14.140625" style="7" customWidth="1"/>
    <col min="49" max="49" width="14.140625" style="318" customWidth="1"/>
    <col min="50" max="50" width="14.140625" style="317" customWidth="1"/>
    <col min="51" max="51" width="14.140625" style="7" customWidth="1"/>
    <col min="52" max="52" width="14.140625" style="318" customWidth="1"/>
    <col min="53" max="53" width="14.140625" style="317" customWidth="1"/>
    <col min="54" max="63" width="14.140625" style="7" customWidth="1"/>
    <col min="64" max="64" width="14.140625" style="318" customWidth="1"/>
    <col min="65" max="65" width="14.140625" style="317" customWidth="1"/>
    <col min="66" max="66" width="14.140625" style="7" customWidth="1"/>
    <col min="67" max="67" width="14.140625" style="318" customWidth="1"/>
    <col min="68" max="68" width="14.140625" style="317" customWidth="1"/>
    <col min="69" max="69" width="14.140625" style="7" customWidth="1"/>
    <col min="70" max="70" width="14.5703125" style="243" customWidth="1"/>
    <col min="71" max="73" width="9.140625" style="7"/>
    <col min="74" max="74" width="12.42578125" style="7" bestFit="1" customWidth="1"/>
    <col min="75" max="309" width="9.140625" style="7"/>
    <col min="310" max="310" width="1.5703125" style="7" customWidth="1"/>
    <col min="311" max="311" width="19.140625" style="7" customWidth="1"/>
    <col min="312" max="312" width="35.140625" style="7" customWidth="1"/>
    <col min="313" max="313" width="9.85546875" style="7" bestFit="1" customWidth="1"/>
    <col min="314" max="314" width="8.85546875" style="7" bestFit="1" customWidth="1"/>
    <col min="315" max="325" width="10.42578125" style="7" customWidth="1"/>
    <col min="326" max="565" width="9.140625" style="7"/>
    <col min="566" max="566" width="1.5703125" style="7" customWidth="1"/>
    <col min="567" max="567" width="19.140625" style="7" customWidth="1"/>
    <col min="568" max="568" width="35.140625" style="7" customWidth="1"/>
    <col min="569" max="569" width="9.85546875" style="7" bestFit="1" customWidth="1"/>
    <col min="570" max="570" width="8.85546875" style="7" bestFit="1" customWidth="1"/>
    <col min="571" max="581" width="10.42578125" style="7" customWidth="1"/>
    <col min="582" max="821" width="9.140625" style="7"/>
    <col min="822" max="822" width="1.5703125" style="7" customWidth="1"/>
    <col min="823" max="823" width="19.140625" style="7" customWidth="1"/>
    <col min="824" max="824" width="35.140625" style="7" customWidth="1"/>
    <col min="825" max="825" width="9.85546875" style="7" bestFit="1" customWidth="1"/>
    <col min="826" max="826" width="8.85546875" style="7" bestFit="1" customWidth="1"/>
    <col min="827" max="837" width="10.42578125" style="7" customWidth="1"/>
    <col min="838" max="1077" width="9.140625" style="7"/>
    <col min="1078" max="1078" width="1.5703125" style="7" customWidth="1"/>
    <col min="1079" max="1079" width="19.140625" style="7" customWidth="1"/>
    <col min="1080" max="1080" width="35.140625" style="7" customWidth="1"/>
    <col min="1081" max="1081" width="9.85546875" style="7" bestFit="1" customWidth="1"/>
    <col min="1082" max="1082" width="8.85546875" style="7" bestFit="1" customWidth="1"/>
    <col min="1083" max="1093" width="10.42578125" style="7" customWidth="1"/>
    <col min="1094" max="1333" width="9.140625" style="7"/>
    <col min="1334" max="1334" width="1.5703125" style="7" customWidth="1"/>
    <col min="1335" max="1335" width="19.140625" style="7" customWidth="1"/>
    <col min="1336" max="1336" width="35.140625" style="7" customWidth="1"/>
    <col min="1337" max="1337" width="9.85546875" style="7" bestFit="1" customWidth="1"/>
    <col min="1338" max="1338" width="8.85546875" style="7" bestFit="1" customWidth="1"/>
    <col min="1339" max="1349" width="10.42578125" style="7" customWidth="1"/>
    <col min="1350" max="1589" width="9.140625" style="7"/>
    <col min="1590" max="1590" width="1.5703125" style="7" customWidth="1"/>
    <col min="1591" max="1591" width="19.140625" style="7" customWidth="1"/>
    <col min="1592" max="1592" width="35.140625" style="7" customWidth="1"/>
    <col min="1593" max="1593" width="9.85546875" style="7" bestFit="1" customWidth="1"/>
    <col min="1594" max="1594" width="8.85546875" style="7" bestFit="1" customWidth="1"/>
    <col min="1595" max="1605" width="10.42578125" style="7" customWidth="1"/>
    <col min="1606" max="1845" width="9.140625" style="7"/>
    <col min="1846" max="1846" width="1.5703125" style="7" customWidth="1"/>
    <col min="1847" max="1847" width="19.140625" style="7" customWidth="1"/>
    <col min="1848" max="1848" width="35.140625" style="7" customWidth="1"/>
    <col min="1849" max="1849" width="9.85546875" style="7" bestFit="1" customWidth="1"/>
    <col min="1850" max="1850" width="8.85546875" style="7" bestFit="1" customWidth="1"/>
    <col min="1851" max="1861" width="10.42578125" style="7" customWidth="1"/>
    <col min="1862" max="2101" width="9.140625" style="7"/>
    <col min="2102" max="2102" width="1.5703125" style="7" customWidth="1"/>
    <col min="2103" max="2103" width="19.140625" style="7" customWidth="1"/>
    <col min="2104" max="2104" width="35.140625" style="7" customWidth="1"/>
    <col min="2105" max="2105" width="9.85546875" style="7" bestFit="1" customWidth="1"/>
    <col min="2106" max="2106" width="8.85546875" style="7" bestFit="1" customWidth="1"/>
    <col min="2107" max="2117" width="10.42578125" style="7" customWidth="1"/>
    <col min="2118" max="2357" width="9.140625" style="7"/>
    <col min="2358" max="2358" width="1.5703125" style="7" customWidth="1"/>
    <col min="2359" max="2359" width="19.140625" style="7" customWidth="1"/>
    <col min="2360" max="2360" width="35.140625" style="7" customWidth="1"/>
    <col min="2361" max="2361" width="9.85546875" style="7" bestFit="1" customWidth="1"/>
    <col min="2362" max="2362" width="8.85546875" style="7" bestFit="1" customWidth="1"/>
    <col min="2363" max="2373" width="10.42578125" style="7" customWidth="1"/>
    <col min="2374" max="2613" width="9.140625" style="7"/>
    <col min="2614" max="2614" width="1.5703125" style="7" customWidth="1"/>
    <col min="2615" max="2615" width="19.140625" style="7" customWidth="1"/>
    <col min="2616" max="2616" width="35.140625" style="7" customWidth="1"/>
    <col min="2617" max="2617" width="9.85546875" style="7" bestFit="1" customWidth="1"/>
    <col min="2618" max="2618" width="8.85546875" style="7" bestFit="1" customWidth="1"/>
    <col min="2619" max="2629" width="10.42578125" style="7" customWidth="1"/>
    <col min="2630" max="2869" width="9.140625" style="7"/>
    <col min="2870" max="2870" width="1.5703125" style="7" customWidth="1"/>
    <col min="2871" max="2871" width="19.140625" style="7" customWidth="1"/>
    <col min="2872" max="2872" width="35.140625" style="7" customWidth="1"/>
    <col min="2873" max="2873" width="9.85546875" style="7" bestFit="1" customWidth="1"/>
    <col min="2874" max="2874" width="8.85546875" style="7" bestFit="1" customWidth="1"/>
    <col min="2875" max="2885" width="10.42578125" style="7" customWidth="1"/>
    <col min="2886" max="3125" width="9.140625" style="7"/>
    <col min="3126" max="3126" width="1.5703125" style="7" customWidth="1"/>
    <col min="3127" max="3127" width="19.140625" style="7" customWidth="1"/>
    <col min="3128" max="3128" width="35.140625" style="7" customWidth="1"/>
    <col min="3129" max="3129" width="9.85546875" style="7" bestFit="1" customWidth="1"/>
    <col min="3130" max="3130" width="8.85546875" style="7" bestFit="1" customWidth="1"/>
    <col min="3131" max="3141" width="10.42578125" style="7" customWidth="1"/>
    <col min="3142" max="3381" width="9.140625" style="7"/>
    <col min="3382" max="3382" width="1.5703125" style="7" customWidth="1"/>
    <col min="3383" max="3383" width="19.140625" style="7" customWidth="1"/>
    <col min="3384" max="3384" width="35.140625" style="7" customWidth="1"/>
    <col min="3385" max="3385" width="9.85546875" style="7" bestFit="1" customWidth="1"/>
    <col min="3386" max="3386" width="8.85546875" style="7" bestFit="1" customWidth="1"/>
    <col min="3387" max="3397" width="10.42578125" style="7" customWidth="1"/>
    <col min="3398" max="3637" width="9.140625" style="7"/>
    <col min="3638" max="3638" width="1.5703125" style="7" customWidth="1"/>
    <col min="3639" max="3639" width="19.140625" style="7" customWidth="1"/>
    <col min="3640" max="3640" width="35.140625" style="7" customWidth="1"/>
    <col min="3641" max="3641" width="9.85546875" style="7" bestFit="1" customWidth="1"/>
    <col min="3642" max="3642" width="8.85546875" style="7" bestFit="1" customWidth="1"/>
    <col min="3643" max="3653" width="10.42578125" style="7" customWidth="1"/>
    <col min="3654" max="3893" width="9.140625" style="7"/>
    <col min="3894" max="3894" width="1.5703125" style="7" customWidth="1"/>
    <col min="3895" max="3895" width="19.140625" style="7" customWidth="1"/>
    <col min="3896" max="3896" width="35.140625" style="7" customWidth="1"/>
    <col min="3897" max="3897" width="9.85546875" style="7" bestFit="1" customWidth="1"/>
    <col min="3898" max="3898" width="8.85546875" style="7" bestFit="1" customWidth="1"/>
    <col min="3899" max="3909" width="10.42578125" style="7" customWidth="1"/>
    <col min="3910" max="4149" width="9.140625" style="7"/>
    <col min="4150" max="4150" width="1.5703125" style="7" customWidth="1"/>
    <col min="4151" max="4151" width="19.140625" style="7" customWidth="1"/>
    <col min="4152" max="4152" width="35.140625" style="7" customWidth="1"/>
    <col min="4153" max="4153" width="9.85546875" style="7" bestFit="1" customWidth="1"/>
    <col min="4154" max="4154" width="8.85546875" style="7" bestFit="1" customWidth="1"/>
    <col min="4155" max="4165" width="10.42578125" style="7" customWidth="1"/>
    <col min="4166" max="4405" width="9.140625" style="7"/>
    <col min="4406" max="4406" width="1.5703125" style="7" customWidth="1"/>
    <col min="4407" max="4407" width="19.140625" style="7" customWidth="1"/>
    <col min="4408" max="4408" width="35.140625" style="7" customWidth="1"/>
    <col min="4409" max="4409" width="9.85546875" style="7" bestFit="1" customWidth="1"/>
    <col min="4410" max="4410" width="8.85546875" style="7" bestFit="1" customWidth="1"/>
    <col min="4411" max="4421" width="10.42578125" style="7" customWidth="1"/>
    <col min="4422" max="4661" width="9.140625" style="7"/>
    <col min="4662" max="4662" width="1.5703125" style="7" customWidth="1"/>
    <col min="4663" max="4663" width="19.140625" style="7" customWidth="1"/>
    <col min="4664" max="4664" width="35.140625" style="7" customWidth="1"/>
    <col min="4665" max="4665" width="9.85546875" style="7" bestFit="1" customWidth="1"/>
    <col min="4666" max="4666" width="8.85546875" style="7" bestFit="1" customWidth="1"/>
    <col min="4667" max="4677" width="10.42578125" style="7" customWidth="1"/>
    <col min="4678" max="4917" width="9.140625" style="7"/>
    <col min="4918" max="4918" width="1.5703125" style="7" customWidth="1"/>
    <col min="4919" max="4919" width="19.140625" style="7" customWidth="1"/>
    <col min="4920" max="4920" width="35.140625" style="7" customWidth="1"/>
    <col min="4921" max="4921" width="9.85546875" style="7" bestFit="1" customWidth="1"/>
    <col min="4922" max="4922" width="8.85546875" style="7" bestFit="1" customWidth="1"/>
    <col min="4923" max="4933" width="10.42578125" style="7" customWidth="1"/>
    <col min="4934" max="5173" width="9.140625" style="7"/>
    <col min="5174" max="5174" width="1.5703125" style="7" customWidth="1"/>
    <col min="5175" max="5175" width="19.140625" style="7" customWidth="1"/>
    <col min="5176" max="5176" width="35.140625" style="7" customWidth="1"/>
    <col min="5177" max="5177" width="9.85546875" style="7" bestFit="1" customWidth="1"/>
    <col min="5178" max="5178" width="8.85546875" style="7" bestFit="1" customWidth="1"/>
    <col min="5179" max="5189" width="10.42578125" style="7" customWidth="1"/>
    <col min="5190" max="5429" width="9.140625" style="7"/>
    <col min="5430" max="5430" width="1.5703125" style="7" customWidth="1"/>
    <col min="5431" max="5431" width="19.140625" style="7" customWidth="1"/>
    <col min="5432" max="5432" width="35.140625" style="7" customWidth="1"/>
    <col min="5433" max="5433" width="9.85546875" style="7" bestFit="1" customWidth="1"/>
    <col min="5434" max="5434" width="8.85546875" style="7" bestFit="1" customWidth="1"/>
    <col min="5435" max="5445" width="10.42578125" style="7" customWidth="1"/>
    <col min="5446" max="5685" width="9.140625" style="7"/>
    <col min="5686" max="5686" width="1.5703125" style="7" customWidth="1"/>
    <col min="5687" max="5687" width="19.140625" style="7" customWidth="1"/>
    <col min="5688" max="5688" width="35.140625" style="7" customWidth="1"/>
    <col min="5689" max="5689" width="9.85546875" style="7" bestFit="1" customWidth="1"/>
    <col min="5690" max="5690" width="8.85546875" style="7" bestFit="1" customWidth="1"/>
    <col min="5691" max="5701" width="10.42578125" style="7" customWidth="1"/>
    <col min="5702" max="5941" width="9.140625" style="7"/>
    <col min="5942" max="5942" width="1.5703125" style="7" customWidth="1"/>
    <col min="5943" max="5943" width="19.140625" style="7" customWidth="1"/>
    <col min="5944" max="5944" width="35.140625" style="7" customWidth="1"/>
    <col min="5945" max="5945" width="9.85546875" style="7" bestFit="1" customWidth="1"/>
    <col min="5946" max="5946" width="8.85546875" style="7" bestFit="1" customWidth="1"/>
    <col min="5947" max="5957" width="10.42578125" style="7" customWidth="1"/>
    <col min="5958" max="6197" width="9.140625" style="7"/>
    <col min="6198" max="6198" width="1.5703125" style="7" customWidth="1"/>
    <col min="6199" max="6199" width="19.140625" style="7" customWidth="1"/>
    <col min="6200" max="6200" width="35.140625" style="7" customWidth="1"/>
    <col min="6201" max="6201" width="9.85546875" style="7" bestFit="1" customWidth="1"/>
    <col min="6202" max="6202" width="8.85546875" style="7" bestFit="1" customWidth="1"/>
    <col min="6203" max="6213" width="10.42578125" style="7" customWidth="1"/>
    <col min="6214" max="6453" width="9.140625" style="7"/>
    <col min="6454" max="6454" width="1.5703125" style="7" customWidth="1"/>
    <col min="6455" max="6455" width="19.140625" style="7" customWidth="1"/>
    <col min="6456" max="6456" width="35.140625" style="7" customWidth="1"/>
    <col min="6457" max="6457" width="9.85546875" style="7" bestFit="1" customWidth="1"/>
    <col min="6458" max="6458" width="8.85546875" style="7" bestFit="1" customWidth="1"/>
    <col min="6459" max="6469" width="10.42578125" style="7" customWidth="1"/>
    <col min="6470" max="6709" width="9.140625" style="7"/>
    <col min="6710" max="6710" width="1.5703125" style="7" customWidth="1"/>
    <col min="6711" max="6711" width="19.140625" style="7" customWidth="1"/>
    <col min="6712" max="6712" width="35.140625" style="7" customWidth="1"/>
    <col min="6713" max="6713" width="9.85546875" style="7" bestFit="1" customWidth="1"/>
    <col min="6714" max="6714" width="8.85546875" style="7" bestFit="1" customWidth="1"/>
    <col min="6715" max="6725" width="10.42578125" style="7" customWidth="1"/>
    <col min="6726" max="6965" width="9.140625" style="7"/>
    <col min="6966" max="6966" width="1.5703125" style="7" customWidth="1"/>
    <col min="6967" max="6967" width="19.140625" style="7" customWidth="1"/>
    <col min="6968" max="6968" width="35.140625" style="7" customWidth="1"/>
    <col min="6969" max="6969" width="9.85546875" style="7" bestFit="1" customWidth="1"/>
    <col min="6970" max="6970" width="8.85546875" style="7" bestFit="1" customWidth="1"/>
    <col min="6971" max="6981" width="10.42578125" style="7" customWidth="1"/>
    <col min="6982" max="7221" width="9.140625" style="7"/>
    <col min="7222" max="7222" width="1.5703125" style="7" customWidth="1"/>
    <col min="7223" max="7223" width="19.140625" style="7" customWidth="1"/>
    <col min="7224" max="7224" width="35.140625" style="7" customWidth="1"/>
    <col min="7225" max="7225" width="9.85546875" style="7" bestFit="1" customWidth="1"/>
    <col min="7226" max="7226" width="8.85546875" style="7" bestFit="1" customWidth="1"/>
    <col min="7227" max="7237" width="10.42578125" style="7" customWidth="1"/>
    <col min="7238" max="7477" width="9.140625" style="7"/>
    <col min="7478" max="7478" width="1.5703125" style="7" customWidth="1"/>
    <col min="7479" max="7479" width="19.140625" style="7" customWidth="1"/>
    <col min="7480" max="7480" width="35.140625" style="7" customWidth="1"/>
    <col min="7481" max="7481" width="9.85546875" style="7" bestFit="1" customWidth="1"/>
    <col min="7482" max="7482" width="8.85546875" style="7" bestFit="1" customWidth="1"/>
    <col min="7483" max="7493" width="10.42578125" style="7" customWidth="1"/>
    <col min="7494" max="7733" width="9.140625" style="7"/>
    <col min="7734" max="7734" width="1.5703125" style="7" customWidth="1"/>
    <col min="7735" max="7735" width="19.140625" style="7" customWidth="1"/>
    <col min="7736" max="7736" width="35.140625" style="7" customWidth="1"/>
    <col min="7737" max="7737" width="9.85546875" style="7" bestFit="1" customWidth="1"/>
    <col min="7738" max="7738" width="8.85546875" style="7" bestFit="1" customWidth="1"/>
    <col min="7739" max="7749" width="10.42578125" style="7" customWidth="1"/>
    <col min="7750" max="7989" width="9.140625" style="7"/>
    <col min="7990" max="7990" width="1.5703125" style="7" customWidth="1"/>
    <col min="7991" max="7991" width="19.140625" style="7" customWidth="1"/>
    <col min="7992" max="7992" width="35.140625" style="7" customWidth="1"/>
    <col min="7993" max="7993" width="9.85546875" style="7" bestFit="1" customWidth="1"/>
    <col min="7994" max="7994" width="8.85546875" style="7" bestFit="1" customWidth="1"/>
    <col min="7995" max="8005" width="10.42578125" style="7" customWidth="1"/>
    <col min="8006" max="8245" width="9.140625" style="7"/>
    <col min="8246" max="8246" width="1.5703125" style="7" customWidth="1"/>
    <col min="8247" max="8247" width="19.140625" style="7" customWidth="1"/>
    <col min="8248" max="8248" width="35.140625" style="7" customWidth="1"/>
    <col min="8249" max="8249" width="9.85546875" style="7" bestFit="1" customWidth="1"/>
    <col min="8250" max="8250" width="8.85546875" style="7" bestFit="1" customWidth="1"/>
    <col min="8251" max="8261" width="10.42578125" style="7" customWidth="1"/>
    <col min="8262" max="8501" width="9.140625" style="7"/>
    <col min="8502" max="8502" width="1.5703125" style="7" customWidth="1"/>
    <col min="8503" max="8503" width="19.140625" style="7" customWidth="1"/>
    <col min="8504" max="8504" width="35.140625" style="7" customWidth="1"/>
    <col min="8505" max="8505" width="9.85546875" style="7" bestFit="1" customWidth="1"/>
    <col min="8506" max="8506" width="8.85546875" style="7" bestFit="1" customWidth="1"/>
    <col min="8507" max="8517" width="10.42578125" style="7" customWidth="1"/>
    <col min="8518" max="8757" width="9.140625" style="7"/>
    <col min="8758" max="8758" width="1.5703125" style="7" customWidth="1"/>
    <col min="8759" max="8759" width="19.140625" style="7" customWidth="1"/>
    <col min="8760" max="8760" width="35.140625" style="7" customWidth="1"/>
    <col min="8761" max="8761" width="9.85546875" style="7" bestFit="1" customWidth="1"/>
    <col min="8762" max="8762" width="8.85546875" style="7" bestFit="1" customWidth="1"/>
    <col min="8763" max="8773" width="10.42578125" style="7" customWidth="1"/>
    <col min="8774" max="9013" width="9.140625" style="7"/>
    <col min="9014" max="9014" width="1.5703125" style="7" customWidth="1"/>
    <col min="9015" max="9015" width="19.140625" style="7" customWidth="1"/>
    <col min="9016" max="9016" width="35.140625" style="7" customWidth="1"/>
    <col min="9017" max="9017" width="9.85546875" style="7" bestFit="1" customWidth="1"/>
    <col min="9018" max="9018" width="8.85546875" style="7" bestFit="1" customWidth="1"/>
    <col min="9019" max="9029" width="10.42578125" style="7" customWidth="1"/>
    <col min="9030" max="9269" width="9.140625" style="7"/>
    <col min="9270" max="9270" width="1.5703125" style="7" customWidth="1"/>
    <col min="9271" max="9271" width="19.140625" style="7" customWidth="1"/>
    <col min="9272" max="9272" width="35.140625" style="7" customWidth="1"/>
    <col min="9273" max="9273" width="9.85546875" style="7" bestFit="1" customWidth="1"/>
    <col min="9274" max="9274" width="8.85546875" style="7" bestFit="1" customWidth="1"/>
    <col min="9275" max="9285" width="10.42578125" style="7" customWidth="1"/>
    <col min="9286" max="9525" width="9.140625" style="7"/>
    <col min="9526" max="9526" width="1.5703125" style="7" customWidth="1"/>
    <col min="9527" max="9527" width="19.140625" style="7" customWidth="1"/>
    <col min="9528" max="9528" width="35.140625" style="7" customWidth="1"/>
    <col min="9529" max="9529" width="9.85546875" style="7" bestFit="1" customWidth="1"/>
    <col min="9530" max="9530" width="8.85546875" style="7" bestFit="1" customWidth="1"/>
    <col min="9531" max="9541" width="10.42578125" style="7" customWidth="1"/>
    <col min="9542" max="9781" width="9.140625" style="7"/>
    <col min="9782" max="9782" width="1.5703125" style="7" customWidth="1"/>
    <col min="9783" max="9783" width="19.140625" style="7" customWidth="1"/>
    <col min="9784" max="9784" width="35.140625" style="7" customWidth="1"/>
    <col min="9785" max="9785" width="9.85546875" style="7" bestFit="1" customWidth="1"/>
    <col min="9786" max="9786" width="8.85546875" style="7" bestFit="1" customWidth="1"/>
    <col min="9787" max="9797" width="10.42578125" style="7" customWidth="1"/>
    <col min="9798" max="10037" width="9.140625" style="7"/>
    <col min="10038" max="10038" width="1.5703125" style="7" customWidth="1"/>
    <col min="10039" max="10039" width="19.140625" style="7" customWidth="1"/>
    <col min="10040" max="10040" width="35.140625" style="7" customWidth="1"/>
    <col min="10041" max="10041" width="9.85546875" style="7" bestFit="1" customWidth="1"/>
    <col min="10042" max="10042" width="8.85546875" style="7" bestFit="1" customWidth="1"/>
    <col min="10043" max="10053" width="10.42578125" style="7" customWidth="1"/>
    <col min="10054" max="10293" width="9.140625" style="7"/>
    <col min="10294" max="10294" width="1.5703125" style="7" customWidth="1"/>
    <col min="10295" max="10295" width="19.140625" style="7" customWidth="1"/>
    <col min="10296" max="10296" width="35.140625" style="7" customWidth="1"/>
    <col min="10297" max="10297" width="9.85546875" style="7" bestFit="1" customWidth="1"/>
    <col min="10298" max="10298" width="8.85546875" style="7" bestFit="1" customWidth="1"/>
    <col min="10299" max="10309" width="10.42578125" style="7" customWidth="1"/>
    <col min="10310" max="10549" width="9.140625" style="7"/>
    <col min="10550" max="10550" width="1.5703125" style="7" customWidth="1"/>
    <col min="10551" max="10551" width="19.140625" style="7" customWidth="1"/>
    <col min="10552" max="10552" width="35.140625" style="7" customWidth="1"/>
    <col min="10553" max="10553" width="9.85546875" style="7" bestFit="1" customWidth="1"/>
    <col min="10554" max="10554" width="8.85546875" style="7" bestFit="1" customWidth="1"/>
    <col min="10555" max="10565" width="10.42578125" style="7" customWidth="1"/>
    <col min="10566" max="10805" width="9.140625" style="7"/>
    <col min="10806" max="10806" width="1.5703125" style="7" customWidth="1"/>
    <col min="10807" max="10807" width="19.140625" style="7" customWidth="1"/>
    <col min="10808" max="10808" width="35.140625" style="7" customWidth="1"/>
    <col min="10809" max="10809" width="9.85546875" style="7" bestFit="1" customWidth="1"/>
    <col min="10810" max="10810" width="8.85546875" style="7" bestFit="1" customWidth="1"/>
    <col min="10811" max="10821" width="10.42578125" style="7" customWidth="1"/>
    <col min="10822" max="11061" width="9.140625" style="7"/>
    <col min="11062" max="11062" width="1.5703125" style="7" customWidth="1"/>
    <col min="11063" max="11063" width="19.140625" style="7" customWidth="1"/>
    <col min="11064" max="11064" width="35.140625" style="7" customWidth="1"/>
    <col min="11065" max="11065" width="9.85546875" style="7" bestFit="1" customWidth="1"/>
    <col min="11066" max="11066" width="8.85546875" style="7" bestFit="1" customWidth="1"/>
    <col min="11067" max="11077" width="10.42578125" style="7" customWidth="1"/>
    <col min="11078" max="11317" width="9.140625" style="7"/>
    <col min="11318" max="11318" width="1.5703125" style="7" customWidth="1"/>
    <col min="11319" max="11319" width="19.140625" style="7" customWidth="1"/>
    <col min="11320" max="11320" width="35.140625" style="7" customWidth="1"/>
    <col min="11321" max="11321" width="9.85546875" style="7" bestFit="1" customWidth="1"/>
    <col min="11322" max="11322" width="8.85546875" style="7" bestFit="1" customWidth="1"/>
    <col min="11323" max="11333" width="10.42578125" style="7" customWidth="1"/>
    <col min="11334" max="11573" width="9.140625" style="7"/>
    <col min="11574" max="11574" width="1.5703125" style="7" customWidth="1"/>
    <col min="11575" max="11575" width="19.140625" style="7" customWidth="1"/>
    <col min="11576" max="11576" width="35.140625" style="7" customWidth="1"/>
    <col min="11577" max="11577" width="9.85546875" style="7" bestFit="1" customWidth="1"/>
    <col min="11578" max="11578" width="8.85546875" style="7" bestFit="1" customWidth="1"/>
    <col min="11579" max="11589" width="10.42578125" style="7" customWidth="1"/>
    <col min="11590" max="11829" width="9.140625" style="7"/>
    <col min="11830" max="11830" width="1.5703125" style="7" customWidth="1"/>
    <col min="11831" max="11831" width="19.140625" style="7" customWidth="1"/>
    <col min="11832" max="11832" width="35.140625" style="7" customWidth="1"/>
    <col min="11833" max="11833" width="9.85546875" style="7" bestFit="1" customWidth="1"/>
    <col min="11834" max="11834" width="8.85546875" style="7" bestFit="1" customWidth="1"/>
    <col min="11835" max="11845" width="10.42578125" style="7" customWidth="1"/>
    <col min="11846" max="12085" width="9.140625" style="7"/>
    <col min="12086" max="12086" width="1.5703125" style="7" customWidth="1"/>
    <col min="12087" max="12087" width="19.140625" style="7" customWidth="1"/>
    <col min="12088" max="12088" width="35.140625" style="7" customWidth="1"/>
    <col min="12089" max="12089" width="9.85546875" style="7" bestFit="1" customWidth="1"/>
    <col min="12090" max="12090" width="8.85546875" style="7" bestFit="1" customWidth="1"/>
    <col min="12091" max="12101" width="10.42578125" style="7" customWidth="1"/>
    <col min="12102" max="12341" width="9.140625" style="7"/>
    <col min="12342" max="12342" width="1.5703125" style="7" customWidth="1"/>
    <col min="12343" max="12343" width="19.140625" style="7" customWidth="1"/>
    <col min="12344" max="12344" width="35.140625" style="7" customWidth="1"/>
    <col min="12345" max="12345" width="9.85546875" style="7" bestFit="1" customWidth="1"/>
    <col min="12346" max="12346" width="8.85546875" style="7" bestFit="1" customWidth="1"/>
    <col min="12347" max="12357" width="10.42578125" style="7" customWidth="1"/>
    <col min="12358" max="12597" width="9.140625" style="7"/>
    <col min="12598" max="12598" width="1.5703125" style="7" customWidth="1"/>
    <col min="12599" max="12599" width="19.140625" style="7" customWidth="1"/>
    <col min="12600" max="12600" width="35.140625" style="7" customWidth="1"/>
    <col min="12601" max="12601" width="9.85546875" style="7" bestFit="1" customWidth="1"/>
    <col min="12602" max="12602" width="8.85546875" style="7" bestFit="1" customWidth="1"/>
    <col min="12603" max="12613" width="10.42578125" style="7" customWidth="1"/>
    <col min="12614" max="12853" width="9.140625" style="7"/>
    <col min="12854" max="12854" width="1.5703125" style="7" customWidth="1"/>
    <col min="12855" max="12855" width="19.140625" style="7" customWidth="1"/>
    <col min="12856" max="12856" width="35.140625" style="7" customWidth="1"/>
    <col min="12857" max="12857" width="9.85546875" style="7" bestFit="1" customWidth="1"/>
    <col min="12858" max="12858" width="8.85546875" style="7" bestFit="1" customWidth="1"/>
    <col min="12859" max="12869" width="10.42578125" style="7" customWidth="1"/>
    <col min="12870" max="13109" width="9.140625" style="7"/>
    <col min="13110" max="13110" width="1.5703125" style="7" customWidth="1"/>
    <col min="13111" max="13111" width="19.140625" style="7" customWidth="1"/>
    <col min="13112" max="13112" width="35.140625" style="7" customWidth="1"/>
    <col min="13113" max="13113" width="9.85546875" style="7" bestFit="1" customWidth="1"/>
    <col min="13114" max="13114" width="8.85546875" style="7" bestFit="1" customWidth="1"/>
    <col min="13115" max="13125" width="10.42578125" style="7" customWidth="1"/>
    <col min="13126" max="13365" width="9.140625" style="7"/>
    <col min="13366" max="13366" width="1.5703125" style="7" customWidth="1"/>
    <col min="13367" max="13367" width="19.140625" style="7" customWidth="1"/>
    <col min="13368" max="13368" width="35.140625" style="7" customWidth="1"/>
    <col min="13369" max="13369" width="9.85546875" style="7" bestFit="1" customWidth="1"/>
    <col min="13370" max="13370" width="8.85546875" style="7" bestFit="1" customWidth="1"/>
    <col min="13371" max="13381" width="10.42578125" style="7" customWidth="1"/>
    <col min="13382" max="13621" width="9.140625" style="7"/>
    <col min="13622" max="13622" width="1.5703125" style="7" customWidth="1"/>
    <col min="13623" max="13623" width="19.140625" style="7" customWidth="1"/>
    <col min="13624" max="13624" width="35.140625" style="7" customWidth="1"/>
    <col min="13625" max="13625" width="9.85546875" style="7" bestFit="1" customWidth="1"/>
    <col min="13626" max="13626" width="8.85546875" style="7" bestFit="1" customWidth="1"/>
    <col min="13627" max="13637" width="10.42578125" style="7" customWidth="1"/>
    <col min="13638" max="13877" width="9.140625" style="7"/>
    <col min="13878" max="13878" width="1.5703125" style="7" customWidth="1"/>
    <col min="13879" max="13879" width="19.140625" style="7" customWidth="1"/>
    <col min="13880" max="13880" width="35.140625" style="7" customWidth="1"/>
    <col min="13881" max="13881" width="9.85546875" style="7" bestFit="1" customWidth="1"/>
    <col min="13882" max="13882" width="8.85546875" style="7" bestFit="1" customWidth="1"/>
    <col min="13883" max="13893" width="10.42578125" style="7" customWidth="1"/>
    <col min="13894" max="14133" width="9.140625" style="7"/>
    <col min="14134" max="14134" width="1.5703125" style="7" customWidth="1"/>
    <col min="14135" max="14135" width="19.140625" style="7" customWidth="1"/>
    <col min="14136" max="14136" width="35.140625" style="7" customWidth="1"/>
    <col min="14137" max="14137" width="9.85546875" style="7" bestFit="1" customWidth="1"/>
    <col min="14138" max="14138" width="8.85546875" style="7" bestFit="1" customWidth="1"/>
    <col min="14139" max="14149" width="10.42578125" style="7" customWidth="1"/>
    <col min="14150" max="14389" width="9.140625" style="7"/>
    <col min="14390" max="14390" width="1.5703125" style="7" customWidth="1"/>
    <col min="14391" max="14391" width="19.140625" style="7" customWidth="1"/>
    <col min="14392" max="14392" width="35.140625" style="7" customWidth="1"/>
    <col min="14393" max="14393" width="9.85546875" style="7" bestFit="1" customWidth="1"/>
    <col min="14394" max="14394" width="8.85546875" style="7" bestFit="1" customWidth="1"/>
    <col min="14395" max="14405" width="10.42578125" style="7" customWidth="1"/>
    <col min="14406" max="14645" width="9.140625" style="7"/>
    <col min="14646" max="14646" width="1.5703125" style="7" customWidth="1"/>
    <col min="14647" max="14647" width="19.140625" style="7" customWidth="1"/>
    <col min="14648" max="14648" width="35.140625" style="7" customWidth="1"/>
    <col min="14649" max="14649" width="9.85546875" style="7" bestFit="1" customWidth="1"/>
    <col min="14650" max="14650" width="8.85546875" style="7" bestFit="1" customWidth="1"/>
    <col min="14651" max="14661" width="10.42578125" style="7" customWidth="1"/>
    <col min="14662" max="14901" width="9.140625" style="7"/>
    <col min="14902" max="14902" width="1.5703125" style="7" customWidth="1"/>
    <col min="14903" max="14903" width="19.140625" style="7" customWidth="1"/>
    <col min="14904" max="14904" width="35.140625" style="7" customWidth="1"/>
    <col min="14905" max="14905" width="9.85546875" style="7" bestFit="1" customWidth="1"/>
    <col min="14906" max="14906" width="8.85546875" style="7" bestFit="1" customWidth="1"/>
    <col min="14907" max="14917" width="10.42578125" style="7" customWidth="1"/>
    <col min="14918" max="15157" width="9.140625" style="7"/>
    <col min="15158" max="15158" width="1.5703125" style="7" customWidth="1"/>
    <col min="15159" max="15159" width="19.140625" style="7" customWidth="1"/>
    <col min="15160" max="15160" width="35.140625" style="7" customWidth="1"/>
    <col min="15161" max="15161" width="9.85546875" style="7" bestFit="1" customWidth="1"/>
    <col min="15162" max="15162" width="8.85546875" style="7" bestFit="1" customWidth="1"/>
    <col min="15163" max="15173" width="10.42578125" style="7" customWidth="1"/>
    <col min="15174" max="15413" width="9.140625" style="7"/>
    <col min="15414" max="15414" width="1.5703125" style="7" customWidth="1"/>
    <col min="15415" max="15415" width="19.140625" style="7" customWidth="1"/>
    <col min="15416" max="15416" width="35.140625" style="7" customWidth="1"/>
    <col min="15417" max="15417" width="9.85546875" style="7" bestFit="1" customWidth="1"/>
    <col min="15418" max="15418" width="8.85546875" style="7" bestFit="1" customWidth="1"/>
    <col min="15419" max="15429" width="10.42578125" style="7" customWidth="1"/>
    <col min="15430" max="15669" width="9.140625" style="7"/>
    <col min="15670" max="15670" width="1.5703125" style="7" customWidth="1"/>
    <col min="15671" max="15671" width="19.140625" style="7" customWidth="1"/>
    <col min="15672" max="15672" width="35.140625" style="7" customWidth="1"/>
    <col min="15673" max="15673" width="9.85546875" style="7" bestFit="1" customWidth="1"/>
    <col min="15674" max="15674" width="8.85546875" style="7" bestFit="1" customWidth="1"/>
    <col min="15675" max="15685" width="10.42578125" style="7" customWidth="1"/>
    <col min="15686" max="15925" width="9.140625" style="7"/>
    <col min="15926" max="15926" width="1.5703125" style="7" customWidth="1"/>
    <col min="15927" max="15927" width="19.140625" style="7" customWidth="1"/>
    <col min="15928" max="15928" width="35.140625" style="7" customWidth="1"/>
    <col min="15929" max="15929" width="9.85546875" style="7" bestFit="1" customWidth="1"/>
    <col min="15930" max="15930" width="8.85546875" style="7" bestFit="1" customWidth="1"/>
    <col min="15931" max="15941" width="10.42578125" style="7" customWidth="1"/>
    <col min="15942" max="16181" width="9.140625" style="7"/>
    <col min="16182" max="16182" width="1.5703125" style="7" customWidth="1"/>
    <col min="16183" max="16183" width="19.140625" style="7" customWidth="1"/>
    <col min="16184" max="16184" width="35.140625" style="7" customWidth="1"/>
    <col min="16185" max="16185" width="9.85546875" style="7" bestFit="1" customWidth="1"/>
    <col min="16186" max="16186" width="8.85546875" style="7" bestFit="1" customWidth="1"/>
    <col min="16187" max="16197" width="10.42578125" style="7" customWidth="1"/>
    <col min="16198" max="16384" width="9.140625" style="7"/>
  </cols>
  <sheetData>
    <row r="1" spans="1:70" ht="27" thickBot="1">
      <c r="A1" s="839"/>
      <c r="B1" s="839"/>
      <c r="C1" s="839"/>
      <c r="D1" s="839"/>
      <c r="E1" s="839"/>
      <c r="F1" s="839"/>
      <c r="G1" s="840" t="s">
        <v>748</v>
      </c>
      <c r="H1" s="841"/>
      <c r="I1" s="841"/>
      <c r="J1" s="842"/>
      <c r="K1" s="842"/>
      <c r="L1" s="842"/>
      <c r="M1" s="842"/>
      <c r="N1" s="842"/>
      <c r="O1" s="842"/>
      <c r="P1" s="842"/>
      <c r="Q1" s="842"/>
      <c r="R1" s="842"/>
      <c r="S1" s="842"/>
      <c r="T1" s="842"/>
      <c r="U1" s="842"/>
      <c r="V1" s="842"/>
      <c r="W1" s="842"/>
      <c r="X1" s="842"/>
      <c r="Y1" s="842"/>
      <c r="Z1" s="842"/>
      <c r="AA1" s="842"/>
      <c r="AB1" s="842"/>
      <c r="AC1" s="842"/>
      <c r="AD1" s="842"/>
      <c r="AE1" s="842"/>
      <c r="AF1" s="842"/>
      <c r="AG1" s="842"/>
      <c r="AH1" s="842"/>
      <c r="AI1" s="842"/>
      <c r="AJ1" s="842"/>
      <c r="AK1" s="842"/>
      <c r="AL1" s="842"/>
      <c r="AM1" s="842"/>
      <c r="AN1" s="842"/>
      <c r="AO1" s="842"/>
      <c r="AP1" s="842"/>
      <c r="AQ1" s="842"/>
      <c r="AR1" s="842"/>
      <c r="AS1" s="842"/>
      <c r="AT1" s="842"/>
      <c r="AU1" s="842"/>
      <c r="AV1" s="842"/>
      <c r="AW1" s="842"/>
      <c r="AX1" s="842"/>
      <c r="AY1" s="842"/>
      <c r="AZ1" s="842"/>
      <c r="BA1" s="842"/>
      <c r="BB1" s="842"/>
      <c r="BC1" s="842"/>
      <c r="BD1" s="842"/>
      <c r="BE1" s="842"/>
      <c r="BF1" s="842"/>
      <c r="BG1" s="842"/>
      <c r="BH1" s="842"/>
      <c r="BI1" s="842"/>
      <c r="BJ1" s="842"/>
      <c r="BK1" s="842"/>
      <c r="BL1" s="842"/>
      <c r="BM1" s="842"/>
      <c r="BN1" s="842"/>
      <c r="BO1" s="842"/>
      <c r="BP1" s="842"/>
      <c r="BQ1" s="843"/>
    </row>
    <row r="2" spans="1:70" ht="36" customHeight="1">
      <c r="A2" s="242"/>
      <c r="B2" s="242"/>
      <c r="C2" s="242"/>
      <c r="D2" s="829" t="s">
        <v>102</v>
      </c>
      <c r="E2" s="830"/>
      <c r="F2" s="831"/>
      <c r="G2" s="826" t="str">
        <f>'TCO TO BE- SW'!F2</f>
        <v>Portál eNRI DOP</v>
      </c>
      <c r="H2" s="827"/>
      <c r="I2" s="828"/>
      <c r="J2" s="826" t="str">
        <f>'TCO TO BE- SW'!G2</f>
        <v xml:space="preserve">Intranet </v>
      </c>
      <c r="K2" s="827"/>
      <c r="L2" s="828"/>
      <c r="M2" s="826" t="str">
        <f>'TCO TO BE- SW'!H2</f>
        <v>API Gateway eNRI</v>
      </c>
      <c r="N2" s="827"/>
      <c r="O2" s="828"/>
      <c r="P2" s="826" t="str">
        <f>'TCO TO BE- SW'!I2</f>
        <v>Transformačný modul</v>
      </c>
      <c r="Q2" s="827"/>
      <c r="R2" s="828"/>
      <c r="S2" s="826" t="str">
        <f>'TCO TO BE- SW'!J2</f>
        <v>Modul GIS</v>
      </c>
      <c r="T2" s="827"/>
      <c r="U2" s="828"/>
      <c r="V2" s="826" t="str">
        <f>'TCO TO BE- SW'!K2</f>
        <v>Správa dopravných grafikonov</v>
      </c>
      <c r="W2" s="827"/>
      <c r="X2" s="828"/>
      <c r="Y2" s="826" t="str">
        <f>'TCO TO BE- SW'!L2</f>
        <v>Agendový modul bezpečných a chránených parkovacích miest pre nákladné a úžitkové vozidlá</v>
      </c>
      <c r="Z2" s="827"/>
      <c r="AA2" s="828"/>
      <c r="AB2" s="826" t="str">
        <f>'TCO TO BE- SW'!M2</f>
        <v>Rezervačný a plánovací modul pre vybrané agendy</v>
      </c>
      <c r="AC2" s="827"/>
      <c r="AD2" s="828"/>
      <c r="AE2" s="826" t="str">
        <f>'TCO TO BE- SW'!N2</f>
        <v>Modul optimalizácie osobnej verejnej dopravy a rezervácie kapacít</v>
      </c>
      <c r="AF2" s="827"/>
      <c r="AG2" s="828"/>
      <c r="AH2" s="826" t="str">
        <f>'TCO TO BE- SW'!O2</f>
        <v>Agendový modul licencovania hromadnej dopravy</v>
      </c>
      <c r="AI2" s="827"/>
      <c r="AJ2" s="828"/>
      <c r="AK2" s="826" t="str">
        <f>'TCO TO BE- SW'!P2</f>
        <v>Správa licencovaných dopravných prostriedkov vo verejnej osobnej doprave</v>
      </c>
      <c r="AL2" s="827"/>
      <c r="AM2" s="828"/>
      <c r="AN2" s="826" t="str">
        <f>'TCO TO BE- SW'!Q2</f>
        <v>Agendový modul dopravných povolení</v>
      </c>
      <c r="AO2" s="827"/>
      <c r="AP2" s="828"/>
      <c r="AQ2" s="826" t="str">
        <f>'TCO TO BE- SW'!R2</f>
        <v>Žurnál a log server</v>
      </c>
      <c r="AR2" s="827"/>
      <c r="AS2" s="828"/>
      <c r="AT2" s="826" t="str">
        <f>'TCO TO BE- SW'!S2</f>
        <v>Objektové úložisko dopravných informácii</v>
      </c>
      <c r="AU2" s="827"/>
      <c r="AV2" s="828"/>
      <c r="AW2" s="826" t="str">
        <f>'TCO TO BE- SW'!T2</f>
        <v>Monitoring</v>
      </c>
      <c r="AX2" s="827"/>
      <c r="AY2" s="828"/>
      <c r="AZ2" s="826" t="str">
        <f>'TCO TO BE- SW'!U2</f>
        <v>IAM</v>
      </c>
      <c r="BA2" s="827"/>
      <c r="BB2" s="828"/>
      <c r="BC2" s="826" t="str">
        <f>'TCO TO BE- SW'!V2</f>
        <v>DMS</v>
      </c>
      <c r="BD2" s="827"/>
      <c r="BE2" s="828"/>
      <c r="BF2" s="826" t="str">
        <f>'TCO TO BE- SW'!W2</f>
        <v>CMS</v>
      </c>
      <c r="BG2" s="827"/>
      <c r="BH2" s="828"/>
      <c r="BI2" s="826" t="str">
        <f>'TCO TO BE- SW'!X2</f>
        <v>Správa registratúry</v>
      </c>
      <c r="BJ2" s="827"/>
      <c r="BK2" s="828"/>
      <c r="BL2" s="826">
        <f>'TCO TO BE- SW'!Y2</f>
        <v>0</v>
      </c>
      <c r="BM2" s="827"/>
      <c r="BN2" s="828"/>
      <c r="BO2" s="826">
        <f>'TCO TO BE- SW'!Z2</f>
        <v>0</v>
      </c>
      <c r="BP2" s="827"/>
      <c r="BQ2" s="828"/>
    </row>
    <row r="3" spans="1:70" ht="36" customHeight="1" thickBot="1">
      <c r="A3" s="242" t="s">
        <v>251</v>
      </c>
      <c r="B3" s="242"/>
      <c r="C3" s="242"/>
      <c r="D3" s="362"/>
      <c r="E3" s="360"/>
      <c r="F3" s="361"/>
      <c r="G3" s="832"/>
      <c r="H3" s="833"/>
      <c r="I3" s="834"/>
      <c r="J3" s="832"/>
      <c r="K3" s="833"/>
      <c r="L3" s="834"/>
      <c r="M3" s="832"/>
      <c r="N3" s="833"/>
      <c r="O3" s="834"/>
      <c r="P3" s="832"/>
      <c r="Q3" s="833"/>
      <c r="R3" s="834"/>
      <c r="S3" s="832"/>
      <c r="T3" s="833"/>
      <c r="U3" s="834"/>
      <c r="V3" s="832"/>
      <c r="W3" s="833"/>
      <c r="X3" s="834"/>
      <c r="Y3" s="832"/>
      <c r="Z3" s="833"/>
      <c r="AA3" s="834"/>
      <c r="AB3" s="832"/>
      <c r="AC3" s="833"/>
      <c r="AD3" s="834"/>
      <c r="AE3" s="832"/>
      <c r="AF3" s="833"/>
      <c r="AG3" s="834"/>
      <c r="AH3" s="832"/>
      <c r="AI3" s="833"/>
      <c r="AJ3" s="834"/>
      <c r="AK3" s="832"/>
      <c r="AL3" s="833"/>
      <c r="AM3" s="834"/>
      <c r="AN3" s="832"/>
      <c r="AO3" s="833"/>
      <c r="AP3" s="834"/>
      <c r="AQ3" s="832"/>
      <c r="AR3" s="833"/>
      <c r="AS3" s="834"/>
      <c r="AT3" s="832"/>
      <c r="AU3" s="833"/>
      <c r="AV3" s="834"/>
      <c r="AW3" s="832"/>
      <c r="AX3" s="833"/>
      <c r="AY3" s="834"/>
      <c r="AZ3" s="832"/>
      <c r="BA3" s="833"/>
      <c r="BB3" s="834"/>
      <c r="BC3" s="832"/>
      <c r="BD3" s="833"/>
      <c r="BE3" s="834"/>
      <c r="BF3" s="832"/>
      <c r="BG3" s="833"/>
      <c r="BH3" s="834"/>
      <c r="BI3" s="832"/>
      <c r="BJ3" s="833"/>
      <c r="BK3" s="834"/>
      <c r="BL3" s="832"/>
      <c r="BM3" s="833"/>
      <c r="BN3" s="834"/>
      <c r="BO3" s="832"/>
      <c r="BP3" s="833"/>
      <c r="BQ3" s="834"/>
    </row>
    <row r="4" spans="1:70" s="58" customFormat="1" ht="15.75" customHeight="1" thickBot="1">
      <c r="A4" s="244" t="s">
        <v>40</v>
      </c>
      <c r="B4" s="244" t="s">
        <v>10</v>
      </c>
      <c r="C4" s="244" t="s">
        <v>23</v>
      </c>
      <c r="D4" s="245" t="s">
        <v>172</v>
      </c>
      <c r="E4" s="246" t="s">
        <v>125</v>
      </c>
      <c r="F4" s="247" t="s">
        <v>118</v>
      </c>
      <c r="G4" s="248" t="s">
        <v>172</v>
      </c>
      <c r="H4" s="248" t="s">
        <v>125</v>
      </c>
      <c r="I4" s="249" t="s">
        <v>118</v>
      </c>
      <c r="J4" s="248" t="s">
        <v>172</v>
      </c>
      <c r="K4" s="248" t="s">
        <v>125</v>
      </c>
      <c r="L4" s="249" t="s">
        <v>118</v>
      </c>
      <c r="M4" s="248" t="s">
        <v>172</v>
      </c>
      <c r="N4" s="248" t="s">
        <v>125</v>
      </c>
      <c r="O4" s="249" t="s">
        <v>118</v>
      </c>
      <c r="P4" s="248" t="s">
        <v>172</v>
      </c>
      <c r="Q4" s="248" t="s">
        <v>125</v>
      </c>
      <c r="R4" s="249" t="s">
        <v>118</v>
      </c>
      <c r="S4" s="248" t="s">
        <v>172</v>
      </c>
      <c r="T4" s="248" t="s">
        <v>125</v>
      </c>
      <c r="U4" s="249" t="s">
        <v>118</v>
      </c>
      <c r="V4" s="248" t="s">
        <v>172</v>
      </c>
      <c r="W4" s="248" t="s">
        <v>125</v>
      </c>
      <c r="X4" s="249" t="s">
        <v>118</v>
      </c>
      <c r="Y4" s="248" t="s">
        <v>172</v>
      </c>
      <c r="Z4" s="248" t="s">
        <v>125</v>
      </c>
      <c r="AA4" s="249" t="s">
        <v>118</v>
      </c>
      <c r="AB4" s="248" t="s">
        <v>172</v>
      </c>
      <c r="AC4" s="248" t="s">
        <v>125</v>
      </c>
      <c r="AD4" s="249" t="s">
        <v>118</v>
      </c>
      <c r="AE4" s="248" t="s">
        <v>172</v>
      </c>
      <c r="AF4" s="248" t="s">
        <v>125</v>
      </c>
      <c r="AG4" s="249" t="s">
        <v>118</v>
      </c>
      <c r="AH4" s="248" t="s">
        <v>172</v>
      </c>
      <c r="AI4" s="248" t="s">
        <v>125</v>
      </c>
      <c r="AJ4" s="249" t="s">
        <v>118</v>
      </c>
      <c r="AK4" s="248" t="s">
        <v>172</v>
      </c>
      <c r="AL4" s="248" t="s">
        <v>125</v>
      </c>
      <c r="AM4" s="249" t="s">
        <v>118</v>
      </c>
      <c r="AN4" s="248" t="s">
        <v>172</v>
      </c>
      <c r="AO4" s="248" t="s">
        <v>125</v>
      </c>
      <c r="AP4" s="249" t="s">
        <v>118</v>
      </c>
      <c r="AQ4" s="248" t="s">
        <v>172</v>
      </c>
      <c r="AR4" s="248" t="s">
        <v>125</v>
      </c>
      <c r="AS4" s="249" t="s">
        <v>118</v>
      </c>
      <c r="AT4" s="248" t="s">
        <v>172</v>
      </c>
      <c r="AU4" s="248" t="s">
        <v>125</v>
      </c>
      <c r="AV4" s="249" t="s">
        <v>118</v>
      </c>
      <c r="AW4" s="248" t="s">
        <v>172</v>
      </c>
      <c r="AX4" s="248" t="s">
        <v>125</v>
      </c>
      <c r="AY4" s="249" t="s">
        <v>118</v>
      </c>
      <c r="AZ4" s="248" t="s">
        <v>172</v>
      </c>
      <c r="BA4" s="248" t="s">
        <v>125</v>
      </c>
      <c r="BB4" s="249" t="s">
        <v>118</v>
      </c>
      <c r="BC4" s="248" t="s">
        <v>172</v>
      </c>
      <c r="BD4" s="248" t="s">
        <v>125</v>
      </c>
      <c r="BE4" s="249" t="s">
        <v>118</v>
      </c>
      <c r="BF4" s="248" t="s">
        <v>172</v>
      </c>
      <c r="BG4" s="248" t="s">
        <v>125</v>
      </c>
      <c r="BH4" s="249" t="s">
        <v>118</v>
      </c>
      <c r="BI4" s="248" t="s">
        <v>172</v>
      </c>
      <c r="BJ4" s="248" t="s">
        <v>125</v>
      </c>
      <c r="BK4" s="249" t="s">
        <v>118</v>
      </c>
      <c r="BL4" s="248" t="s">
        <v>172</v>
      </c>
      <c r="BM4" s="248" t="s">
        <v>125</v>
      </c>
      <c r="BN4" s="249" t="s">
        <v>118</v>
      </c>
      <c r="BO4" s="248" t="s">
        <v>172</v>
      </c>
      <c r="BP4" s="248" t="s">
        <v>125</v>
      </c>
      <c r="BQ4" s="249" t="s">
        <v>118</v>
      </c>
      <c r="BR4" s="250"/>
    </row>
    <row r="5" spans="1:70" ht="14.45" customHeight="1">
      <c r="A5" s="820" t="s">
        <v>236</v>
      </c>
      <c r="B5" s="823" t="s">
        <v>37</v>
      </c>
      <c r="C5" s="251" t="s">
        <v>25</v>
      </c>
      <c r="D5" s="252">
        <f>SUM(G5,J5,M5,P5,S5,V5,Y5,AB5,AE5,AH5,AK5,AN5,AQ5,AT5,AW5,AZ5,AZ5,BC5,BF5,BI5,BL5,BO5)</f>
        <v>104978</v>
      </c>
      <c r="E5" s="253">
        <f>SUM(H5,K5,N5,Q5,T5,W5,Z5,AC5,AF5,AI5,AL5,AO5,AR5,AU5,AX5,BA5,BA5,BD5,BG5,BJ5,BM5,BP5)</f>
        <v>104978</v>
      </c>
      <c r="F5" s="254">
        <f>SUM(I5,L5,O5,R5,U5,X5,AA5,AD5,AG5,AJ5,AM5,AP5,AS5,AV5,AY5,BB5,BB5,BE5,BH5,BK5,BN5,BQ5)</f>
        <v>0</v>
      </c>
      <c r="G5" s="538"/>
      <c r="H5" s="539"/>
      <c r="I5" s="257">
        <f>H5-G5</f>
        <v>0</v>
      </c>
      <c r="J5" s="538"/>
      <c r="K5" s="539"/>
      <c r="L5" s="257">
        <f>K5-J5</f>
        <v>0</v>
      </c>
      <c r="M5" s="538"/>
      <c r="N5" s="539"/>
      <c r="O5" s="257">
        <f>N5-M5</f>
        <v>0</v>
      </c>
      <c r="P5" s="255"/>
      <c r="Q5" s="256"/>
      <c r="R5" s="257">
        <f>Q5-P5</f>
        <v>0</v>
      </c>
      <c r="S5" s="255"/>
      <c r="T5" s="256"/>
      <c r="U5" s="257">
        <f>T5-S5</f>
        <v>0</v>
      </c>
      <c r="V5" s="538">
        <v>4800</v>
      </c>
      <c r="W5" s="539">
        <v>4800</v>
      </c>
      <c r="X5" s="257">
        <f>W5-V5</f>
        <v>0</v>
      </c>
      <c r="Y5" s="255"/>
      <c r="Z5" s="256"/>
      <c r="AA5" s="257">
        <f>Z5-Y5</f>
        <v>0</v>
      </c>
      <c r="AB5" s="255"/>
      <c r="AC5" s="256"/>
      <c r="AD5" s="257">
        <f>AC5-AB5</f>
        <v>0</v>
      </c>
      <c r="AE5" s="255">
        <v>78</v>
      </c>
      <c r="AF5" s="256">
        <v>78</v>
      </c>
      <c r="AG5" s="257">
        <f>AF5-AE5</f>
        <v>0</v>
      </c>
      <c r="AH5" s="255">
        <v>100</v>
      </c>
      <c r="AI5" s="256">
        <v>100</v>
      </c>
      <c r="AJ5" s="257">
        <f>AI5-AH5</f>
        <v>0</v>
      </c>
      <c r="AK5" s="255"/>
      <c r="AL5" s="256"/>
      <c r="AM5" s="257">
        <f>AL5-AK5</f>
        <v>0</v>
      </c>
      <c r="AN5" s="255">
        <v>100000</v>
      </c>
      <c r="AO5" s="256">
        <v>100000</v>
      </c>
      <c r="AP5" s="257">
        <f>AO5-AN5</f>
        <v>0</v>
      </c>
      <c r="AQ5" s="255"/>
      <c r="AR5" s="256"/>
      <c r="AS5" s="257">
        <f>AR5-AQ5</f>
        <v>0</v>
      </c>
      <c r="AT5" s="255"/>
      <c r="AU5" s="256"/>
      <c r="AV5" s="257">
        <f>AU5-AT5</f>
        <v>0</v>
      </c>
      <c r="AW5" s="255"/>
      <c r="AX5" s="256"/>
      <c r="AY5" s="257">
        <f>AX5-AW5</f>
        <v>0</v>
      </c>
      <c r="AZ5" s="255"/>
      <c r="BA5" s="256"/>
      <c r="BB5" s="257">
        <f>BA5-AZ5</f>
        <v>0</v>
      </c>
      <c r="BC5" s="255"/>
      <c r="BD5" s="256"/>
      <c r="BE5" s="257">
        <f>BD5-BC5</f>
        <v>0</v>
      </c>
      <c r="BF5" s="255"/>
      <c r="BG5" s="256"/>
      <c r="BH5" s="257">
        <f>BG5-BF5</f>
        <v>0</v>
      </c>
      <c r="BI5" s="255"/>
      <c r="BJ5" s="256"/>
      <c r="BK5" s="257">
        <f>BJ5-BI5</f>
        <v>0</v>
      </c>
      <c r="BL5" s="255"/>
      <c r="BM5" s="256"/>
      <c r="BN5" s="257">
        <f>BM5-BL5</f>
        <v>0</v>
      </c>
      <c r="BO5" s="255"/>
      <c r="BP5" s="256"/>
      <c r="BQ5" s="257">
        <f>BP5-BO5</f>
        <v>0</v>
      </c>
      <c r="BR5" s="258">
        <v>0</v>
      </c>
    </row>
    <row r="6" spans="1:70">
      <c r="A6" s="821"/>
      <c r="B6" s="824"/>
      <c r="C6" s="24" t="s">
        <v>26</v>
      </c>
      <c r="D6" s="259">
        <f t="shared" ref="D6:D14" si="0">SUM(G6,J6,M6,P6,S6,V6,Y6,AB6,AE6,AH6,AK6,AN6,AQ6,AT6,AW6,AZ6,AZ6,BC6,BF6,BI6,BL6,BO6)</f>
        <v>104980</v>
      </c>
      <c r="E6" s="260">
        <f t="shared" ref="E6:E14" si="1">SUM(H6,K6,N6,Q6,T6,W6,Z6,AC6,AF6,AI6,AL6,AO6,AR6,AU6,AX6,BA6,BA6,BD6,BG6,BJ6,BM6,BP6)</f>
        <v>104980</v>
      </c>
      <c r="F6" s="261">
        <f t="shared" ref="F6:F14" si="2">SUM(I6,L6,O6,R6,U6,X6,AA6,AD6,AG6,AJ6,AM6,AP6,AS6,AV6,AY6,BB6,BB6,BE6,BH6,BK6,BN6,BQ6)</f>
        <v>0</v>
      </c>
      <c r="G6" s="540"/>
      <c r="H6" s="541"/>
      <c r="I6" s="262">
        <f t="shared" ref="I6:I24" si="3">H6-G6</f>
        <v>0</v>
      </c>
      <c r="J6" s="540"/>
      <c r="K6" s="541"/>
      <c r="L6" s="262">
        <f t="shared" ref="L6:L24" si="4">K6-J6</f>
        <v>0</v>
      </c>
      <c r="M6" s="540"/>
      <c r="N6" s="541"/>
      <c r="O6" s="262">
        <f t="shared" ref="O6:O24" si="5">N6-M6</f>
        <v>0</v>
      </c>
      <c r="P6" s="540"/>
      <c r="Q6" s="541"/>
      <c r="R6" s="262">
        <f t="shared" ref="R6:R24" si="6">Q6-P6</f>
        <v>0</v>
      </c>
      <c r="S6" s="540"/>
      <c r="T6" s="541"/>
      <c r="U6" s="262">
        <f t="shared" ref="U6:U24" si="7">T6-S6</f>
        <v>0</v>
      </c>
      <c r="V6" s="540">
        <v>4800</v>
      </c>
      <c r="W6" s="541">
        <v>4800</v>
      </c>
      <c r="X6" s="262">
        <f t="shared" ref="X6:X24" si="8">W6-V6</f>
        <v>0</v>
      </c>
      <c r="Y6" s="540"/>
      <c r="Z6" s="541"/>
      <c r="AA6" s="262">
        <f t="shared" ref="AA6:AA24" si="9">Z6-Y6</f>
        <v>0</v>
      </c>
      <c r="AB6" s="540"/>
      <c r="AC6" s="540"/>
      <c r="AD6" s="262">
        <f t="shared" ref="AD6:AD24" si="10">AC6-AB6</f>
        <v>0</v>
      </c>
      <c r="AE6" s="540">
        <v>80</v>
      </c>
      <c r="AF6" s="540">
        <v>80</v>
      </c>
      <c r="AG6" s="262">
        <f t="shared" ref="AG6:AG24" si="11">AF6-AE6</f>
        <v>0</v>
      </c>
      <c r="AH6" s="540">
        <v>100</v>
      </c>
      <c r="AI6" s="541">
        <v>100</v>
      </c>
      <c r="AJ6" s="262">
        <f t="shared" ref="AJ6:AJ24" si="12">AI6-AH6</f>
        <v>0</v>
      </c>
      <c r="AK6" s="540"/>
      <c r="AL6" s="540"/>
      <c r="AM6" s="262">
        <f t="shared" ref="AM6:AM24" si="13">AL6-AK6</f>
        <v>0</v>
      </c>
      <c r="AN6" s="540">
        <v>100000</v>
      </c>
      <c r="AO6" s="540">
        <v>100000</v>
      </c>
      <c r="AP6" s="262">
        <f t="shared" ref="AP6:AP24" si="14">AO6-AN6</f>
        <v>0</v>
      </c>
      <c r="AQ6" s="540"/>
      <c r="AR6" s="541"/>
      <c r="AS6" s="262">
        <f t="shared" ref="AS6:AS24" si="15">AR6-AQ6</f>
        <v>0</v>
      </c>
      <c r="AT6" s="540"/>
      <c r="AU6" s="540"/>
      <c r="AV6" s="262">
        <f t="shared" ref="AV6:AV24" si="16">AU6-AT6</f>
        <v>0</v>
      </c>
      <c r="AW6" s="540"/>
      <c r="AX6" s="541"/>
      <c r="AY6" s="262">
        <f t="shared" ref="AY6:AY24" si="17">AX6-AW6</f>
        <v>0</v>
      </c>
      <c r="AZ6" s="540"/>
      <c r="BA6" s="541"/>
      <c r="BB6" s="262">
        <f t="shared" ref="BB6:BB24" si="18">BA6-AZ6</f>
        <v>0</v>
      </c>
      <c r="BC6" s="540"/>
      <c r="BD6" s="541"/>
      <c r="BE6" s="262">
        <f t="shared" ref="BE6:BE24" si="19">BD6-BC6</f>
        <v>0</v>
      </c>
      <c r="BF6" s="540"/>
      <c r="BG6" s="541"/>
      <c r="BH6" s="262">
        <f t="shared" ref="BH6:BH24" si="20">BG6-BF6</f>
        <v>0</v>
      </c>
      <c r="BI6" s="540"/>
      <c r="BJ6" s="541"/>
      <c r="BK6" s="262">
        <f t="shared" ref="BK6:BK24" si="21">BJ6-BI6</f>
        <v>0</v>
      </c>
      <c r="BL6" s="540"/>
      <c r="BM6" s="541"/>
      <c r="BN6" s="262">
        <f t="shared" ref="BN6:BN24" si="22">BM6-BL6</f>
        <v>0</v>
      </c>
      <c r="BO6" s="540"/>
      <c r="BP6" s="541"/>
      <c r="BQ6" s="262">
        <f t="shared" ref="BQ6:BQ24" si="23">BP6-BO6</f>
        <v>0</v>
      </c>
      <c r="BR6" s="258"/>
    </row>
    <row r="7" spans="1:70">
      <c r="A7" s="821"/>
      <c r="B7" s="824"/>
      <c r="C7" s="24" t="s">
        <v>27</v>
      </c>
      <c r="D7" s="259">
        <f t="shared" si="0"/>
        <v>104980</v>
      </c>
      <c r="E7" s="260">
        <f t="shared" si="1"/>
        <v>107077.8</v>
      </c>
      <c r="F7" s="261">
        <f t="shared" si="2"/>
        <v>2097.8000000000002</v>
      </c>
      <c r="G7" s="540"/>
      <c r="H7" s="541"/>
      <c r="I7" s="262">
        <f t="shared" si="3"/>
        <v>0</v>
      </c>
      <c r="J7" s="540"/>
      <c r="K7" s="541"/>
      <c r="L7" s="262">
        <f t="shared" si="4"/>
        <v>0</v>
      </c>
      <c r="M7" s="540"/>
      <c r="N7" s="541"/>
      <c r="O7" s="262">
        <f t="shared" si="5"/>
        <v>0</v>
      </c>
      <c r="P7" s="540"/>
      <c r="Q7" s="541"/>
      <c r="R7" s="262">
        <f t="shared" si="6"/>
        <v>0</v>
      </c>
      <c r="S7" s="540"/>
      <c r="T7" s="541"/>
      <c r="U7" s="262">
        <f t="shared" si="7"/>
        <v>0</v>
      </c>
      <c r="V7" s="540">
        <v>4800</v>
      </c>
      <c r="W7" s="541">
        <f>W6*1.02</f>
        <v>4896</v>
      </c>
      <c r="X7" s="262">
        <f t="shared" si="8"/>
        <v>96</v>
      </c>
      <c r="Y7" s="540"/>
      <c r="Z7" s="541"/>
      <c r="AA7" s="262">
        <f t="shared" si="9"/>
        <v>0</v>
      </c>
      <c r="AB7" s="540"/>
      <c r="AC7" s="540"/>
      <c r="AD7" s="262">
        <f t="shared" si="10"/>
        <v>0</v>
      </c>
      <c r="AE7" s="540">
        <v>80</v>
      </c>
      <c r="AF7" s="540">
        <f>AF6*1.01</f>
        <v>80.8</v>
      </c>
      <c r="AG7" s="262">
        <f t="shared" si="11"/>
        <v>0.79999999999999716</v>
      </c>
      <c r="AH7" s="540">
        <v>100</v>
      </c>
      <c r="AI7" s="541">
        <f>AI6*1.01</f>
        <v>101</v>
      </c>
      <c r="AJ7" s="262">
        <f t="shared" si="12"/>
        <v>1</v>
      </c>
      <c r="AK7" s="540"/>
      <c r="AL7" s="540"/>
      <c r="AM7" s="262">
        <f t="shared" si="13"/>
        <v>0</v>
      </c>
      <c r="AN7" s="540">
        <v>100000</v>
      </c>
      <c r="AO7" s="540">
        <f>AO6*1.02</f>
        <v>102000</v>
      </c>
      <c r="AP7" s="262">
        <f t="shared" si="14"/>
        <v>2000</v>
      </c>
      <c r="AQ7" s="540"/>
      <c r="AR7" s="541"/>
      <c r="AS7" s="262">
        <f t="shared" si="15"/>
        <v>0</v>
      </c>
      <c r="AT7" s="540"/>
      <c r="AU7" s="540"/>
      <c r="AV7" s="262">
        <f t="shared" si="16"/>
        <v>0</v>
      </c>
      <c r="AW7" s="540"/>
      <c r="AX7" s="541"/>
      <c r="AY7" s="262">
        <f t="shared" si="17"/>
        <v>0</v>
      </c>
      <c r="AZ7" s="540"/>
      <c r="BA7" s="541"/>
      <c r="BB7" s="262">
        <f t="shared" si="18"/>
        <v>0</v>
      </c>
      <c r="BC7" s="540"/>
      <c r="BD7" s="541"/>
      <c r="BE7" s="262">
        <f t="shared" si="19"/>
        <v>0</v>
      </c>
      <c r="BF7" s="540"/>
      <c r="BG7" s="541"/>
      <c r="BH7" s="262">
        <f t="shared" si="20"/>
        <v>0</v>
      </c>
      <c r="BI7" s="540"/>
      <c r="BJ7" s="541"/>
      <c r="BK7" s="262">
        <f t="shared" si="21"/>
        <v>0</v>
      </c>
      <c r="BL7" s="540"/>
      <c r="BM7" s="541"/>
      <c r="BN7" s="262">
        <f t="shared" si="22"/>
        <v>0</v>
      </c>
      <c r="BO7" s="540"/>
      <c r="BP7" s="541"/>
      <c r="BQ7" s="262">
        <f t="shared" si="23"/>
        <v>0</v>
      </c>
      <c r="BR7" s="258"/>
    </row>
    <row r="8" spans="1:70">
      <c r="A8" s="821"/>
      <c r="B8" s="824"/>
      <c r="C8" s="24" t="s">
        <v>28</v>
      </c>
      <c r="D8" s="259">
        <f t="shared" si="0"/>
        <v>104980</v>
      </c>
      <c r="E8" s="260">
        <f t="shared" si="1"/>
        <v>109217.538</v>
      </c>
      <c r="F8" s="261">
        <f t="shared" si="2"/>
        <v>4237.5380000000005</v>
      </c>
      <c r="G8" s="540"/>
      <c r="H8" s="541"/>
      <c r="I8" s="262">
        <f t="shared" si="3"/>
        <v>0</v>
      </c>
      <c r="J8" s="540"/>
      <c r="K8" s="541"/>
      <c r="L8" s="262">
        <f t="shared" si="4"/>
        <v>0</v>
      </c>
      <c r="M8" s="540"/>
      <c r="N8" s="541"/>
      <c r="O8" s="262">
        <f t="shared" si="5"/>
        <v>0</v>
      </c>
      <c r="P8" s="540"/>
      <c r="Q8" s="541"/>
      <c r="R8" s="262">
        <f t="shared" si="6"/>
        <v>0</v>
      </c>
      <c r="S8" s="540"/>
      <c r="T8" s="541"/>
      <c r="U8" s="262">
        <f t="shared" si="7"/>
        <v>0</v>
      </c>
      <c r="V8" s="540">
        <v>4800</v>
      </c>
      <c r="W8" s="541">
        <f t="shared" ref="W8:W14" si="24">W7*1.02</f>
        <v>4993.92</v>
      </c>
      <c r="X8" s="262">
        <f t="shared" si="8"/>
        <v>193.92000000000007</v>
      </c>
      <c r="Y8" s="540"/>
      <c r="Z8" s="541"/>
      <c r="AA8" s="262">
        <f t="shared" si="9"/>
        <v>0</v>
      </c>
      <c r="AB8" s="540"/>
      <c r="AC8" s="540"/>
      <c r="AD8" s="262">
        <f t="shared" si="10"/>
        <v>0</v>
      </c>
      <c r="AE8" s="540">
        <v>80</v>
      </c>
      <c r="AF8" s="540">
        <f t="shared" ref="AF8:AF14" si="25">AF7*1.01</f>
        <v>81.608000000000004</v>
      </c>
      <c r="AG8" s="262">
        <f t="shared" si="11"/>
        <v>1.6080000000000041</v>
      </c>
      <c r="AH8" s="540">
        <v>100</v>
      </c>
      <c r="AI8" s="541">
        <f t="shared" ref="AI8:AI14" si="26">AI7*1.01</f>
        <v>102.01</v>
      </c>
      <c r="AJ8" s="262">
        <f t="shared" si="12"/>
        <v>2.0100000000000051</v>
      </c>
      <c r="AK8" s="540"/>
      <c r="AL8" s="540"/>
      <c r="AM8" s="262">
        <f t="shared" si="13"/>
        <v>0</v>
      </c>
      <c r="AN8" s="540">
        <v>100000</v>
      </c>
      <c r="AO8" s="540">
        <f t="shared" ref="AO8:AO14" si="27">AO7*1.02</f>
        <v>104040</v>
      </c>
      <c r="AP8" s="262">
        <f t="shared" si="14"/>
        <v>4040</v>
      </c>
      <c r="AQ8" s="540"/>
      <c r="AR8" s="541"/>
      <c r="AS8" s="262">
        <f t="shared" si="15"/>
        <v>0</v>
      </c>
      <c r="AT8" s="540"/>
      <c r="AU8" s="540"/>
      <c r="AV8" s="262">
        <f t="shared" si="16"/>
        <v>0</v>
      </c>
      <c r="AW8" s="540"/>
      <c r="AX8" s="541"/>
      <c r="AY8" s="262">
        <f t="shared" si="17"/>
        <v>0</v>
      </c>
      <c r="AZ8" s="540"/>
      <c r="BA8" s="541"/>
      <c r="BB8" s="262">
        <f t="shared" si="18"/>
        <v>0</v>
      </c>
      <c r="BC8" s="540"/>
      <c r="BD8" s="541"/>
      <c r="BE8" s="262">
        <f t="shared" si="19"/>
        <v>0</v>
      </c>
      <c r="BF8" s="540"/>
      <c r="BG8" s="541"/>
      <c r="BH8" s="262">
        <f t="shared" si="20"/>
        <v>0</v>
      </c>
      <c r="BI8" s="540"/>
      <c r="BJ8" s="541"/>
      <c r="BK8" s="262">
        <f t="shared" si="21"/>
        <v>0</v>
      </c>
      <c r="BL8" s="540"/>
      <c r="BM8" s="541"/>
      <c r="BN8" s="262">
        <f t="shared" si="22"/>
        <v>0</v>
      </c>
      <c r="BO8" s="540"/>
      <c r="BP8" s="541"/>
      <c r="BQ8" s="262">
        <f t="shared" si="23"/>
        <v>0</v>
      </c>
      <c r="BR8" s="258"/>
    </row>
    <row r="9" spans="1:70">
      <c r="A9" s="821"/>
      <c r="B9" s="824"/>
      <c r="C9" s="24" t="s">
        <v>29</v>
      </c>
      <c r="D9" s="259">
        <f t="shared" si="0"/>
        <v>104980</v>
      </c>
      <c r="E9" s="260">
        <f t="shared" si="1"/>
        <v>111400.05258</v>
      </c>
      <c r="F9" s="261">
        <f t="shared" si="2"/>
        <v>6420.0525800000032</v>
      </c>
      <c r="G9" s="540"/>
      <c r="H9" s="541"/>
      <c r="I9" s="262">
        <f t="shared" si="3"/>
        <v>0</v>
      </c>
      <c r="J9" s="540"/>
      <c r="K9" s="541"/>
      <c r="L9" s="262">
        <f t="shared" si="4"/>
        <v>0</v>
      </c>
      <c r="M9" s="540"/>
      <c r="N9" s="541"/>
      <c r="O9" s="262">
        <f t="shared" si="5"/>
        <v>0</v>
      </c>
      <c r="P9" s="540"/>
      <c r="Q9" s="541"/>
      <c r="R9" s="262">
        <f t="shared" si="6"/>
        <v>0</v>
      </c>
      <c r="S9" s="540"/>
      <c r="T9" s="541"/>
      <c r="U9" s="262">
        <f t="shared" si="7"/>
        <v>0</v>
      </c>
      <c r="V9" s="540">
        <v>4800</v>
      </c>
      <c r="W9" s="541">
        <f t="shared" si="24"/>
        <v>5093.7984000000006</v>
      </c>
      <c r="X9" s="262">
        <f t="shared" si="8"/>
        <v>293.79840000000058</v>
      </c>
      <c r="Y9" s="540"/>
      <c r="Z9" s="541"/>
      <c r="AA9" s="262">
        <f t="shared" si="9"/>
        <v>0</v>
      </c>
      <c r="AB9" s="540"/>
      <c r="AC9" s="540"/>
      <c r="AD9" s="262">
        <f t="shared" si="10"/>
        <v>0</v>
      </c>
      <c r="AE9" s="540">
        <v>80</v>
      </c>
      <c r="AF9" s="540">
        <f t="shared" si="25"/>
        <v>82.424080000000004</v>
      </c>
      <c r="AG9" s="262">
        <f t="shared" si="11"/>
        <v>2.4240800000000036</v>
      </c>
      <c r="AH9" s="540">
        <v>100</v>
      </c>
      <c r="AI9" s="541">
        <f t="shared" si="26"/>
        <v>103.0301</v>
      </c>
      <c r="AJ9" s="262">
        <f t="shared" si="12"/>
        <v>3.0301000000000045</v>
      </c>
      <c r="AK9" s="540"/>
      <c r="AL9" s="540"/>
      <c r="AM9" s="262">
        <f t="shared" si="13"/>
        <v>0</v>
      </c>
      <c r="AN9" s="540">
        <v>100000</v>
      </c>
      <c r="AO9" s="540">
        <f t="shared" si="27"/>
        <v>106120.8</v>
      </c>
      <c r="AP9" s="262">
        <f t="shared" si="14"/>
        <v>6120.8000000000029</v>
      </c>
      <c r="AQ9" s="540"/>
      <c r="AR9" s="541"/>
      <c r="AS9" s="262">
        <f t="shared" si="15"/>
        <v>0</v>
      </c>
      <c r="AT9" s="540"/>
      <c r="AU9" s="540"/>
      <c r="AV9" s="262">
        <f t="shared" si="16"/>
        <v>0</v>
      </c>
      <c r="AW9" s="540"/>
      <c r="AX9" s="541"/>
      <c r="AY9" s="262">
        <f t="shared" si="17"/>
        <v>0</v>
      </c>
      <c r="AZ9" s="540"/>
      <c r="BA9" s="541"/>
      <c r="BB9" s="262">
        <f t="shared" si="18"/>
        <v>0</v>
      </c>
      <c r="BC9" s="540"/>
      <c r="BD9" s="541"/>
      <c r="BE9" s="262">
        <f t="shared" si="19"/>
        <v>0</v>
      </c>
      <c r="BF9" s="540"/>
      <c r="BG9" s="541"/>
      <c r="BH9" s="262">
        <f t="shared" si="20"/>
        <v>0</v>
      </c>
      <c r="BI9" s="540"/>
      <c r="BJ9" s="541"/>
      <c r="BK9" s="262">
        <f t="shared" si="21"/>
        <v>0</v>
      </c>
      <c r="BL9" s="540"/>
      <c r="BM9" s="541"/>
      <c r="BN9" s="262">
        <f t="shared" si="22"/>
        <v>0</v>
      </c>
      <c r="BO9" s="540"/>
      <c r="BP9" s="541"/>
      <c r="BQ9" s="262">
        <f t="shared" si="23"/>
        <v>0</v>
      </c>
      <c r="BR9" s="258"/>
    </row>
    <row r="10" spans="1:70">
      <c r="A10" s="821"/>
      <c r="B10" s="824"/>
      <c r="C10" s="24" t="s">
        <v>30</v>
      </c>
      <c r="D10" s="259">
        <f t="shared" si="0"/>
        <v>104980</v>
      </c>
      <c r="E10" s="260">
        <f t="shared" si="1"/>
        <v>113626.19908980001</v>
      </c>
      <c r="F10" s="261">
        <f t="shared" si="2"/>
        <v>8646.1990898000004</v>
      </c>
      <c r="G10" s="540"/>
      <c r="H10" s="541"/>
      <c r="I10" s="262">
        <f t="shared" si="3"/>
        <v>0</v>
      </c>
      <c r="J10" s="540"/>
      <c r="K10" s="541"/>
      <c r="L10" s="262">
        <f t="shared" si="4"/>
        <v>0</v>
      </c>
      <c r="M10" s="540"/>
      <c r="N10" s="541"/>
      <c r="O10" s="262">
        <f t="shared" si="5"/>
        <v>0</v>
      </c>
      <c r="P10" s="540"/>
      <c r="Q10" s="541"/>
      <c r="R10" s="262">
        <f t="shared" si="6"/>
        <v>0</v>
      </c>
      <c r="S10" s="540"/>
      <c r="T10" s="541"/>
      <c r="U10" s="262">
        <f t="shared" si="7"/>
        <v>0</v>
      </c>
      <c r="V10" s="540">
        <v>4800</v>
      </c>
      <c r="W10" s="541">
        <f t="shared" si="24"/>
        <v>5195.6743680000009</v>
      </c>
      <c r="X10" s="262">
        <f t="shared" si="8"/>
        <v>395.67436800000087</v>
      </c>
      <c r="Y10" s="540"/>
      <c r="Z10" s="541"/>
      <c r="AA10" s="262">
        <f t="shared" si="9"/>
        <v>0</v>
      </c>
      <c r="AB10" s="540"/>
      <c r="AC10" s="540"/>
      <c r="AD10" s="262">
        <f t="shared" si="10"/>
        <v>0</v>
      </c>
      <c r="AE10" s="540">
        <v>80</v>
      </c>
      <c r="AF10" s="540">
        <f t="shared" si="25"/>
        <v>83.248320800000002</v>
      </c>
      <c r="AG10" s="262">
        <f t="shared" si="11"/>
        <v>3.2483208000000019</v>
      </c>
      <c r="AH10" s="540">
        <v>100</v>
      </c>
      <c r="AI10" s="541">
        <f t="shared" si="26"/>
        <v>104.060401</v>
      </c>
      <c r="AJ10" s="262">
        <f t="shared" si="12"/>
        <v>4.0604009999999988</v>
      </c>
      <c r="AK10" s="540"/>
      <c r="AL10" s="540"/>
      <c r="AM10" s="262">
        <f t="shared" si="13"/>
        <v>0</v>
      </c>
      <c r="AN10" s="540">
        <v>100000</v>
      </c>
      <c r="AO10" s="540">
        <f t="shared" si="27"/>
        <v>108243.216</v>
      </c>
      <c r="AP10" s="262">
        <f t="shared" si="14"/>
        <v>8243.2160000000003</v>
      </c>
      <c r="AQ10" s="540"/>
      <c r="AR10" s="541"/>
      <c r="AS10" s="262">
        <f t="shared" si="15"/>
        <v>0</v>
      </c>
      <c r="AT10" s="540"/>
      <c r="AU10" s="540"/>
      <c r="AV10" s="262">
        <f t="shared" si="16"/>
        <v>0</v>
      </c>
      <c r="AW10" s="540"/>
      <c r="AX10" s="541"/>
      <c r="AY10" s="262">
        <f t="shared" si="17"/>
        <v>0</v>
      </c>
      <c r="AZ10" s="540"/>
      <c r="BA10" s="541"/>
      <c r="BB10" s="262">
        <f t="shared" si="18"/>
        <v>0</v>
      </c>
      <c r="BC10" s="540"/>
      <c r="BD10" s="541"/>
      <c r="BE10" s="262">
        <f t="shared" si="19"/>
        <v>0</v>
      </c>
      <c r="BF10" s="540"/>
      <c r="BG10" s="541"/>
      <c r="BH10" s="262">
        <f t="shared" si="20"/>
        <v>0</v>
      </c>
      <c r="BI10" s="540"/>
      <c r="BJ10" s="541"/>
      <c r="BK10" s="262">
        <f t="shared" si="21"/>
        <v>0</v>
      </c>
      <c r="BL10" s="540"/>
      <c r="BM10" s="541"/>
      <c r="BN10" s="262">
        <f t="shared" si="22"/>
        <v>0</v>
      </c>
      <c r="BO10" s="540"/>
      <c r="BP10" s="541"/>
      <c r="BQ10" s="262">
        <f t="shared" si="23"/>
        <v>0</v>
      </c>
      <c r="BR10" s="258"/>
    </row>
    <row r="11" spans="1:70">
      <c r="A11" s="821"/>
      <c r="B11" s="824"/>
      <c r="C11" s="24" t="s">
        <v>31</v>
      </c>
      <c r="D11" s="259">
        <f t="shared" si="0"/>
        <v>104980</v>
      </c>
      <c r="E11" s="260">
        <f t="shared" si="1"/>
        <v>115896.84998437802</v>
      </c>
      <c r="F11" s="261">
        <f t="shared" si="2"/>
        <v>10916.84998437801</v>
      </c>
      <c r="G11" s="540"/>
      <c r="H11" s="541"/>
      <c r="I11" s="262">
        <f t="shared" si="3"/>
        <v>0</v>
      </c>
      <c r="J11" s="540"/>
      <c r="K11" s="541"/>
      <c r="L11" s="262">
        <f t="shared" si="4"/>
        <v>0</v>
      </c>
      <c r="M11" s="540"/>
      <c r="N11" s="541"/>
      <c r="O11" s="262">
        <f t="shared" si="5"/>
        <v>0</v>
      </c>
      <c r="P11" s="540"/>
      <c r="Q11" s="541"/>
      <c r="R11" s="262">
        <f t="shared" si="6"/>
        <v>0</v>
      </c>
      <c r="S11" s="540"/>
      <c r="T11" s="541"/>
      <c r="U11" s="262">
        <f t="shared" si="7"/>
        <v>0</v>
      </c>
      <c r="V11" s="540">
        <v>4800</v>
      </c>
      <c r="W11" s="541">
        <f t="shared" si="24"/>
        <v>5299.5878553600014</v>
      </c>
      <c r="X11" s="262">
        <f t="shared" si="8"/>
        <v>499.58785536000141</v>
      </c>
      <c r="Y11" s="540"/>
      <c r="Z11" s="541"/>
      <c r="AA11" s="262">
        <f t="shared" si="9"/>
        <v>0</v>
      </c>
      <c r="AB11" s="540"/>
      <c r="AC11" s="540"/>
      <c r="AD11" s="262">
        <f t="shared" si="10"/>
        <v>0</v>
      </c>
      <c r="AE11" s="540">
        <v>80</v>
      </c>
      <c r="AF11" s="540">
        <f t="shared" si="25"/>
        <v>84.080804008000001</v>
      </c>
      <c r="AG11" s="262">
        <f t="shared" si="11"/>
        <v>4.0808040080000012</v>
      </c>
      <c r="AH11" s="540">
        <v>100</v>
      </c>
      <c r="AI11" s="541">
        <f t="shared" si="26"/>
        <v>105.10100500999999</v>
      </c>
      <c r="AJ11" s="262">
        <f t="shared" si="12"/>
        <v>5.1010050099999944</v>
      </c>
      <c r="AK11" s="540"/>
      <c r="AL11" s="540"/>
      <c r="AM11" s="262">
        <f t="shared" si="13"/>
        <v>0</v>
      </c>
      <c r="AN11" s="540">
        <v>100000</v>
      </c>
      <c r="AO11" s="540">
        <f t="shared" si="27"/>
        <v>110408.08032000001</v>
      </c>
      <c r="AP11" s="262">
        <f t="shared" si="14"/>
        <v>10408.080320000008</v>
      </c>
      <c r="AQ11" s="540"/>
      <c r="AR11" s="541"/>
      <c r="AS11" s="262">
        <f t="shared" si="15"/>
        <v>0</v>
      </c>
      <c r="AT11" s="540"/>
      <c r="AU11" s="540"/>
      <c r="AV11" s="262">
        <f t="shared" si="16"/>
        <v>0</v>
      </c>
      <c r="AW11" s="540"/>
      <c r="AX11" s="541"/>
      <c r="AY11" s="262">
        <f t="shared" si="17"/>
        <v>0</v>
      </c>
      <c r="AZ11" s="540"/>
      <c r="BA11" s="541"/>
      <c r="BB11" s="262">
        <f t="shared" si="18"/>
        <v>0</v>
      </c>
      <c r="BC11" s="540"/>
      <c r="BD11" s="541"/>
      <c r="BE11" s="262">
        <f t="shared" si="19"/>
        <v>0</v>
      </c>
      <c r="BF11" s="540"/>
      <c r="BG11" s="541"/>
      <c r="BH11" s="262">
        <f t="shared" si="20"/>
        <v>0</v>
      </c>
      <c r="BI11" s="540"/>
      <c r="BJ11" s="541"/>
      <c r="BK11" s="262">
        <f t="shared" si="21"/>
        <v>0</v>
      </c>
      <c r="BL11" s="540"/>
      <c r="BM11" s="541"/>
      <c r="BN11" s="262">
        <f t="shared" si="22"/>
        <v>0</v>
      </c>
      <c r="BO11" s="540"/>
      <c r="BP11" s="541"/>
      <c r="BQ11" s="262">
        <f t="shared" si="23"/>
        <v>0</v>
      </c>
      <c r="BR11" s="258"/>
    </row>
    <row r="12" spans="1:70">
      <c r="A12" s="821"/>
      <c r="B12" s="824"/>
      <c r="C12" s="24" t="s">
        <v>32</v>
      </c>
      <c r="D12" s="259">
        <f t="shared" si="0"/>
        <v>104980</v>
      </c>
      <c r="E12" s="260">
        <f t="shared" si="1"/>
        <v>118212.89516597538</v>
      </c>
      <c r="F12" s="261">
        <f t="shared" si="2"/>
        <v>13232.895165975387</v>
      </c>
      <c r="G12" s="540"/>
      <c r="H12" s="541"/>
      <c r="I12" s="262">
        <f t="shared" si="3"/>
        <v>0</v>
      </c>
      <c r="J12" s="540"/>
      <c r="K12" s="541"/>
      <c r="L12" s="262">
        <f t="shared" si="4"/>
        <v>0</v>
      </c>
      <c r="M12" s="540"/>
      <c r="N12" s="541"/>
      <c r="O12" s="262">
        <f t="shared" si="5"/>
        <v>0</v>
      </c>
      <c r="P12" s="540"/>
      <c r="Q12" s="541"/>
      <c r="R12" s="262">
        <f t="shared" si="6"/>
        <v>0</v>
      </c>
      <c r="S12" s="540"/>
      <c r="T12" s="541"/>
      <c r="U12" s="262">
        <f t="shared" si="7"/>
        <v>0</v>
      </c>
      <c r="V12" s="540">
        <v>4800</v>
      </c>
      <c r="W12" s="541">
        <f t="shared" si="24"/>
        <v>5405.5796124672015</v>
      </c>
      <c r="X12" s="262">
        <f t="shared" si="8"/>
        <v>605.57961246720151</v>
      </c>
      <c r="Y12" s="540"/>
      <c r="Z12" s="541"/>
      <c r="AA12" s="262">
        <f t="shared" si="9"/>
        <v>0</v>
      </c>
      <c r="AB12" s="540"/>
      <c r="AC12" s="540"/>
      <c r="AD12" s="262">
        <f t="shared" si="10"/>
        <v>0</v>
      </c>
      <c r="AE12" s="540">
        <v>80</v>
      </c>
      <c r="AF12" s="540">
        <f t="shared" si="25"/>
        <v>84.921612048080007</v>
      </c>
      <c r="AG12" s="262">
        <f t="shared" si="11"/>
        <v>4.9216120480800072</v>
      </c>
      <c r="AH12" s="540">
        <v>100</v>
      </c>
      <c r="AI12" s="541">
        <f t="shared" si="26"/>
        <v>106.1520150601</v>
      </c>
      <c r="AJ12" s="262">
        <f t="shared" si="12"/>
        <v>6.1520150600999983</v>
      </c>
      <c r="AK12" s="540"/>
      <c r="AL12" s="540"/>
      <c r="AM12" s="262">
        <f t="shared" si="13"/>
        <v>0</v>
      </c>
      <c r="AN12" s="540">
        <v>100000</v>
      </c>
      <c r="AO12" s="540">
        <f t="shared" si="27"/>
        <v>112616.24192640001</v>
      </c>
      <c r="AP12" s="262">
        <f t="shared" si="14"/>
        <v>12616.241926400005</v>
      </c>
      <c r="AQ12" s="540"/>
      <c r="AR12" s="541"/>
      <c r="AS12" s="262">
        <f t="shared" si="15"/>
        <v>0</v>
      </c>
      <c r="AT12" s="540"/>
      <c r="AU12" s="540"/>
      <c r="AV12" s="262">
        <f t="shared" si="16"/>
        <v>0</v>
      </c>
      <c r="AW12" s="540"/>
      <c r="AX12" s="541"/>
      <c r="AY12" s="262">
        <f t="shared" si="17"/>
        <v>0</v>
      </c>
      <c r="AZ12" s="540"/>
      <c r="BA12" s="541"/>
      <c r="BB12" s="262">
        <f t="shared" si="18"/>
        <v>0</v>
      </c>
      <c r="BC12" s="540"/>
      <c r="BD12" s="541"/>
      <c r="BE12" s="262">
        <f t="shared" si="19"/>
        <v>0</v>
      </c>
      <c r="BF12" s="540"/>
      <c r="BG12" s="541"/>
      <c r="BH12" s="262">
        <f t="shared" si="20"/>
        <v>0</v>
      </c>
      <c r="BI12" s="540"/>
      <c r="BJ12" s="541"/>
      <c r="BK12" s="262">
        <f t="shared" si="21"/>
        <v>0</v>
      </c>
      <c r="BL12" s="540"/>
      <c r="BM12" s="541"/>
      <c r="BN12" s="262">
        <f t="shared" si="22"/>
        <v>0</v>
      </c>
      <c r="BO12" s="540"/>
      <c r="BP12" s="541"/>
      <c r="BQ12" s="262">
        <f t="shared" si="23"/>
        <v>0</v>
      </c>
      <c r="BR12" s="258"/>
    </row>
    <row r="13" spans="1:70">
      <c r="A13" s="821"/>
      <c r="B13" s="824"/>
      <c r="C13" s="24" t="s">
        <v>33</v>
      </c>
      <c r="D13" s="259">
        <f t="shared" si="0"/>
        <v>104980</v>
      </c>
      <c r="E13" s="260">
        <f t="shared" si="1"/>
        <v>120575.24233302381</v>
      </c>
      <c r="F13" s="261">
        <f t="shared" si="2"/>
        <v>15595.242333023816</v>
      </c>
      <c r="G13" s="540"/>
      <c r="H13" s="541"/>
      <c r="I13" s="262">
        <f t="shared" si="3"/>
        <v>0</v>
      </c>
      <c r="J13" s="540"/>
      <c r="K13" s="541"/>
      <c r="L13" s="262">
        <f t="shared" si="4"/>
        <v>0</v>
      </c>
      <c r="M13" s="540"/>
      <c r="N13" s="541"/>
      <c r="O13" s="262">
        <f t="shared" si="5"/>
        <v>0</v>
      </c>
      <c r="P13" s="540"/>
      <c r="Q13" s="541"/>
      <c r="R13" s="262">
        <f t="shared" si="6"/>
        <v>0</v>
      </c>
      <c r="S13" s="540"/>
      <c r="T13" s="541"/>
      <c r="U13" s="262">
        <f t="shared" si="7"/>
        <v>0</v>
      </c>
      <c r="V13" s="540">
        <v>4800</v>
      </c>
      <c r="W13" s="541">
        <f t="shared" si="24"/>
        <v>5513.6912047165461</v>
      </c>
      <c r="X13" s="262">
        <f t="shared" si="8"/>
        <v>713.69120471654605</v>
      </c>
      <c r="Y13" s="540"/>
      <c r="Z13" s="541"/>
      <c r="AA13" s="262">
        <f t="shared" si="9"/>
        <v>0</v>
      </c>
      <c r="AB13" s="540"/>
      <c r="AC13" s="540"/>
      <c r="AD13" s="262">
        <f t="shared" si="10"/>
        <v>0</v>
      </c>
      <c r="AE13" s="540">
        <v>80</v>
      </c>
      <c r="AF13" s="540">
        <f t="shared" si="25"/>
        <v>85.770828168560811</v>
      </c>
      <c r="AG13" s="262">
        <f t="shared" si="11"/>
        <v>5.7708281685608114</v>
      </c>
      <c r="AH13" s="540">
        <v>100</v>
      </c>
      <c r="AI13" s="541">
        <f t="shared" si="26"/>
        <v>107.213535210701</v>
      </c>
      <c r="AJ13" s="262">
        <f t="shared" si="12"/>
        <v>7.2135352107009965</v>
      </c>
      <c r="AK13" s="540"/>
      <c r="AL13" s="540"/>
      <c r="AM13" s="262">
        <f t="shared" si="13"/>
        <v>0</v>
      </c>
      <c r="AN13" s="540">
        <v>100000</v>
      </c>
      <c r="AO13" s="540">
        <f t="shared" si="27"/>
        <v>114868.56676492801</v>
      </c>
      <c r="AP13" s="262">
        <f t="shared" si="14"/>
        <v>14868.566764928008</v>
      </c>
      <c r="AQ13" s="540"/>
      <c r="AR13" s="541"/>
      <c r="AS13" s="262">
        <f t="shared" si="15"/>
        <v>0</v>
      </c>
      <c r="AT13" s="540"/>
      <c r="AU13" s="540"/>
      <c r="AV13" s="262">
        <f t="shared" si="16"/>
        <v>0</v>
      </c>
      <c r="AW13" s="540"/>
      <c r="AX13" s="541"/>
      <c r="AY13" s="262">
        <f t="shared" si="17"/>
        <v>0</v>
      </c>
      <c r="AZ13" s="540"/>
      <c r="BA13" s="541"/>
      <c r="BB13" s="262">
        <f t="shared" si="18"/>
        <v>0</v>
      </c>
      <c r="BC13" s="540"/>
      <c r="BD13" s="541"/>
      <c r="BE13" s="262">
        <f t="shared" si="19"/>
        <v>0</v>
      </c>
      <c r="BF13" s="540"/>
      <c r="BG13" s="541"/>
      <c r="BH13" s="262">
        <f t="shared" si="20"/>
        <v>0</v>
      </c>
      <c r="BI13" s="540"/>
      <c r="BJ13" s="541"/>
      <c r="BK13" s="262">
        <f t="shared" si="21"/>
        <v>0</v>
      </c>
      <c r="BL13" s="540"/>
      <c r="BM13" s="541"/>
      <c r="BN13" s="262">
        <f t="shared" si="22"/>
        <v>0</v>
      </c>
      <c r="BO13" s="540"/>
      <c r="BP13" s="541"/>
      <c r="BQ13" s="262">
        <f t="shared" si="23"/>
        <v>0</v>
      </c>
      <c r="BR13" s="258"/>
    </row>
    <row r="14" spans="1:70" ht="15.75" thickBot="1">
      <c r="A14" s="822"/>
      <c r="B14" s="825"/>
      <c r="C14" s="263" t="s">
        <v>34</v>
      </c>
      <c r="D14" s="264">
        <f t="shared" si="0"/>
        <v>104980</v>
      </c>
      <c r="E14" s="265">
        <f t="shared" si="1"/>
        <v>122984.8173360505</v>
      </c>
      <c r="F14" s="266">
        <f t="shared" si="2"/>
        <v>18004.817336050502</v>
      </c>
      <c r="G14" s="542"/>
      <c r="H14" s="543"/>
      <c r="I14" s="267">
        <f t="shared" si="3"/>
        <v>0</v>
      </c>
      <c r="J14" s="542"/>
      <c r="K14" s="543"/>
      <c r="L14" s="267">
        <f t="shared" si="4"/>
        <v>0</v>
      </c>
      <c r="M14" s="542"/>
      <c r="N14" s="543"/>
      <c r="O14" s="267">
        <f t="shared" si="5"/>
        <v>0</v>
      </c>
      <c r="P14" s="542"/>
      <c r="Q14" s="543"/>
      <c r="R14" s="267">
        <f t="shared" si="6"/>
        <v>0</v>
      </c>
      <c r="S14" s="542"/>
      <c r="T14" s="543"/>
      <c r="U14" s="267">
        <f t="shared" si="7"/>
        <v>0</v>
      </c>
      <c r="V14" s="542">
        <v>4800</v>
      </c>
      <c r="W14" s="541">
        <f t="shared" si="24"/>
        <v>5623.9650288108769</v>
      </c>
      <c r="X14" s="267">
        <f t="shared" si="8"/>
        <v>823.9650288108769</v>
      </c>
      <c r="Y14" s="542"/>
      <c r="Z14" s="543"/>
      <c r="AA14" s="267">
        <f t="shared" si="9"/>
        <v>0</v>
      </c>
      <c r="AB14" s="540"/>
      <c r="AC14" s="540"/>
      <c r="AD14" s="267">
        <f t="shared" si="10"/>
        <v>0</v>
      </c>
      <c r="AE14" s="542">
        <v>80</v>
      </c>
      <c r="AF14" s="540">
        <f t="shared" si="25"/>
        <v>86.628536450246415</v>
      </c>
      <c r="AG14" s="267">
        <f t="shared" si="11"/>
        <v>6.6285364502464148</v>
      </c>
      <c r="AH14" s="542">
        <v>100</v>
      </c>
      <c r="AI14" s="541">
        <f t="shared" si="26"/>
        <v>108.28567056280801</v>
      </c>
      <c r="AJ14" s="267">
        <f t="shared" si="12"/>
        <v>8.2856705628080078</v>
      </c>
      <c r="AK14" s="542"/>
      <c r="AL14" s="543"/>
      <c r="AM14" s="267">
        <f t="shared" si="13"/>
        <v>0</v>
      </c>
      <c r="AN14" s="542">
        <v>100000</v>
      </c>
      <c r="AO14" s="540">
        <f t="shared" si="27"/>
        <v>117165.93810022657</v>
      </c>
      <c r="AP14" s="267">
        <f t="shared" si="14"/>
        <v>17165.938100226573</v>
      </c>
      <c r="AQ14" s="542"/>
      <c r="AR14" s="543"/>
      <c r="AS14" s="267">
        <f t="shared" si="15"/>
        <v>0</v>
      </c>
      <c r="AT14" s="542"/>
      <c r="AU14" s="543"/>
      <c r="AV14" s="267">
        <f t="shared" si="16"/>
        <v>0</v>
      </c>
      <c r="AW14" s="542"/>
      <c r="AX14" s="543"/>
      <c r="AY14" s="267">
        <f t="shared" si="17"/>
        <v>0</v>
      </c>
      <c r="AZ14" s="542"/>
      <c r="BA14" s="543"/>
      <c r="BB14" s="267">
        <f t="shared" si="18"/>
        <v>0</v>
      </c>
      <c r="BC14" s="542"/>
      <c r="BD14" s="543"/>
      <c r="BE14" s="267">
        <f t="shared" si="19"/>
        <v>0</v>
      </c>
      <c r="BF14" s="542"/>
      <c r="BG14" s="543"/>
      <c r="BH14" s="267">
        <f t="shared" si="20"/>
        <v>0</v>
      </c>
      <c r="BI14" s="542"/>
      <c r="BJ14" s="543"/>
      <c r="BK14" s="267">
        <f t="shared" si="21"/>
        <v>0</v>
      </c>
      <c r="BL14" s="542"/>
      <c r="BM14" s="543"/>
      <c r="BN14" s="267">
        <f t="shared" si="22"/>
        <v>0</v>
      </c>
      <c r="BO14" s="542"/>
      <c r="BP14" s="543"/>
      <c r="BQ14" s="267">
        <f t="shared" si="23"/>
        <v>0</v>
      </c>
      <c r="BR14" s="258"/>
    </row>
    <row r="15" spans="1:70">
      <c r="A15" s="820" t="s">
        <v>148</v>
      </c>
      <c r="B15" s="823" t="s">
        <v>13</v>
      </c>
      <c r="C15" s="251" t="s">
        <v>25</v>
      </c>
      <c r="D15" s="268"/>
      <c r="E15" s="269"/>
      <c r="F15" s="270"/>
      <c r="G15" s="544"/>
      <c r="H15" s="545"/>
      <c r="I15" s="271">
        <f t="shared" si="3"/>
        <v>0</v>
      </c>
      <c r="J15" s="544"/>
      <c r="K15" s="545"/>
      <c r="L15" s="271">
        <f t="shared" si="4"/>
        <v>0</v>
      </c>
      <c r="M15" s="544"/>
      <c r="N15" s="545"/>
      <c r="O15" s="271">
        <f t="shared" si="5"/>
        <v>0</v>
      </c>
      <c r="P15" s="544"/>
      <c r="Q15" s="545"/>
      <c r="R15" s="271">
        <f t="shared" si="6"/>
        <v>0</v>
      </c>
      <c r="S15" s="544"/>
      <c r="T15" s="545"/>
      <c r="U15" s="271">
        <f t="shared" si="7"/>
        <v>0</v>
      </c>
      <c r="V15" s="544"/>
      <c r="W15" s="545"/>
      <c r="X15" s="271">
        <f t="shared" si="8"/>
        <v>0</v>
      </c>
      <c r="Y15" s="544"/>
      <c r="Z15" s="545"/>
      <c r="AA15" s="271">
        <f t="shared" si="9"/>
        <v>0</v>
      </c>
      <c r="AB15" s="544"/>
      <c r="AC15" s="545"/>
      <c r="AD15" s="271">
        <f t="shared" si="10"/>
        <v>0</v>
      </c>
      <c r="AE15" s="544"/>
      <c r="AF15" s="545"/>
      <c r="AG15" s="271">
        <f t="shared" si="11"/>
        <v>0</v>
      </c>
      <c r="AH15" s="544"/>
      <c r="AI15" s="545"/>
      <c r="AJ15" s="271">
        <f t="shared" si="12"/>
        <v>0</v>
      </c>
      <c r="AK15" s="544"/>
      <c r="AL15" s="545"/>
      <c r="AM15" s="271">
        <f t="shared" si="13"/>
        <v>0</v>
      </c>
      <c r="AN15" s="544"/>
      <c r="AO15" s="545"/>
      <c r="AP15" s="271">
        <f t="shared" si="14"/>
        <v>0</v>
      </c>
      <c r="AQ15" s="544"/>
      <c r="AR15" s="545"/>
      <c r="AS15" s="271">
        <f t="shared" si="15"/>
        <v>0</v>
      </c>
      <c r="AT15" s="544"/>
      <c r="AU15" s="545"/>
      <c r="AV15" s="271">
        <f t="shared" si="16"/>
        <v>0</v>
      </c>
      <c r="AW15" s="544"/>
      <c r="AX15" s="545"/>
      <c r="AY15" s="271">
        <f t="shared" si="17"/>
        <v>0</v>
      </c>
      <c r="AZ15" s="544"/>
      <c r="BA15" s="545"/>
      <c r="BB15" s="271">
        <f t="shared" si="18"/>
        <v>0</v>
      </c>
      <c r="BC15" s="544"/>
      <c r="BD15" s="545"/>
      <c r="BE15" s="271">
        <f t="shared" si="19"/>
        <v>0</v>
      </c>
      <c r="BF15" s="544"/>
      <c r="BG15" s="545"/>
      <c r="BH15" s="271">
        <f t="shared" si="20"/>
        <v>0</v>
      </c>
      <c r="BI15" s="544"/>
      <c r="BJ15" s="545"/>
      <c r="BK15" s="271">
        <f t="shared" si="21"/>
        <v>0</v>
      </c>
      <c r="BL15" s="544"/>
      <c r="BM15" s="545"/>
      <c r="BN15" s="271">
        <f t="shared" si="22"/>
        <v>0</v>
      </c>
      <c r="BO15" s="544"/>
      <c r="BP15" s="545"/>
      <c r="BQ15" s="271">
        <f t="shared" si="23"/>
        <v>0</v>
      </c>
      <c r="BR15" s="258"/>
    </row>
    <row r="16" spans="1:70">
      <c r="A16" s="821"/>
      <c r="B16" s="824"/>
      <c r="C16" s="24" t="s">
        <v>26</v>
      </c>
      <c r="D16" s="272"/>
      <c r="E16" s="273"/>
      <c r="F16" s="274"/>
      <c r="G16" s="546"/>
      <c r="H16" s="547"/>
      <c r="I16" s="275">
        <f t="shared" si="3"/>
        <v>0</v>
      </c>
      <c r="J16" s="546"/>
      <c r="K16" s="547"/>
      <c r="L16" s="275">
        <f t="shared" si="4"/>
        <v>0</v>
      </c>
      <c r="M16" s="546"/>
      <c r="N16" s="547"/>
      <c r="O16" s="275">
        <f t="shared" si="5"/>
        <v>0</v>
      </c>
      <c r="P16" s="546"/>
      <c r="Q16" s="547"/>
      <c r="R16" s="275">
        <f t="shared" si="6"/>
        <v>0</v>
      </c>
      <c r="S16" s="546"/>
      <c r="T16" s="547"/>
      <c r="U16" s="275">
        <f t="shared" si="7"/>
        <v>0</v>
      </c>
      <c r="V16" s="546"/>
      <c r="W16" s="547"/>
      <c r="X16" s="275">
        <f t="shared" si="8"/>
        <v>0</v>
      </c>
      <c r="Y16" s="546"/>
      <c r="Z16" s="547"/>
      <c r="AA16" s="275">
        <f t="shared" si="9"/>
        <v>0</v>
      </c>
      <c r="AB16" s="546"/>
      <c r="AC16" s="547"/>
      <c r="AD16" s="275">
        <f t="shared" si="10"/>
        <v>0</v>
      </c>
      <c r="AE16" s="546"/>
      <c r="AF16" s="547"/>
      <c r="AG16" s="275">
        <f t="shared" si="11"/>
        <v>0</v>
      </c>
      <c r="AH16" s="546"/>
      <c r="AI16" s="547"/>
      <c r="AJ16" s="275">
        <f t="shared" si="12"/>
        <v>0</v>
      </c>
      <c r="AK16" s="546"/>
      <c r="AL16" s="547"/>
      <c r="AM16" s="275">
        <f t="shared" si="13"/>
        <v>0</v>
      </c>
      <c r="AN16" s="546"/>
      <c r="AO16" s="547"/>
      <c r="AP16" s="275">
        <f t="shared" si="14"/>
        <v>0</v>
      </c>
      <c r="AQ16" s="546"/>
      <c r="AR16" s="547"/>
      <c r="AS16" s="275">
        <f t="shared" si="15"/>
        <v>0</v>
      </c>
      <c r="AT16" s="546"/>
      <c r="AU16" s="547"/>
      <c r="AV16" s="275">
        <f t="shared" si="16"/>
        <v>0</v>
      </c>
      <c r="AW16" s="546"/>
      <c r="AX16" s="547"/>
      <c r="AY16" s="275">
        <f t="shared" si="17"/>
        <v>0</v>
      </c>
      <c r="AZ16" s="546"/>
      <c r="BA16" s="547"/>
      <c r="BB16" s="275">
        <f t="shared" si="18"/>
        <v>0</v>
      </c>
      <c r="BC16" s="546"/>
      <c r="BD16" s="547"/>
      <c r="BE16" s="275">
        <f t="shared" si="19"/>
        <v>0</v>
      </c>
      <c r="BF16" s="546"/>
      <c r="BG16" s="547"/>
      <c r="BH16" s="275">
        <f t="shared" si="20"/>
        <v>0</v>
      </c>
      <c r="BI16" s="546"/>
      <c r="BJ16" s="547"/>
      <c r="BK16" s="275">
        <f t="shared" si="21"/>
        <v>0</v>
      </c>
      <c r="BL16" s="546"/>
      <c r="BM16" s="547"/>
      <c r="BN16" s="275">
        <f t="shared" si="22"/>
        <v>0</v>
      </c>
      <c r="BO16" s="546"/>
      <c r="BP16" s="547"/>
      <c r="BQ16" s="275">
        <f t="shared" si="23"/>
        <v>0</v>
      </c>
      <c r="BR16" s="258"/>
    </row>
    <row r="17" spans="1:70">
      <c r="A17" s="821"/>
      <c r="B17" s="824"/>
      <c r="C17" s="24" t="s">
        <v>27</v>
      </c>
      <c r="D17" s="272"/>
      <c r="E17" s="273"/>
      <c r="F17" s="274"/>
      <c r="G17" s="546"/>
      <c r="H17" s="547"/>
      <c r="I17" s="275">
        <f t="shared" si="3"/>
        <v>0</v>
      </c>
      <c r="J17" s="546"/>
      <c r="K17" s="547"/>
      <c r="L17" s="275">
        <f t="shared" si="4"/>
        <v>0</v>
      </c>
      <c r="M17" s="546"/>
      <c r="N17" s="547"/>
      <c r="O17" s="275">
        <f t="shared" si="5"/>
        <v>0</v>
      </c>
      <c r="P17" s="546"/>
      <c r="Q17" s="547"/>
      <c r="R17" s="275">
        <f t="shared" si="6"/>
        <v>0</v>
      </c>
      <c r="S17" s="546"/>
      <c r="T17" s="547"/>
      <c r="U17" s="275">
        <f t="shared" si="7"/>
        <v>0</v>
      </c>
      <c r="V17" s="546"/>
      <c r="W17" s="547"/>
      <c r="X17" s="275">
        <f t="shared" si="8"/>
        <v>0</v>
      </c>
      <c r="Y17" s="546"/>
      <c r="Z17" s="547"/>
      <c r="AA17" s="275">
        <f t="shared" si="9"/>
        <v>0</v>
      </c>
      <c r="AB17" s="546"/>
      <c r="AC17" s="547"/>
      <c r="AD17" s="275">
        <f t="shared" si="10"/>
        <v>0</v>
      </c>
      <c r="AE17" s="546"/>
      <c r="AF17" s="547"/>
      <c r="AG17" s="275">
        <f t="shared" si="11"/>
        <v>0</v>
      </c>
      <c r="AH17" s="546"/>
      <c r="AI17" s="547"/>
      <c r="AJ17" s="275">
        <f t="shared" si="12"/>
        <v>0</v>
      </c>
      <c r="AK17" s="546"/>
      <c r="AL17" s="547"/>
      <c r="AM17" s="275">
        <f t="shared" si="13"/>
        <v>0</v>
      </c>
      <c r="AN17" s="546"/>
      <c r="AO17" s="547"/>
      <c r="AP17" s="275">
        <f t="shared" si="14"/>
        <v>0</v>
      </c>
      <c r="AQ17" s="546"/>
      <c r="AR17" s="547"/>
      <c r="AS17" s="275">
        <f t="shared" si="15"/>
        <v>0</v>
      </c>
      <c r="AT17" s="546"/>
      <c r="AU17" s="547"/>
      <c r="AV17" s="275">
        <f t="shared" si="16"/>
        <v>0</v>
      </c>
      <c r="AW17" s="546"/>
      <c r="AX17" s="547"/>
      <c r="AY17" s="275">
        <f t="shared" si="17"/>
        <v>0</v>
      </c>
      <c r="AZ17" s="546"/>
      <c r="BA17" s="547"/>
      <c r="BB17" s="275">
        <f t="shared" si="18"/>
        <v>0</v>
      </c>
      <c r="BC17" s="546"/>
      <c r="BD17" s="547"/>
      <c r="BE17" s="275">
        <f t="shared" si="19"/>
        <v>0</v>
      </c>
      <c r="BF17" s="546"/>
      <c r="BG17" s="547"/>
      <c r="BH17" s="275">
        <f t="shared" si="20"/>
        <v>0</v>
      </c>
      <c r="BI17" s="546"/>
      <c r="BJ17" s="547"/>
      <c r="BK17" s="275">
        <f t="shared" si="21"/>
        <v>0</v>
      </c>
      <c r="BL17" s="546"/>
      <c r="BM17" s="547"/>
      <c r="BN17" s="275">
        <f t="shared" si="22"/>
        <v>0</v>
      </c>
      <c r="BO17" s="546"/>
      <c r="BP17" s="547"/>
      <c r="BQ17" s="275">
        <f t="shared" si="23"/>
        <v>0</v>
      </c>
      <c r="BR17" s="258"/>
    </row>
    <row r="18" spans="1:70">
      <c r="A18" s="821"/>
      <c r="B18" s="824"/>
      <c r="C18" s="24" t="s">
        <v>28</v>
      </c>
      <c r="D18" s="272"/>
      <c r="E18" s="273"/>
      <c r="F18" s="274"/>
      <c r="G18" s="546"/>
      <c r="H18" s="547"/>
      <c r="I18" s="275">
        <f t="shared" si="3"/>
        <v>0</v>
      </c>
      <c r="J18" s="546"/>
      <c r="K18" s="547"/>
      <c r="L18" s="275">
        <f t="shared" si="4"/>
        <v>0</v>
      </c>
      <c r="M18" s="546"/>
      <c r="N18" s="547"/>
      <c r="O18" s="275">
        <f t="shared" si="5"/>
        <v>0</v>
      </c>
      <c r="P18" s="546"/>
      <c r="Q18" s="547"/>
      <c r="R18" s="275">
        <f t="shared" si="6"/>
        <v>0</v>
      </c>
      <c r="S18" s="546"/>
      <c r="T18" s="547"/>
      <c r="U18" s="275">
        <f t="shared" si="7"/>
        <v>0</v>
      </c>
      <c r="V18" s="546"/>
      <c r="W18" s="547"/>
      <c r="X18" s="275">
        <f t="shared" si="8"/>
        <v>0</v>
      </c>
      <c r="Y18" s="546"/>
      <c r="Z18" s="547"/>
      <c r="AA18" s="275">
        <f t="shared" si="9"/>
        <v>0</v>
      </c>
      <c r="AB18" s="546"/>
      <c r="AC18" s="547"/>
      <c r="AD18" s="275">
        <f t="shared" si="10"/>
        <v>0</v>
      </c>
      <c r="AE18" s="546"/>
      <c r="AF18" s="547"/>
      <c r="AG18" s="275">
        <f t="shared" si="11"/>
        <v>0</v>
      </c>
      <c r="AH18" s="546"/>
      <c r="AI18" s="547"/>
      <c r="AJ18" s="275">
        <f t="shared" si="12"/>
        <v>0</v>
      </c>
      <c r="AK18" s="546"/>
      <c r="AL18" s="547"/>
      <c r="AM18" s="275">
        <f t="shared" si="13"/>
        <v>0</v>
      </c>
      <c r="AN18" s="546"/>
      <c r="AO18" s="547"/>
      <c r="AP18" s="275">
        <f t="shared" si="14"/>
        <v>0</v>
      </c>
      <c r="AQ18" s="546"/>
      <c r="AR18" s="547"/>
      <c r="AS18" s="275">
        <f t="shared" si="15"/>
        <v>0</v>
      </c>
      <c r="AT18" s="546"/>
      <c r="AU18" s="547"/>
      <c r="AV18" s="275">
        <f t="shared" si="16"/>
        <v>0</v>
      </c>
      <c r="AW18" s="546"/>
      <c r="AX18" s="547"/>
      <c r="AY18" s="275">
        <f t="shared" si="17"/>
        <v>0</v>
      </c>
      <c r="AZ18" s="546"/>
      <c r="BA18" s="547"/>
      <c r="BB18" s="275">
        <f t="shared" si="18"/>
        <v>0</v>
      </c>
      <c r="BC18" s="546"/>
      <c r="BD18" s="547"/>
      <c r="BE18" s="275">
        <f t="shared" si="19"/>
        <v>0</v>
      </c>
      <c r="BF18" s="546"/>
      <c r="BG18" s="547"/>
      <c r="BH18" s="275">
        <f t="shared" si="20"/>
        <v>0</v>
      </c>
      <c r="BI18" s="546"/>
      <c r="BJ18" s="547"/>
      <c r="BK18" s="275">
        <f t="shared" si="21"/>
        <v>0</v>
      </c>
      <c r="BL18" s="546"/>
      <c r="BM18" s="547"/>
      <c r="BN18" s="275">
        <f t="shared" si="22"/>
        <v>0</v>
      </c>
      <c r="BO18" s="546"/>
      <c r="BP18" s="547"/>
      <c r="BQ18" s="275">
        <f t="shared" si="23"/>
        <v>0</v>
      </c>
      <c r="BR18" s="258"/>
    </row>
    <row r="19" spans="1:70">
      <c r="A19" s="821"/>
      <c r="B19" s="824"/>
      <c r="C19" s="24" t="s">
        <v>29</v>
      </c>
      <c r="D19" s="272"/>
      <c r="E19" s="273"/>
      <c r="F19" s="274"/>
      <c r="G19" s="546"/>
      <c r="H19" s="547"/>
      <c r="I19" s="275">
        <f t="shared" si="3"/>
        <v>0</v>
      </c>
      <c r="J19" s="546"/>
      <c r="K19" s="547"/>
      <c r="L19" s="275">
        <f t="shared" si="4"/>
        <v>0</v>
      </c>
      <c r="M19" s="546"/>
      <c r="N19" s="547"/>
      <c r="O19" s="275">
        <f t="shared" si="5"/>
        <v>0</v>
      </c>
      <c r="P19" s="546"/>
      <c r="Q19" s="547"/>
      <c r="R19" s="275">
        <f t="shared" si="6"/>
        <v>0</v>
      </c>
      <c r="S19" s="546"/>
      <c r="T19" s="547"/>
      <c r="U19" s="275">
        <f t="shared" si="7"/>
        <v>0</v>
      </c>
      <c r="V19" s="546"/>
      <c r="W19" s="547"/>
      <c r="X19" s="275">
        <f t="shared" si="8"/>
        <v>0</v>
      </c>
      <c r="Y19" s="546"/>
      <c r="Z19" s="547"/>
      <c r="AA19" s="275">
        <f t="shared" si="9"/>
        <v>0</v>
      </c>
      <c r="AB19" s="546"/>
      <c r="AC19" s="547"/>
      <c r="AD19" s="275">
        <f t="shared" si="10"/>
        <v>0</v>
      </c>
      <c r="AE19" s="546"/>
      <c r="AF19" s="547"/>
      <c r="AG19" s="275">
        <f t="shared" si="11"/>
        <v>0</v>
      </c>
      <c r="AH19" s="546"/>
      <c r="AI19" s="547"/>
      <c r="AJ19" s="275">
        <f t="shared" si="12"/>
        <v>0</v>
      </c>
      <c r="AK19" s="546"/>
      <c r="AL19" s="547"/>
      <c r="AM19" s="275">
        <f t="shared" si="13"/>
        <v>0</v>
      </c>
      <c r="AN19" s="546"/>
      <c r="AO19" s="547"/>
      <c r="AP19" s="275">
        <f t="shared" si="14"/>
        <v>0</v>
      </c>
      <c r="AQ19" s="546"/>
      <c r="AR19" s="547"/>
      <c r="AS19" s="275">
        <f t="shared" si="15"/>
        <v>0</v>
      </c>
      <c r="AT19" s="546"/>
      <c r="AU19" s="547"/>
      <c r="AV19" s="275">
        <f t="shared" si="16"/>
        <v>0</v>
      </c>
      <c r="AW19" s="546"/>
      <c r="AX19" s="547"/>
      <c r="AY19" s="275">
        <f t="shared" si="17"/>
        <v>0</v>
      </c>
      <c r="AZ19" s="546"/>
      <c r="BA19" s="547"/>
      <c r="BB19" s="275">
        <f t="shared" si="18"/>
        <v>0</v>
      </c>
      <c r="BC19" s="546"/>
      <c r="BD19" s="547"/>
      <c r="BE19" s="275">
        <f t="shared" si="19"/>
        <v>0</v>
      </c>
      <c r="BF19" s="546"/>
      <c r="BG19" s="547"/>
      <c r="BH19" s="275">
        <f t="shared" si="20"/>
        <v>0</v>
      </c>
      <c r="BI19" s="546"/>
      <c r="BJ19" s="547"/>
      <c r="BK19" s="275">
        <f t="shared" si="21"/>
        <v>0</v>
      </c>
      <c r="BL19" s="546"/>
      <c r="BM19" s="547"/>
      <c r="BN19" s="275">
        <f t="shared" si="22"/>
        <v>0</v>
      </c>
      <c r="BO19" s="546"/>
      <c r="BP19" s="547"/>
      <c r="BQ19" s="275">
        <f t="shared" si="23"/>
        <v>0</v>
      </c>
      <c r="BR19" s="258"/>
    </row>
    <row r="20" spans="1:70">
      <c r="A20" s="821"/>
      <c r="B20" s="824"/>
      <c r="C20" s="24" t="s">
        <v>30</v>
      </c>
      <c r="D20" s="272"/>
      <c r="E20" s="273"/>
      <c r="F20" s="274"/>
      <c r="G20" s="546"/>
      <c r="H20" s="547"/>
      <c r="I20" s="275">
        <f t="shared" si="3"/>
        <v>0</v>
      </c>
      <c r="J20" s="546"/>
      <c r="K20" s="547"/>
      <c r="L20" s="275">
        <f t="shared" si="4"/>
        <v>0</v>
      </c>
      <c r="M20" s="546"/>
      <c r="N20" s="547"/>
      <c r="O20" s="275">
        <f t="shared" si="5"/>
        <v>0</v>
      </c>
      <c r="P20" s="546"/>
      <c r="Q20" s="547"/>
      <c r="R20" s="275">
        <f t="shared" si="6"/>
        <v>0</v>
      </c>
      <c r="S20" s="546"/>
      <c r="T20" s="547"/>
      <c r="U20" s="275">
        <f t="shared" si="7"/>
        <v>0</v>
      </c>
      <c r="V20" s="546"/>
      <c r="W20" s="547"/>
      <c r="X20" s="275">
        <f t="shared" si="8"/>
        <v>0</v>
      </c>
      <c r="Y20" s="546"/>
      <c r="Z20" s="547"/>
      <c r="AA20" s="275">
        <f t="shared" si="9"/>
        <v>0</v>
      </c>
      <c r="AB20" s="546"/>
      <c r="AC20" s="547"/>
      <c r="AD20" s="275">
        <f t="shared" si="10"/>
        <v>0</v>
      </c>
      <c r="AE20" s="546"/>
      <c r="AF20" s="547"/>
      <c r="AG20" s="275">
        <f t="shared" si="11"/>
        <v>0</v>
      </c>
      <c r="AH20" s="546"/>
      <c r="AI20" s="547"/>
      <c r="AJ20" s="275">
        <f t="shared" si="12"/>
        <v>0</v>
      </c>
      <c r="AK20" s="546"/>
      <c r="AL20" s="547"/>
      <c r="AM20" s="275">
        <f t="shared" si="13"/>
        <v>0</v>
      </c>
      <c r="AN20" s="546"/>
      <c r="AO20" s="547"/>
      <c r="AP20" s="275">
        <f t="shared" si="14"/>
        <v>0</v>
      </c>
      <c r="AQ20" s="546"/>
      <c r="AR20" s="547"/>
      <c r="AS20" s="275">
        <f t="shared" si="15"/>
        <v>0</v>
      </c>
      <c r="AT20" s="546"/>
      <c r="AU20" s="547"/>
      <c r="AV20" s="275">
        <f t="shared" si="16"/>
        <v>0</v>
      </c>
      <c r="AW20" s="546"/>
      <c r="AX20" s="547"/>
      <c r="AY20" s="275">
        <f t="shared" si="17"/>
        <v>0</v>
      </c>
      <c r="AZ20" s="546"/>
      <c r="BA20" s="547"/>
      <c r="BB20" s="275">
        <f t="shared" si="18"/>
        <v>0</v>
      </c>
      <c r="BC20" s="546"/>
      <c r="BD20" s="547"/>
      <c r="BE20" s="275">
        <f t="shared" si="19"/>
        <v>0</v>
      </c>
      <c r="BF20" s="546"/>
      <c r="BG20" s="547"/>
      <c r="BH20" s="275">
        <f t="shared" si="20"/>
        <v>0</v>
      </c>
      <c r="BI20" s="546"/>
      <c r="BJ20" s="547"/>
      <c r="BK20" s="275">
        <f t="shared" si="21"/>
        <v>0</v>
      </c>
      <c r="BL20" s="546"/>
      <c r="BM20" s="547"/>
      <c r="BN20" s="275">
        <f t="shared" si="22"/>
        <v>0</v>
      </c>
      <c r="BO20" s="546"/>
      <c r="BP20" s="547"/>
      <c r="BQ20" s="275">
        <f t="shared" si="23"/>
        <v>0</v>
      </c>
      <c r="BR20" s="258"/>
    </row>
    <row r="21" spans="1:70">
      <c r="A21" s="821"/>
      <c r="B21" s="824"/>
      <c r="C21" s="24" t="s">
        <v>31</v>
      </c>
      <c r="D21" s="272"/>
      <c r="E21" s="273"/>
      <c r="F21" s="274"/>
      <c r="G21" s="546"/>
      <c r="H21" s="547"/>
      <c r="I21" s="275">
        <f t="shared" si="3"/>
        <v>0</v>
      </c>
      <c r="J21" s="546"/>
      <c r="K21" s="547"/>
      <c r="L21" s="275">
        <f t="shared" si="4"/>
        <v>0</v>
      </c>
      <c r="M21" s="546"/>
      <c r="N21" s="547"/>
      <c r="O21" s="275">
        <f t="shared" si="5"/>
        <v>0</v>
      </c>
      <c r="P21" s="546"/>
      <c r="Q21" s="547"/>
      <c r="R21" s="275">
        <f t="shared" si="6"/>
        <v>0</v>
      </c>
      <c r="S21" s="546"/>
      <c r="T21" s="547"/>
      <c r="U21" s="275">
        <f t="shared" si="7"/>
        <v>0</v>
      </c>
      <c r="V21" s="546"/>
      <c r="W21" s="547"/>
      <c r="X21" s="275">
        <f t="shared" si="8"/>
        <v>0</v>
      </c>
      <c r="Y21" s="546"/>
      <c r="Z21" s="547"/>
      <c r="AA21" s="275">
        <f t="shared" si="9"/>
        <v>0</v>
      </c>
      <c r="AB21" s="546"/>
      <c r="AC21" s="547"/>
      <c r="AD21" s="275">
        <f t="shared" si="10"/>
        <v>0</v>
      </c>
      <c r="AE21" s="546"/>
      <c r="AF21" s="547"/>
      <c r="AG21" s="275">
        <f t="shared" si="11"/>
        <v>0</v>
      </c>
      <c r="AH21" s="546"/>
      <c r="AI21" s="547"/>
      <c r="AJ21" s="275">
        <f t="shared" si="12"/>
        <v>0</v>
      </c>
      <c r="AK21" s="546"/>
      <c r="AL21" s="547"/>
      <c r="AM21" s="275">
        <f t="shared" si="13"/>
        <v>0</v>
      </c>
      <c r="AN21" s="546"/>
      <c r="AO21" s="547"/>
      <c r="AP21" s="275">
        <f t="shared" si="14"/>
        <v>0</v>
      </c>
      <c r="AQ21" s="546"/>
      <c r="AR21" s="547"/>
      <c r="AS21" s="275">
        <f t="shared" si="15"/>
        <v>0</v>
      </c>
      <c r="AT21" s="546"/>
      <c r="AU21" s="547"/>
      <c r="AV21" s="275">
        <f t="shared" si="16"/>
        <v>0</v>
      </c>
      <c r="AW21" s="546"/>
      <c r="AX21" s="547"/>
      <c r="AY21" s="275">
        <f t="shared" si="17"/>
        <v>0</v>
      </c>
      <c r="AZ21" s="546"/>
      <c r="BA21" s="547"/>
      <c r="BB21" s="275">
        <f t="shared" si="18"/>
        <v>0</v>
      </c>
      <c r="BC21" s="546"/>
      <c r="BD21" s="547"/>
      <c r="BE21" s="275">
        <f t="shared" si="19"/>
        <v>0</v>
      </c>
      <c r="BF21" s="546"/>
      <c r="BG21" s="547"/>
      <c r="BH21" s="275">
        <f t="shared" si="20"/>
        <v>0</v>
      </c>
      <c r="BI21" s="546"/>
      <c r="BJ21" s="547"/>
      <c r="BK21" s="275">
        <f t="shared" si="21"/>
        <v>0</v>
      </c>
      <c r="BL21" s="546"/>
      <c r="BM21" s="547"/>
      <c r="BN21" s="275">
        <f t="shared" si="22"/>
        <v>0</v>
      </c>
      <c r="BO21" s="546"/>
      <c r="BP21" s="547"/>
      <c r="BQ21" s="275">
        <f t="shared" si="23"/>
        <v>0</v>
      </c>
      <c r="BR21" s="258"/>
    </row>
    <row r="22" spans="1:70">
      <c r="A22" s="821"/>
      <c r="B22" s="824"/>
      <c r="C22" s="24" t="s">
        <v>32</v>
      </c>
      <c r="D22" s="272"/>
      <c r="E22" s="273"/>
      <c r="F22" s="274"/>
      <c r="G22" s="546"/>
      <c r="H22" s="547"/>
      <c r="I22" s="275">
        <f t="shared" si="3"/>
        <v>0</v>
      </c>
      <c r="J22" s="546"/>
      <c r="K22" s="547"/>
      <c r="L22" s="275">
        <f t="shared" si="4"/>
        <v>0</v>
      </c>
      <c r="M22" s="546"/>
      <c r="N22" s="547"/>
      <c r="O22" s="275">
        <f t="shared" si="5"/>
        <v>0</v>
      </c>
      <c r="P22" s="546"/>
      <c r="Q22" s="547"/>
      <c r="R22" s="275">
        <f t="shared" si="6"/>
        <v>0</v>
      </c>
      <c r="S22" s="546"/>
      <c r="T22" s="547"/>
      <c r="U22" s="275">
        <f t="shared" si="7"/>
        <v>0</v>
      </c>
      <c r="V22" s="546"/>
      <c r="W22" s="547"/>
      <c r="X22" s="275">
        <f t="shared" si="8"/>
        <v>0</v>
      </c>
      <c r="Y22" s="546"/>
      <c r="Z22" s="547"/>
      <c r="AA22" s="275">
        <f t="shared" si="9"/>
        <v>0</v>
      </c>
      <c r="AB22" s="546"/>
      <c r="AC22" s="547"/>
      <c r="AD22" s="275">
        <f t="shared" si="10"/>
        <v>0</v>
      </c>
      <c r="AE22" s="546"/>
      <c r="AF22" s="547"/>
      <c r="AG22" s="275">
        <f t="shared" si="11"/>
        <v>0</v>
      </c>
      <c r="AH22" s="546"/>
      <c r="AI22" s="547"/>
      <c r="AJ22" s="275">
        <f t="shared" si="12"/>
        <v>0</v>
      </c>
      <c r="AK22" s="546"/>
      <c r="AL22" s="547"/>
      <c r="AM22" s="275">
        <f t="shared" si="13"/>
        <v>0</v>
      </c>
      <c r="AN22" s="546"/>
      <c r="AO22" s="547"/>
      <c r="AP22" s="275">
        <f t="shared" si="14"/>
        <v>0</v>
      </c>
      <c r="AQ22" s="546"/>
      <c r="AR22" s="547"/>
      <c r="AS22" s="275">
        <f t="shared" si="15"/>
        <v>0</v>
      </c>
      <c r="AT22" s="546"/>
      <c r="AU22" s="547"/>
      <c r="AV22" s="275">
        <f t="shared" si="16"/>
        <v>0</v>
      </c>
      <c r="AW22" s="546"/>
      <c r="AX22" s="547"/>
      <c r="AY22" s="275">
        <f t="shared" si="17"/>
        <v>0</v>
      </c>
      <c r="AZ22" s="546"/>
      <c r="BA22" s="547"/>
      <c r="BB22" s="275">
        <f t="shared" si="18"/>
        <v>0</v>
      </c>
      <c r="BC22" s="546"/>
      <c r="BD22" s="547"/>
      <c r="BE22" s="275">
        <f t="shared" si="19"/>
        <v>0</v>
      </c>
      <c r="BF22" s="546"/>
      <c r="BG22" s="547"/>
      <c r="BH22" s="275">
        <f t="shared" si="20"/>
        <v>0</v>
      </c>
      <c r="BI22" s="546"/>
      <c r="BJ22" s="547"/>
      <c r="BK22" s="275">
        <f t="shared" si="21"/>
        <v>0</v>
      </c>
      <c r="BL22" s="546"/>
      <c r="BM22" s="547"/>
      <c r="BN22" s="275">
        <f t="shared" si="22"/>
        <v>0</v>
      </c>
      <c r="BO22" s="546"/>
      <c r="BP22" s="547"/>
      <c r="BQ22" s="275">
        <f t="shared" si="23"/>
        <v>0</v>
      </c>
      <c r="BR22" s="258"/>
    </row>
    <row r="23" spans="1:70">
      <c r="A23" s="821"/>
      <c r="B23" s="824"/>
      <c r="C23" s="24" t="s">
        <v>33</v>
      </c>
      <c r="D23" s="272"/>
      <c r="E23" s="273"/>
      <c r="F23" s="274"/>
      <c r="G23" s="546"/>
      <c r="H23" s="547"/>
      <c r="I23" s="275">
        <f t="shared" si="3"/>
        <v>0</v>
      </c>
      <c r="J23" s="546"/>
      <c r="K23" s="547"/>
      <c r="L23" s="275">
        <f t="shared" si="4"/>
        <v>0</v>
      </c>
      <c r="M23" s="546"/>
      <c r="N23" s="547"/>
      <c r="O23" s="275">
        <f t="shared" si="5"/>
        <v>0</v>
      </c>
      <c r="P23" s="546"/>
      <c r="Q23" s="547"/>
      <c r="R23" s="275">
        <f t="shared" si="6"/>
        <v>0</v>
      </c>
      <c r="S23" s="546"/>
      <c r="T23" s="547"/>
      <c r="U23" s="275">
        <f t="shared" si="7"/>
        <v>0</v>
      </c>
      <c r="V23" s="546"/>
      <c r="W23" s="547"/>
      <c r="X23" s="275">
        <f t="shared" si="8"/>
        <v>0</v>
      </c>
      <c r="Y23" s="546"/>
      <c r="Z23" s="547"/>
      <c r="AA23" s="275">
        <f t="shared" si="9"/>
        <v>0</v>
      </c>
      <c r="AB23" s="546"/>
      <c r="AC23" s="547"/>
      <c r="AD23" s="275">
        <f t="shared" si="10"/>
        <v>0</v>
      </c>
      <c r="AE23" s="546"/>
      <c r="AF23" s="547"/>
      <c r="AG23" s="275">
        <f t="shared" si="11"/>
        <v>0</v>
      </c>
      <c r="AH23" s="546"/>
      <c r="AI23" s="547"/>
      <c r="AJ23" s="275">
        <f t="shared" si="12"/>
        <v>0</v>
      </c>
      <c r="AK23" s="546"/>
      <c r="AL23" s="547"/>
      <c r="AM23" s="275">
        <f t="shared" si="13"/>
        <v>0</v>
      </c>
      <c r="AN23" s="546"/>
      <c r="AO23" s="547"/>
      <c r="AP23" s="275">
        <f t="shared" si="14"/>
        <v>0</v>
      </c>
      <c r="AQ23" s="546"/>
      <c r="AR23" s="547"/>
      <c r="AS23" s="275">
        <f t="shared" si="15"/>
        <v>0</v>
      </c>
      <c r="AT23" s="546"/>
      <c r="AU23" s="547"/>
      <c r="AV23" s="275">
        <f t="shared" si="16"/>
        <v>0</v>
      </c>
      <c r="AW23" s="546"/>
      <c r="AX23" s="547"/>
      <c r="AY23" s="275">
        <f t="shared" si="17"/>
        <v>0</v>
      </c>
      <c r="AZ23" s="546"/>
      <c r="BA23" s="547"/>
      <c r="BB23" s="275">
        <f t="shared" si="18"/>
        <v>0</v>
      </c>
      <c r="BC23" s="546"/>
      <c r="BD23" s="547"/>
      <c r="BE23" s="275">
        <f t="shared" si="19"/>
        <v>0</v>
      </c>
      <c r="BF23" s="546"/>
      <c r="BG23" s="547"/>
      <c r="BH23" s="275">
        <f t="shared" si="20"/>
        <v>0</v>
      </c>
      <c r="BI23" s="546"/>
      <c r="BJ23" s="547"/>
      <c r="BK23" s="275">
        <f t="shared" si="21"/>
        <v>0</v>
      </c>
      <c r="BL23" s="546"/>
      <c r="BM23" s="547"/>
      <c r="BN23" s="275">
        <f t="shared" si="22"/>
        <v>0</v>
      </c>
      <c r="BO23" s="546"/>
      <c r="BP23" s="547"/>
      <c r="BQ23" s="275">
        <f t="shared" si="23"/>
        <v>0</v>
      </c>
      <c r="BR23" s="258"/>
    </row>
    <row r="24" spans="1:70" ht="15.75" thickBot="1">
      <c r="A24" s="822"/>
      <c r="B24" s="825"/>
      <c r="C24" s="263" t="s">
        <v>34</v>
      </c>
      <c r="D24" s="276"/>
      <c r="E24" s="277"/>
      <c r="F24" s="278"/>
      <c r="G24" s="548"/>
      <c r="H24" s="549"/>
      <c r="I24" s="279">
        <f t="shared" si="3"/>
        <v>0</v>
      </c>
      <c r="J24" s="548"/>
      <c r="K24" s="549"/>
      <c r="L24" s="279">
        <f t="shared" si="4"/>
        <v>0</v>
      </c>
      <c r="M24" s="548"/>
      <c r="N24" s="549"/>
      <c r="O24" s="279">
        <f t="shared" si="5"/>
        <v>0</v>
      </c>
      <c r="P24" s="548"/>
      <c r="Q24" s="549"/>
      <c r="R24" s="279">
        <f t="shared" si="6"/>
        <v>0</v>
      </c>
      <c r="S24" s="548"/>
      <c r="T24" s="549"/>
      <c r="U24" s="279">
        <f t="shared" si="7"/>
        <v>0</v>
      </c>
      <c r="V24" s="548"/>
      <c r="W24" s="549"/>
      <c r="X24" s="279">
        <f t="shared" si="8"/>
        <v>0</v>
      </c>
      <c r="Y24" s="548"/>
      <c r="Z24" s="549"/>
      <c r="AA24" s="279">
        <f t="shared" si="9"/>
        <v>0</v>
      </c>
      <c r="AB24" s="548"/>
      <c r="AC24" s="549"/>
      <c r="AD24" s="279">
        <f t="shared" si="10"/>
        <v>0</v>
      </c>
      <c r="AE24" s="548"/>
      <c r="AF24" s="549"/>
      <c r="AG24" s="279">
        <f t="shared" si="11"/>
        <v>0</v>
      </c>
      <c r="AH24" s="548"/>
      <c r="AI24" s="549"/>
      <c r="AJ24" s="279">
        <f t="shared" si="12"/>
        <v>0</v>
      </c>
      <c r="AK24" s="548"/>
      <c r="AL24" s="549"/>
      <c r="AM24" s="279">
        <f t="shared" si="13"/>
        <v>0</v>
      </c>
      <c r="AN24" s="548"/>
      <c r="AO24" s="549"/>
      <c r="AP24" s="279">
        <f t="shared" si="14"/>
        <v>0</v>
      </c>
      <c r="AQ24" s="548"/>
      <c r="AR24" s="549"/>
      <c r="AS24" s="279">
        <f t="shared" si="15"/>
        <v>0</v>
      </c>
      <c r="AT24" s="548"/>
      <c r="AU24" s="549"/>
      <c r="AV24" s="279">
        <f t="shared" si="16"/>
        <v>0</v>
      </c>
      <c r="AW24" s="548"/>
      <c r="AX24" s="549"/>
      <c r="AY24" s="279">
        <f t="shared" si="17"/>
        <v>0</v>
      </c>
      <c r="AZ24" s="548"/>
      <c r="BA24" s="549"/>
      <c r="BB24" s="279">
        <f t="shared" si="18"/>
        <v>0</v>
      </c>
      <c r="BC24" s="548"/>
      <c r="BD24" s="549"/>
      <c r="BE24" s="279">
        <f t="shared" si="19"/>
        <v>0</v>
      </c>
      <c r="BF24" s="548"/>
      <c r="BG24" s="549"/>
      <c r="BH24" s="279">
        <f t="shared" si="20"/>
        <v>0</v>
      </c>
      <c r="BI24" s="548"/>
      <c r="BJ24" s="549"/>
      <c r="BK24" s="279">
        <f t="shared" si="21"/>
        <v>0</v>
      </c>
      <c r="BL24" s="548"/>
      <c r="BM24" s="549"/>
      <c r="BN24" s="279">
        <f t="shared" si="22"/>
        <v>0</v>
      </c>
      <c r="BO24" s="548"/>
      <c r="BP24" s="549"/>
      <c r="BQ24" s="279">
        <f t="shared" si="23"/>
        <v>0</v>
      </c>
      <c r="BR24" s="258"/>
    </row>
    <row r="25" spans="1:70" s="281" customFormat="1" ht="14.25" customHeight="1">
      <c r="A25" s="820" t="s">
        <v>42</v>
      </c>
      <c r="B25" s="823" t="s">
        <v>13</v>
      </c>
      <c r="C25" s="251" t="s">
        <v>25</v>
      </c>
      <c r="D25" s="268"/>
      <c r="E25" s="269"/>
      <c r="F25" s="270"/>
      <c r="G25" s="544"/>
      <c r="H25" s="545"/>
      <c r="I25" s="271">
        <f>H25-G25</f>
        <v>0</v>
      </c>
      <c r="J25" s="544"/>
      <c r="K25" s="545"/>
      <c r="L25" s="271">
        <f>K25-J25</f>
        <v>0</v>
      </c>
      <c r="M25" s="544"/>
      <c r="N25" s="545"/>
      <c r="O25" s="271">
        <f>N25-M25</f>
        <v>0</v>
      </c>
      <c r="P25" s="544"/>
      <c r="Q25" s="545"/>
      <c r="R25" s="271">
        <f>Q25-P25</f>
        <v>0</v>
      </c>
      <c r="S25" s="544"/>
      <c r="T25" s="545"/>
      <c r="U25" s="271">
        <f>T25-S25</f>
        <v>0</v>
      </c>
      <c r="V25" s="544"/>
      <c r="W25" s="545"/>
      <c r="X25" s="271">
        <f>W25-V25</f>
        <v>0</v>
      </c>
      <c r="Y25" s="544"/>
      <c r="Z25" s="545"/>
      <c r="AA25" s="271">
        <f>Z25-Y25</f>
        <v>0</v>
      </c>
      <c r="AB25" s="544"/>
      <c r="AC25" s="545"/>
      <c r="AD25" s="271"/>
      <c r="AE25" s="544"/>
      <c r="AF25" s="545"/>
      <c r="AG25" s="271">
        <f>AF25-AE25</f>
        <v>0</v>
      </c>
      <c r="AH25" s="544"/>
      <c r="AI25" s="545"/>
      <c r="AJ25" s="271">
        <f>AI25-AH25</f>
        <v>0</v>
      </c>
      <c r="AK25" s="544"/>
      <c r="AL25" s="545"/>
      <c r="AM25" s="271">
        <f>AL25-AK25</f>
        <v>0</v>
      </c>
      <c r="AN25" s="544"/>
      <c r="AO25" s="545"/>
      <c r="AP25" s="271">
        <f>AO25-AN25</f>
        <v>0</v>
      </c>
      <c r="AQ25" s="544"/>
      <c r="AR25" s="545"/>
      <c r="AS25" s="271">
        <f>AR25-AQ25</f>
        <v>0</v>
      </c>
      <c r="AT25" s="544"/>
      <c r="AU25" s="545"/>
      <c r="AV25" s="271"/>
      <c r="AW25" s="544"/>
      <c r="AX25" s="545"/>
      <c r="AY25" s="271">
        <f>AX25-AW25</f>
        <v>0</v>
      </c>
      <c r="AZ25" s="544"/>
      <c r="BA25" s="545"/>
      <c r="BB25" s="271">
        <f>BA25-AZ25</f>
        <v>0</v>
      </c>
      <c r="BC25" s="544"/>
      <c r="BD25" s="545"/>
      <c r="BE25" s="271">
        <f>BD25-BC25</f>
        <v>0</v>
      </c>
      <c r="BF25" s="544"/>
      <c r="BG25" s="545"/>
      <c r="BH25" s="271">
        <f>BG25-BF25</f>
        <v>0</v>
      </c>
      <c r="BI25" s="544"/>
      <c r="BJ25" s="545"/>
      <c r="BK25" s="271">
        <f>BJ25-BI25</f>
        <v>0</v>
      </c>
      <c r="BL25" s="544"/>
      <c r="BM25" s="545"/>
      <c r="BN25" s="271">
        <f>BM25-BL25</f>
        <v>0</v>
      </c>
      <c r="BO25" s="544"/>
      <c r="BP25" s="545"/>
      <c r="BQ25" s="271">
        <f>BP25-BO25</f>
        <v>0</v>
      </c>
      <c r="BR25" s="280"/>
    </row>
    <row r="26" spans="1:70">
      <c r="A26" s="821"/>
      <c r="B26" s="824"/>
      <c r="C26" s="24" t="s">
        <v>26</v>
      </c>
      <c r="D26" s="272"/>
      <c r="E26" s="273"/>
      <c r="F26" s="274"/>
      <c r="G26" s="546"/>
      <c r="H26" s="547"/>
      <c r="I26" s="275">
        <f t="shared" ref="I26:I43" si="28">H26-G26</f>
        <v>0</v>
      </c>
      <c r="J26" s="546"/>
      <c r="K26" s="547"/>
      <c r="L26" s="275">
        <f t="shared" ref="L26:L43" si="29">K26-J26</f>
        <v>0</v>
      </c>
      <c r="M26" s="546"/>
      <c r="N26" s="547"/>
      <c r="O26" s="275">
        <f t="shared" ref="O26:O43" si="30">N26-M26</f>
        <v>0</v>
      </c>
      <c r="P26" s="546"/>
      <c r="Q26" s="547"/>
      <c r="R26" s="275">
        <f t="shared" ref="R26:R43" si="31">Q26-P26</f>
        <v>0</v>
      </c>
      <c r="S26" s="546"/>
      <c r="T26" s="547"/>
      <c r="U26" s="275">
        <f t="shared" ref="U26:U43" si="32">T26-S26</f>
        <v>0</v>
      </c>
      <c r="V26" s="546"/>
      <c r="W26" s="547"/>
      <c r="X26" s="275">
        <f t="shared" ref="X26:X43" si="33">W26-V26</f>
        <v>0</v>
      </c>
      <c r="Y26" s="546"/>
      <c r="Z26" s="547"/>
      <c r="AA26" s="275">
        <f t="shared" ref="AA26:AA43" si="34">Z26-Y26</f>
        <v>0</v>
      </c>
      <c r="AB26" s="546"/>
      <c r="AC26" s="547"/>
      <c r="AD26" s="275"/>
      <c r="AE26" s="546"/>
      <c r="AF26" s="547"/>
      <c r="AG26" s="275">
        <f t="shared" ref="AG26:AG43" si="35">AF26-AE26</f>
        <v>0</v>
      </c>
      <c r="AH26" s="546"/>
      <c r="AI26" s="547"/>
      <c r="AJ26" s="275">
        <f t="shared" ref="AJ26:AJ43" si="36">AI26-AH26</f>
        <v>0</v>
      </c>
      <c r="AK26" s="546"/>
      <c r="AL26" s="547"/>
      <c r="AM26" s="275">
        <f t="shared" ref="AM26:AM43" si="37">AL26-AK26</f>
        <v>0</v>
      </c>
      <c r="AN26" s="546"/>
      <c r="AO26" s="547"/>
      <c r="AP26" s="275">
        <f t="shared" ref="AP26:AP43" si="38">AO26-AN26</f>
        <v>0</v>
      </c>
      <c r="AQ26" s="546"/>
      <c r="AR26" s="547"/>
      <c r="AS26" s="275">
        <f t="shared" ref="AS26:AS43" si="39">AR26-AQ26</f>
        <v>0</v>
      </c>
      <c r="AT26" s="546"/>
      <c r="AU26" s="547"/>
      <c r="AV26" s="275"/>
      <c r="AW26" s="546"/>
      <c r="AX26" s="547"/>
      <c r="AY26" s="275">
        <f t="shared" ref="AY26:AY43" si="40">AX26-AW26</f>
        <v>0</v>
      </c>
      <c r="AZ26" s="546"/>
      <c r="BA26" s="547"/>
      <c r="BB26" s="275">
        <f t="shared" ref="BB26:BB43" si="41">BA26-AZ26</f>
        <v>0</v>
      </c>
      <c r="BC26" s="546"/>
      <c r="BD26" s="547"/>
      <c r="BE26" s="275">
        <f t="shared" ref="BE26:BE43" si="42">BD26-BC26</f>
        <v>0</v>
      </c>
      <c r="BF26" s="546"/>
      <c r="BG26" s="547"/>
      <c r="BH26" s="275">
        <f t="shared" ref="BH26:BH43" si="43">BG26-BF26</f>
        <v>0</v>
      </c>
      <c r="BI26" s="546"/>
      <c r="BJ26" s="547"/>
      <c r="BK26" s="275">
        <f t="shared" ref="BK26:BK43" si="44">BJ26-BI26</f>
        <v>0</v>
      </c>
      <c r="BL26" s="546"/>
      <c r="BM26" s="547"/>
      <c r="BN26" s="275">
        <f t="shared" ref="BN26:BN43" si="45">BM26-BL26</f>
        <v>0</v>
      </c>
      <c r="BO26" s="546"/>
      <c r="BP26" s="547"/>
      <c r="BQ26" s="275">
        <f t="shared" ref="BQ26:BQ53" si="46">BP26-BO26</f>
        <v>0</v>
      </c>
    </row>
    <row r="27" spans="1:70">
      <c r="A27" s="821"/>
      <c r="B27" s="824"/>
      <c r="C27" s="24" t="s">
        <v>27</v>
      </c>
      <c r="D27" s="272"/>
      <c r="E27" s="273"/>
      <c r="F27" s="274"/>
      <c r="G27" s="546"/>
      <c r="H27" s="547"/>
      <c r="I27" s="275">
        <f t="shared" si="28"/>
        <v>0</v>
      </c>
      <c r="J27" s="546"/>
      <c r="K27" s="547"/>
      <c r="L27" s="275">
        <f t="shared" si="29"/>
        <v>0</v>
      </c>
      <c r="M27" s="546"/>
      <c r="N27" s="547"/>
      <c r="O27" s="275">
        <f t="shared" si="30"/>
        <v>0</v>
      </c>
      <c r="P27" s="546"/>
      <c r="Q27" s="547"/>
      <c r="R27" s="275">
        <f t="shared" si="31"/>
        <v>0</v>
      </c>
      <c r="S27" s="546"/>
      <c r="T27" s="547"/>
      <c r="U27" s="275">
        <f t="shared" si="32"/>
        <v>0</v>
      </c>
      <c r="V27" s="546"/>
      <c r="W27" s="547"/>
      <c r="X27" s="275">
        <f t="shared" si="33"/>
        <v>0</v>
      </c>
      <c r="Y27" s="546"/>
      <c r="Z27" s="547"/>
      <c r="AA27" s="275">
        <f t="shared" si="34"/>
        <v>0</v>
      </c>
      <c r="AB27" s="546"/>
      <c r="AC27" s="547"/>
      <c r="AD27" s="275"/>
      <c r="AE27" s="546"/>
      <c r="AF27" s="547"/>
      <c r="AG27" s="275">
        <f t="shared" si="35"/>
        <v>0</v>
      </c>
      <c r="AH27" s="546"/>
      <c r="AI27" s="547"/>
      <c r="AJ27" s="275">
        <f t="shared" si="36"/>
        <v>0</v>
      </c>
      <c r="AK27" s="546"/>
      <c r="AL27" s="547"/>
      <c r="AM27" s="275">
        <f t="shared" si="37"/>
        <v>0</v>
      </c>
      <c r="AN27" s="546"/>
      <c r="AO27" s="547"/>
      <c r="AP27" s="275">
        <f t="shared" si="38"/>
        <v>0</v>
      </c>
      <c r="AQ27" s="546"/>
      <c r="AR27" s="547"/>
      <c r="AS27" s="275">
        <f t="shared" si="39"/>
        <v>0</v>
      </c>
      <c r="AT27" s="546"/>
      <c r="AU27" s="547"/>
      <c r="AV27" s="275"/>
      <c r="AW27" s="546"/>
      <c r="AX27" s="547"/>
      <c r="AY27" s="275">
        <f t="shared" si="40"/>
        <v>0</v>
      </c>
      <c r="AZ27" s="546"/>
      <c r="BA27" s="547"/>
      <c r="BB27" s="275">
        <f t="shared" si="41"/>
        <v>0</v>
      </c>
      <c r="BC27" s="546"/>
      <c r="BD27" s="547"/>
      <c r="BE27" s="275">
        <f t="shared" si="42"/>
        <v>0</v>
      </c>
      <c r="BF27" s="546"/>
      <c r="BG27" s="547"/>
      <c r="BH27" s="275">
        <f t="shared" si="43"/>
        <v>0</v>
      </c>
      <c r="BI27" s="546"/>
      <c r="BJ27" s="547"/>
      <c r="BK27" s="275">
        <f t="shared" si="44"/>
        <v>0</v>
      </c>
      <c r="BL27" s="546"/>
      <c r="BM27" s="547"/>
      <c r="BN27" s="275">
        <f t="shared" si="45"/>
        <v>0</v>
      </c>
      <c r="BO27" s="546"/>
      <c r="BP27" s="547"/>
      <c r="BQ27" s="275">
        <f t="shared" si="46"/>
        <v>0</v>
      </c>
    </row>
    <row r="28" spans="1:70">
      <c r="A28" s="821"/>
      <c r="B28" s="824"/>
      <c r="C28" s="24" t="s">
        <v>28</v>
      </c>
      <c r="D28" s="272"/>
      <c r="E28" s="273"/>
      <c r="F28" s="274"/>
      <c r="G28" s="546"/>
      <c r="H28" s="547"/>
      <c r="I28" s="275">
        <f t="shared" si="28"/>
        <v>0</v>
      </c>
      <c r="J28" s="546"/>
      <c r="K28" s="547"/>
      <c r="L28" s="275">
        <f t="shared" si="29"/>
        <v>0</v>
      </c>
      <c r="M28" s="546"/>
      <c r="N28" s="547"/>
      <c r="O28" s="275">
        <f t="shared" si="30"/>
        <v>0</v>
      </c>
      <c r="P28" s="546"/>
      <c r="Q28" s="547"/>
      <c r="R28" s="275">
        <f t="shared" si="31"/>
        <v>0</v>
      </c>
      <c r="S28" s="546"/>
      <c r="T28" s="547"/>
      <c r="U28" s="275">
        <f t="shared" si="32"/>
        <v>0</v>
      </c>
      <c r="V28" s="546"/>
      <c r="W28" s="547"/>
      <c r="X28" s="275">
        <f t="shared" si="33"/>
        <v>0</v>
      </c>
      <c r="Y28" s="546"/>
      <c r="Z28" s="547"/>
      <c r="AA28" s="275">
        <f t="shared" si="34"/>
        <v>0</v>
      </c>
      <c r="AB28" s="546"/>
      <c r="AC28" s="547"/>
      <c r="AD28" s="275"/>
      <c r="AE28" s="546"/>
      <c r="AF28" s="547"/>
      <c r="AG28" s="275">
        <f t="shared" si="35"/>
        <v>0</v>
      </c>
      <c r="AH28" s="546"/>
      <c r="AI28" s="547"/>
      <c r="AJ28" s="275">
        <f t="shared" si="36"/>
        <v>0</v>
      </c>
      <c r="AK28" s="546"/>
      <c r="AL28" s="547"/>
      <c r="AM28" s="275">
        <f t="shared" si="37"/>
        <v>0</v>
      </c>
      <c r="AN28" s="546"/>
      <c r="AO28" s="547"/>
      <c r="AP28" s="275">
        <f t="shared" si="38"/>
        <v>0</v>
      </c>
      <c r="AQ28" s="546"/>
      <c r="AR28" s="547"/>
      <c r="AS28" s="275">
        <f t="shared" si="39"/>
        <v>0</v>
      </c>
      <c r="AT28" s="546"/>
      <c r="AU28" s="547"/>
      <c r="AV28" s="275"/>
      <c r="AW28" s="546"/>
      <c r="AX28" s="547"/>
      <c r="AY28" s="275">
        <f t="shared" si="40"/>
        <v>0</v>
      </c>
      <c r="AZ28" s="546"/>
      <c r="BA28" s="547"/>
      <c r="BB28" s="275">
        <f t="shared" si="41"/>
        <v>0</v>
      </c>
      <c r="BC28" s="546"/>
      <c r="BD28" s="547"/>
      <c r="BE28" s="275">
        <f t="shared" si="42"/>
        <v>0</v>
      </c>
      <c r="BF28" s="546"/>
      <c r="BG28" s="547"/>
      <c r="BH28" s="275">
        <f t="shared" si="43"/>
        <v>0</v>
      </c>
      <c r="BI28" s="546"/>
      <c r="BJ28" s="547"/>
      <c r="BK28" s="275">
        <f t="shared" si="44"/>
        <v>0</v>
      </c>
      <c r="BL28" s="546"/>
      <c r="BM28" s="547"/>
      <c r="BN28" s="275">
        <f t="shared" si="45"/>
        <v>0</v>
      </c>
      <c r="BO28" s="546"/>
      <c r="BP28" s="547"/>
      <c r="BQ28" s="275">
        <f t="shared" si="46"/>
        <v>0</v>
      </c>
    </row>
    <row r="29" spans="1:70">
      <c r="A29" s="821"/>
      <c r="B29" s="824"/>
      <c r="C29" s="24" t="s">
        <v>29</v>
      </c>
      <c r="D29" s="272"/>
      <c r="E29" s="273"/>
      <c r="F29" s="274"/>
      <c r="G29" s="546"/>
      <c r="H29" s="547"/>
      <c r="I29" s="275">
        <f t="shared" si="28"/>
        <v>0</v>
      </c>
      <c r="J29" s="546"/>
      <c r="K29" s="547"/>
      <c r="L29" s="275">
        <f t="shared" si="29"/>
        <v>0</v>
      </c>
      <c r="M29" s="546"/>
      <c r="N29" s="547"/>
      <c r="O29" s="275">
        <f t="shared" si="30"/>
        <v>0</v>
      </c>
      <c r="P29" s="546"/>
      <c r="Q29" s="547"/>
      <c r="R29" s="275">
        <f t="shared" si="31"/>
        <v>0</v>
      </c>
      <c r="S29" s="546"/>
      <c r="T29" s="547"/>
      <c r="U29" s="275">
        <f t="shared" si="32"/>
        <v>0</v>
      </c>
      <c r="V29" s="546"/>
      <c r="W29" s="547"/>
      <c r="X29" s="275">
        <f t="shared" si="33"/>
        <v>0</v>
      </c>
      <c r="Y29" s="546"/>
      <c r="Z29" s="547"/>
      <c r="AA29" s="275">
        <f t="shared" si="34"/>
        <v>0</v>
      </c>
      <c r="AB29" s="546"/>
      <c r="AC29" s="547"/>
      <c r="AD29" s="275"/>
      <c r="AE29" s="546"/>
      <c r="AF29" s="547"/>
      <c r="AG29" s="275">
        <f t="shared" si="35"/>
        <v>0</v>
      </c>
      <c r="AH29" s="546"/>
      <c r="AI29" s="547"/>
      <c r="AJ29" s="275">
        <f t="shared" si="36"/>
        <v>0</v>
      </c>
      <c r="AK29" s="546"/>
      <c r="AL29" s="547"/>
      <c r="AM29" s="275">
        <f t="shared" si="37"/>
        <v>0</v>
      </c>
      <c r="AN29" s="546"/>
      <c r="AO29" s="547"/>
      <c r="AP29" s="275">
        <f t="shared" si="38"/>
        <v>0</v>
      </c>
      <c r="AQ29" s="546"/>
      <c r="AR29" s="547"/>
      <c r="AS29" s="275">
        <f t="shared" si="39"/>
        <v>0</v>
      </c>
      <c r="AT29" s="546"/>
      <c r="AU29" s="547"/>
      <c r="AV29" s="275"/>
      <c r="AW29" s="546"/>
      <c r="AX29" s="547"/>
      <c r="AY29" s="275">
        <f t="shared" si="40"/>
        <v>0</v>
      </c>
      <c r="AZ29" s="546"/>
      <c r="BA29" s="547"/>
      <c r="BB29" s="275">
        <f t="shared" si="41"/>
        <v>0</v>
      </c>
      <c r="BC29" s="546"/>
      <c r="BD29" s="547"/>
      <c r="BE29" s="275">
        <f t="shared" si="42"/>
        <v>0</v>
      </c>
      <c r="BF29" s="546"/>
      <c r="BG29" s="547"/>
      <c r="BH29" s="275">
        <f t="shared" si="43"/>
        <v>0</v>
      </c>
      <c r="BI29" s="546"/>
      <c r="BJ29" s="547"/>
      <c r="BK29" s="275">
        <f t="shared" si="44"/>
        <v>0</v>
      </c>
      <c r="BL29" s="546"/>
      <c r="BM29" s="547"/>
      <c r="BN29" s="275">
        <f t="shared" si="45"/>
        <v>0</v>
      </c>
      <c r="BO29" s="546"/>
      <c r="BP29" s="547"/>
      <c r="BQ29" s="275">
        <f t="shared" si="46"/>
        <v>0</v>
      </c>
    </row>
    <row r="30" spans="1:70">
      <c r="A30" s="821"/>
      <c r="B30" s="824"/>
      <c r="C30" s="24" t="s">
        <v>30</v>
      </c>
      <c r="D30" s="272"/>
      <c r="E30" s="273"/>
      <c r="F30" s="274"/>
      <c r="G30" s="546"/>
      <c r="H30" s="547"/>
      <c r="I30" s="275">
        <f t="shared" si="28"/>
        <v>0</v>
      </c>
      <c r="J30" s="546"/>
      <c r="K30" s="547"/>
      <c r="L30" s="275">
        <f t="shared" si="29"/>
        <v>0</v>
      </c>
      <c r="M30" s="546"/>
      <c r="N30" s="547"/>
      <c r="O30" s="275">
        <f t="shared" si="30"/>
        <v>0</v>
      </c>
      <c r="P30" s="546"/>
      <c r="Q30" s="547"/>
      <c r="R30" s="275">
        <f t="shared" si="31"/>
        <v>0</v>
      </c>
      <c r="S30" s="546"/>
      <c r="T30" s="547"/>
      <c r="U30" s="275">
        <f t="shared" si="32"/>
        <v>0</v>
      </c>
      <c r="V30" s="546"/>
      <c r="W30" s="547"/>
      <c r="X30" s="275">
        <f t="shared" si="33"/>
        <v>0</v>
      </c>
      <c r="Y30" s="546"/>
      <c r="Z30" s="547"/>
      <c r="AA30" s="275">
        <f t="shared" si="34"/>
        <v>0</v>
      </c>
      <c r="AB30" s="546"/>
      <c r="AC30" s="547"/>
      <c r="AD30" s="275"/>
      <c r="AE30" s="546"/>
      <c r="AF30" s="547"/>
      <c r="AG30" s="275">
        <f t="shared" si="35"/>
        <v>0</v>
      </c>
      <c r="AH30" s="546"/>
      <c r="AI30" s="547"/>
      <c r="AJ30" s="275">
        <f t="shared" si="36"/>
        <v>0</v>
      </c>
      <c r="AK30" s="546"/>
      <c r="AL30" s="547"/>
      <c r="AM30" s="275">
        <f t="shared" si="37"/>
        <v>0</v>
      </c>
      <c r="AN30" s="546"/>
      <c r="AO30" s="547"/>
      <c r="AP30" s="275">
        <f t="shared" si="38"/>
        <v>0</v>
      </c>
      <c r="AQ30" s="546"/>
      <c r="AR30" s="547"/>
      <c r="AS30" s="275">
        <f t="shared" si="39"/>
        <v>0</v>
      </c>
      <c r="AT30" s="546"/>
      <c r="AU30" s="547"/>
      <c r="AV30" s="275"/>
      <c r="AW30" s="546"/>
      <c r="AX30" s="547"/>
      <c r="AY30" s="275">
        <f t="shared" si="40"/>
        <v>0</v>
      </c>
      <c r="AZ30" s="546"/>
      <c r="BA30" s="547"/>
      <c r="BB30" s="275">
        <f t="shared" si="41"/>
        <v>0</v>
      </c>
      <c r="BC30" s="546"/>
      <c r="BD30" s="547"/>
      <c r="BE30" s="275">
        <f t="shared" si="42"/>
        <v>0</v>
      </c>
      <c r="BF30" s="546"/>
      <c r="BG30" s="547"/>
      <c r="BH30" s="275">
        <f t="shared" si="43"/>
        <v>0</v>
      </c>
      <c r="BI30" s="546"/>
      <c r="BJ30" s="547"/>
      <c r="BK30" s="275">
        <f t="shared" si="44"/>
        <v>0</v>
      </c>
      <c r="BL30" s="546"/>
      <c r="BM30" s="547"/>
      <c r="BN30" s="275">
        <f t="shared" si="45"/>
        <v>0</v>
      </c>
      <c r="BO30" s="546"/>
      <c r="BP30" s="547"/>
      <c r="BQ30" s="275">
        <f t="shared" si="46"/>
        <v>0</v>
      </c>
    </row>
    <row r="31" spans="1:70">
      <c r="A31" s="821"/>
      <c r="B31" s="824"/>
      <c r="C31" s="24" t="s">
        <v>31</v>
      </c>
      <c r="D31" s="272"/>
      <c r="E31" s="273"/>
      <c r="F31" s="274"/>
      <c r="G31" s="546"/>
      <c r="H31" s="547"/>
      <c r="I31" s="275">
        <f t="shared" si="28"/>
        <v>0</v>
      </c>
      <c r="J31" s="546"/>
      <c r="K31" s="547"/>
      <c r="L31" s="275">
        <f t="shared" si="29"/>
        <v>0</v>
      </c>
      <c r="M31" s="546"/>
      <c r="N31" s="547"/>
      <c r="O31" s="275">
        <f t="shared" si="30"/>
        <v>0</v>
      </c>
      <c r="P31" s="546"/>
      <c r="Q31" s="547"/>
      <c r="R31" s="275">
        <f t="shared" si="31"/>
        <v>0</v>
      </c>
      <c r="S31" s="546"/>
      <c r="T31" s="547"/>
      <c r="U31" s="275">
        <f t="shared" si="32"/>
        <v>0</v>
      </c>
      <c r="V31" s="546"/>
      <c r="W31" s="547"/>
      <c r="X31" s="275">
        <f t="shared" si="33"/>
        <v>0</v>
      </c>
      <c r="Y31" s="546"/>
      <c r="Z31" s="547"/>
      <c r="AA31" s="275">
        <f t="shared" si="34"/>
        <v>0</v>
      </c>
      <c r="AB31" s="546"/>
      <c r="AC31" s="547"/>
      <c r="AD31" s="275"/>
      <c r="AE31" s="546"/>
      <c r="AF31" s="547"/>
      <c r="AG31" s="275">
        <f t="shared" si="35"/>
        <v>0</v>
      </c>
      <c r="AH31" s="546"/>
      <c r="AI31" s="547"/>
      <c r="AJ31" s="275">
        <f t="shared" si="36"/>
        <v>0</v>
      </c>
      <c r="AK31" s="546"/>
      <c r="AL31" s="547"/>
      <c r="AM31" s="275">
        <f t="shared" si="37"/>
        <v>0</v>
      </c>
      <c r="AN31" s="546"/>
      <c r="AO31" s="547"/>
      <c r="AP31" s="275">
        <f t="shared" si="38"/>
        <v>0</v>
      </c>
      <c r="AQ31" s="546"/>
      <c r="AR31" s="547"/>
      <c r="AS31" s="275">
        <f t="shared" si="39"/>
        <v>0</v>
      </c>
      <c r="AT31" s="546"/>
      <c r="AU31" s="547"/>
      <c r="AV31" s="275"/>
      <c r="AW31" s="546"/>
      <c r="AX31" s="547"/>
      <c r="AY31" s="275">
        <f t="shared" si="40"/>
        <v>0</v>
      </c>
      <c r="AZ31" s="546"/>
      <c r="BA31" s="547"/>
      <c r="BB31" s="275">
        <f t="shared" si="41"/>
        <v>0</v>
      </c>
      <c r="BC31" s="546"/>
      <c r="BD31" s="547"/>
      <c r="BE31" s="275">
        <f t="shared" si="42"/>
        <v>0</v>
      </c>
      <c r="BF31" s="546"/>
      <c r="BG31" s="547"/>
      <c r="BH31" s="275">
        <f t="shared" si="43"/>
        <v>0</v>
      </c>
      <c r="BI31" s="546"/>
      <c r="BJ31" s="547"/>
      <c r="BK31" s="275">
        <f t="shared" si="44"/>
        <v>0</v>
      </c>
      <c r="BL31" s="546"/>
      <c r="BM31" s="547"/>
      <c r="BN31" s="275">
        <f t="shared" si="45"/>
        <v>0</v>
      </c>
      <c r="BO31" s="546"/>
      <c r="BP31" s="547"/>
      <c r="BQ31" s="275">
        <f t="shared" si="46"/>
        <v>0</v>
      </c>
    </row>
    <row r="32" spans="1:70">
      <c r="A32" s="821"/>
      <c r="B32" s="824"/>
      <c r="C32" s="24" t="s">
        <v>32</v>
      </c>
      <c r="D32" s="272"/>
      <c r="E32" s="273"/>
      <c r="F32" s="274"/>
      <c r="G32" s="546"/>
      <c r="H32" s="547"/>
      <c r="I32" s="275">
        <f t="shared" si="28"/>
        <v>0</v>
      </c>
      <c r="J32" s="546"/>
      <c r="K32" s="547"/>
      <c r="L32" s="275">
        <f t="shared" si="29"/>
        <v>0</v>
      </c>
      <c r="M32" s="546"/>
      <c r="N32" s="547"/>
      <c r="O32" s="275">
        <f t="shared" si="30"/>
        <v>0</v>
      </c>
      <c r="P32" s="546"/>
      <c r="Q32" s="547"/>
      <c r="R32" s="275">
        <f t="shared" si="31"/>
        <v>0</v>
      </c>
      <c r="S32" s="546"/>
      <c r="T32" s="547"/>
      <c r="U32" s="275">
        <f t="shared" si="32"/>
        <v>0</v>
      </c>
      <c r="V32" s="546"/>
      <c r="W32" s="547"/>
      <c r="X32" s="275">
        <f t="shared" si="33"/>
        <v>0</v>
      </c>
      <c r="Y32" s="546"/>
      <c r="Z32" s="547"/>
      <c r="AA32" s="275">
        <f t="shared" si="34"/>
        <v>0</v>
      </c>
      <c r="AB32" s="546"/>
      <c r="AC32" s="547"/>
      <c r="AD32" s="275"/>
      <c r="AE32" s="546"/>
      <c r="AF32" s="547"/>
      <c r="AG32" s="275">
        <f t="shared" si="35"/>
        <v>0</v>
      </c>
      <c r="AH32" s="546"/>
      <c r="AI32" s="547"/>
      <c r="AJ32" s="275">
        <f t="shared" si="36"/>
        <v>0</v>
      </c>
      <c r="AK32" s="546"/>
      <c r="AL32" s="547"/>
      <c r="AM32" s="275">
        <f t="shared" si="37"/>
        <v>0</v>
      </c>
      <c r="AN32" s="546"/>
      <c r="AO32" s="547"/>
      <c r="AP32" s="275">
        <f t="shared" si="38"/>
        <v>0</v>
      </c>
      <c r="AQ32" s="546"/>
      <c r="AR32" s="547"/>
      <c r="AS32" s="275">
        <f t="shared" si="39"/>
        <v>0</v>
      </c>
      <c r="AT32" s="546"/>
      <c r="AU32" s="547"/>
      <c r="AV32" s="275"/>
      <c r="AW32" s="546"/>
      <c r="AX32" s="547"/>
      <c r="AY32" s="275">
        <f t="shared" si="40"/>
        <v>0</v>
      </c>
      <c r="AZ32" s="546"/>
      <c r="BA32" s="547"/>
      <c r="BB32" s="275">
        <f t="shared" si="41"/>
        <v>0</v>
      </c>
      <c r="BC32" s="546"/>
      <c r="BD32" s="547"/>
      <c r="BE32" s="275">
        <f t="shared" si="42"/>
        <v>0</v>
      </c>
      <c r="BF32" s="546"/>
      <c r="BG32" s="547"/>
      <c r="BH32" s="275">
        <f t="shared" si="43"/>
        <v>0</v>
      </c>
      <c r="BI32" s="546"/>
      <c r="BJ32" s="547"/>
      <c r="BK32" s="275">
        <f t="shared" si="44"/>
        <v>0</v>
      </c>
      <c r="BL32" s="546"/>
      <c r="BM32" s="547"/>
      <c r="BN32" s="275">
        <f t="shared" si="45"/>
        <v>0</v>
      </c>
      <c r="BO32" s="546"/>
      <c r="BP32" s="547"/>
      <c r="BQ32" s="275">
        <f t="shared" si="46"/>
        <v>0</v>
      </c>
    </row>
    <row r="33" spans="1:70">
      <c r="A33" s="821"/>
      <c r="B33" s="824"/>
      <c r="C33" s="24" t="s">
        <v>33</v>
      </c>
      <c r="D33" s="272"/>
      <c r="E33" s="273"/>
      <c r="F33" s="274"/>
      <c r="G33" s="546"/>
      <c r="H33" s="547"/>
      <c r="I33" s="275">
        <f t="shared" si="28"/>
        <v>0</v>
      </c>
      <c r="J33" s="546"/>
      <c r="K33" s="547"/>
      <c r="L33" s="275">
        <f t="shared" si="29"/>
        <v>0</v>
      </c>
      <c r="M33" s="546"/>
      <c r="N33" s="547"/>
      <c r="O33" s="275">
        <f t="shared" si="30"/>
        <v>0</v>
      </c>
      <c r="P33" s="546"/>
      <c r="Q33" s="547"/>
      <c r="R33" s="275">
        <f t="shared" si="31"/>
        <v>0</v>
      </c>
      <c r="S33" s="546"/>
      <c r="T33" s="547"/>
      <c r="U33" s="275">
        <f t="shared" si="32"/>
        <v>0</v>
      </c>
      <c r="V33" s="546"/>
      <c r="W33" s="547"/>
      <c r="X33" s="275">
        <f t="shared" si="33"/>
        <v>0</v>
      </c>
      <c r="Y33" s="546"/>
      <c r="Z33" s="547"/>
      <c r="AA33" s="275">
        <f t="shared" si="34"/>
        <v>0</v>
      </c>
      <c r="AB33" s="546"/>
      <c r="AC33" s="547"/>
      <c r="AD33" s="275"/>
      <c r="AE33" s="546"/>
      <c r="AF33" s="547"/>
      <c r="AG33" s="275">
        <f t="shared" si="35"/>
        <v>0</v>
      </c>
      <c r="AH33" s="546"/>
      <c r="AI33" s="547"/>
      <c r="AJ33" s="275">
        <f t="shared" si="36"/>
        <v>0</v>
      </c>
      <c r="AK33" s="546"/>
      <c r="AL33" s="547"/>
      <c r="AM33" s="275">
        <f t="shared" si="37"/>
        <v>0</v>
      </c>
      <c r="AN33" s="546"/>
      <c r="AO33" s="547"/>
      <c r="AP33" s="275">
        <f t="shared" si="38"/>
        <v>0</v>
      </c>
      <c r="AQ33" s="546"/>
      <c r="AR33" s="547"/>
      <c r="AS33" s="275">
        <f t="shared" si="39"/>
        <v>0</v>
      </c>
      <c r="AT33" s="546"/>
      <c r="AU33" s="547"/>
      <c r="AV33" s="275"/>
      <c r="AW33" s="546"/>
      <c r="AX33" s="547"/>
      <c r="AY33" s="275">
        <f t="shared" si="40"/>
        <v>0</v>
      </c>
      <c r="AZ33" s="546"/>
      <c r="BA33" s="547"/>
      <c r="BB33" s="275">
        <f t="shared" si="41"/>
        <v>0</v>
      </c>
      <c r="BC33" s="546"/>
      <c r="BD33" s="547"/>
      <c r="BE33" s="275">
        <f t="shared" si="42"/>
        <v>0</v>
      </c>
      <c r="BF33" s="546"/>
      <c r="BG33" s="547"/>
      <c r="BH33" s="275">
        <f t="shared" si="43"/>
        <v>0</v>
      </c>
      <c r="BI33" s="546"/>
      <c r="BJ33" s="547"/>
      <c r="BK33" s="275">
        <f t="shared" si="44"/>
        <v>0</v>
      </c>
      <c r="BL33" s="546"/>
      <c r="BM33" s="547"/>
      <c r="BN33" s="275">
        <f t="shared" si="45"/>
        <v>0</v>
      </c>
      <c r="BO33" s="546"/>
      <c r="BP33" s="547"/>
      <c r="BQ33" s="275">
        <f t="shared" si="46"/>
        <v>0</v>
      </c>
    </row>
    <row r="34" spans="1:70" ht="15.75" thickBot="1">
      <c r="A34" s="822"/>
      <c r="B34" s="825"/>
      <c r="C34" s="263" t="s">
        <v>34</v>
      </c>
      <c r="D34" s="276"/>
      <c r="E34" s="277"/>
      <c r="F34" s="278"/>
      <c r="G34" s="548"/>
      <c r="H34" s="549"/>
      <c r="I34" s="279">
        <f t="shared" si="28"/>
        <v>0</v>
      </c>
      <c r="J34" s="548"/>
      <c r="K34" s="549"/>
      <c r="L34" s="279">
        <f t="shared" si="29"/>
        <v>0</v>
      </c>
      <c r="M34" s="548"/>
      <c r="N34" s="549"/>
      <c r="O34" s="279">
        <f t="shared" si="30"/>
        <v>0</v>
      </c>
      <c r="P34" s="548"/>
      <c r="Q34" s="549"/>
      <c r="R34" s="279">
        <f t="shared" si="31"/>
        <v>0</v>
      </c>
      <c r="S34" s="548"/>
      <c r="T34" s="549"/>
      <c r="U34" s="279">
        <f t="shared" si="32"/>
        <v>0</v>
      </c>
      <c r="V34" s="548"/>
      <c r="W34" s="549"/>
      <c r="X34" s="279">
        <f t="shared" si="33"/>
        <v>0</v>
      </c>
      <c r="Y34" s="548"/>
      <c r="Z34" s="549"/>
      <c r="AA34" s="279">
        <f t="shared" si="34"/>
        <v>0</v>
      </c>
      <c r="AB34" s="548"/>
      <c r="AC34" s="549"/>
      <c r="AD34" s="279"/>
      <c r="AE34" s="548"/>
      <c r="AF34" s="549"/>
      <c r="AG34" s="279">
        <f t="shared" si="35"/>
        <v>0</v>
      </c>
      <c r="AH34" s="548"/>
      <c r="AI34" s="549"/>
      <c r="AJ34" s="279">
        <f t="shared" si="36"/>
        <v>0</v>
      </c>
      <c r="AK34" s="548"/>
      <c r="AL34" s="549"/>
      <c r="AM34" s="279">
        <f t="shared" si="37"/>
        <v>0</v>
      </c>
      <c r="AN34" s="548"/>
      <c r="AO34" s="549"/>
      <c r="AP34" s="279">
        <f t="shared" si="38"/>
        <v>0</v>
      </c>
      <c r="AQ34" s="548"/>
      <c r="AR34" s="549"/>
      <c r="AS34" s="279">
        <f t="shared" si="39"/>
        <v>0</v>
      </c>
      <c r="AT34" s="548"/>
      <c r="AU34" s="549"/>
      <c r="AV34" s="279"/>
      <c r="AW34" s="548"/>
      <c r="AX34" s="549"/>
      <c r="AY34" s="279">
        <f t="shared" si="40"/>
        <v>0</v>
      </c>
      <c r="AZ34" s="548"/>
      <c r="BA34" s="549"/>
      <c r="BB34" s="279">
        <f t="shared" si="41"/>
        <v>0</v>
      </c>
      <c r="BC34" s="548"/>
      <c r="BD34" s="549"/>
      <c r="BE34" s="279">
        <f t="shared" si="42"/>
        <v>0</v>
      </c>
      <c r="BF34" s="548"/>
      <c r="BG34" s="549"/>
      <c r="BH34" s="279">
        <f t="shared" si="43"/>
        <v>0</v>
      </c>
      <c r="BI34" s="548"/>
      <c r="BJ34" s="549"/>
      <c r="BK34" s="279">
        <f t="shared" si="44"/>
        <v>0</v>
      </c>
      <c r="BL34" s="548"/>
      <c r="BM34" s="549"/>
      <c r="BN34" s="279">
        <f t="shared" si="45"/>
        <v>0</v>
      </c>
      <c r="BO34" s="548"/>
      <c r="BP34" s="549"/>
      <c r="BQ34" s="279">
        <f t="shared" si="46"/>
        <v>0</v>
      </c>
    </row>
    <row r="35" spans="1:70" s="281" customFormat="1" ht="14.45" customHeight="1">
      <c r="A35" s="820" t="s">
        <v>152</v>
      </c>
      <c r="B35" s="823" t="s">
        <v>145</v>
      </c>
      <c r="C35" s="251" t="s">
        <v>25</v>
      </c>
      <c r="D35" s="268"/>
      <c r="E35" s="269"/>
      <c r="F35" s="270"/>
      <c r="G35" s="544"/>
      <c r="H35" s="545"/>
      <c r="I35" s="271">
        <f t="shared" si="28"/>
        <v>0</v>
      </c>
      <c r="J35" s="544"/>
      <c r="K35" s="545"/>
      <c r="L35" s="271">
        <f t="shared" si="29"/>
        <v>0</v>
      </c>
      <c r="M35" s="544"/>
      <c r="N35" s="545"/>
      <c r="O35" s="271">
        <f t="shared" si="30"/>
        <v>0</v>
      </c>
      <c r="P35" s="544"/>
      <c r="Q35" s="545"/>
      <c r="R35" s="271">
        <f t="shared" si="31"/>
        <v>0</v>
      </c>
      <c r="S35" s="544"/>
      <c r="T35" s="545"/>
      <c r="U35" s="271">
        <f t="shared" si="32"/>
        <v>0</v>
      </c>
      <c r="V35" s="544">
        <v>24</v>
      </c>
      <c r="W35" s="545">
        <v>24</v>
      </c>
      <c r="X35" s="271">
        <f t="shared" si="33"/>
        <v>0</v>
      </c>
      <c r="Y35" s="544"/>
      <c r="Z35" s="545"/>
      <c r="AA35" s="271">
        <f t="shared" si="34"/>
        <v>0</v>
      </c>
      <c r="AB35" s="544"/>
      <c r="AC35" s="544"/>
      <c r="AD35" s="271">
        <f>AC35-AB35</f>
        <v>0</v>
      </c>
      <c r="AE35" s="544">
        <v>210</v>
      </c>
      <c r="AF35" s="545">
        <v>210</v>
      </c>
      <c r="AG35" s="271">
        <f t="shared" si="35"/>
        <v>0</v>
      </c>
      <c r="AH35" s="544">
        <v>160</v>
      </c>
      <c r="AI35" s="545">
        <v>160</v>
      </c>
      <c r="AJ35" s="271">
        <f t="shared" si="36"/>
        <v>0</v>
      </c>
      <c r="AK35" s="544"/>
      <c r="AL35" s="545"/>
      <c r="AM35" s="271">
        <f t="shared" si="37"/>
        <v>0</v>
      </c>
      <c r="AN35" s="544">
        <v>0.5625</v>
      </c>
      <c r="AO35" s="546">
        <v>0.5625</v>
      </c>
      <c r="AP35" s="271">
        <f t="shared" si="38"/>
        <v>0</v>
      </c>
      <c r="AQ35" s="544"/>
      <c r="AR35" s="545"/>
      <c r="AS35" s="271">
        <f t="shared" si="39"/>
        <v>0</v>
      </c>
      <c r="AT35" s="544"/>
      <c r="AU35" s="546"/>
      <c r="AV35" s="271">
        <f>AU35-AT35</f>
        <v>0</v>
      </c>
      <c r="AW35" s="544"/>
      <c r="AX35" s="545"/>
      <c r="AY35" s="271">
        <f t="shared" si="40"/>
        <v>0</v>
      </c>
      <c r="AZ35" s="544"/>
      <c r="BA35" s="545"/>
      <c r="BB35" s="271">
        <f t="shared" si="41"/>
        <v>0</v>
      </c>
      <c r="BC35" s="544"/>
      <c r="BD35" s="545"/>
      <c r="BE35" s="271">
        <f t="shared" si="42"/>
        <v>0</v>
      </c>
      <c r="BF35" s="544"/>
      <c r="BG35" s="545"/>
      <c r="BH35" s="271">
        <f t="shared" si="43"/>
        <v>0</v>
      </c>
      <c r="BI35" s="544"/>
      <c r="BJ35" s="545"/>
      <c r="BK35" s="271">
        <f t="shared" si="44"/>
        <v>0</v>
      </c>
      <c r="BL35" s="544"/>
      <c r="BM35" s="545"/>
      <c r="BN35" s="271">
        <f t="shared" si="45"/>
        <v>0</v>
      </c>
      <c r="BO35" s="544"/>
      <c r="BP35" s="545"/>
      <c r="BQ35" s="271">
        <f t="shared" si="46"/>
        <v>0</v>
      </c>
      <c r="BR35" s="280">
        <f>'Analyza citlivosti - AgendovéIS'!N7</f>
        <v>0</v>
      </c>
    </row>
    <row r="36" spans="1:70">
      <c r="A36" s="821"/>
      <c r="B36" s="824"/>
      <c r="C36" s="24" t="s">
        <v>26</v>
      </c>
      <c r="D36" s="272"/>
      <c r="E36" s="273"/>
      <c r="F36" s="274"/>
      <c r="G36" s="546"/>
      <c r="H36" s="547"/>
      <c r="I36" s="275">
        <f t="shared" si="28"/>
        <v>0</v>
      </c>
      <c r="J36" s="546"/>
      <c r="K36" s="547"/>
      <c r="L36" s="275">
        <f t="shared" si="29"/>
        <v>0</v>
      </c>
      <c r="M36" s="546"/>
      <c r="N36" s="547"/>
      <c r="O36" s="275">
        <f t="shared" si="30"/>
        <v>0</v>
      </c>
      <c r="P36" s="546"/>
      <c r="Q36" s="547"/>
      <c r="R36" s="275">
        <f t="shared" si="31"/>
        <v>0</v>
      </c>
      <c r="S36" s="546"/>
      <c r="T36" s="547"/>
      <c r="U36" s="275">
        <f t="shared" si="32"/>
        <v>0</v>
      </c>
      <c r="V36" s="546">
        <v>24</v>
      </c>
      <c r="W36" s="547">
        <v>24</v>
      </c>
      <c r="X36" s="275">
        <f t="shared" si="33"/>
        <v>0</v>
      </c>
      <c r="Y36" s="546"/>
      <c r="Z36" s="547"/>
      <c r="AA36" s="275">
        <f t="shared" si="34"/>
        <v>0</v>
      </c>
      <c r="AB36" s="546"/>
      <c r="AC36" s="547"/>
      <c r="AD36" s="275">
        <f>AC36-AB36</f>
        <v>0</v>
      </c>
      <c r="AE36" s="546">
        <v>210</v>
      </c>
      <c r="AF36" s="547">
        <v>210</v>
      </c>
      <c r="AG36" s="275">
        <f t="shared" si="35"/>
        <v>0</v>
      </c>
      <c r="AH36" s="546">
        <v>160</v>
      </c>
      <c r="AI36" s="546">
        <v>160</v>
      </c>
      <c r="AJ36" s="275">
        <f t="shared" si="36"/>
        <v>0</v>
      </c>
      <c r="AK36" s="546"/>
      <c r="AL36" s="547"/>
      <c r="AM36" s="275">
        <f t="shared" si="37"/>
        <v>0</v>
      </c>
      <c r="AN36" s="546">
        <v>0.5625</v>
      </c>
      <c r="AO36" s="546">
        <v>0.5625</v>
      </c>
      <c r="AP36" s="275">
        <f t="shared" si="38"/>
        <v>0</v>
      </c>
      <c r="AQ36" s="546"/>
      <c r="AR36" s="547"/>
      <c r="AS36" s="275">
        <f t="shared" si="39"/>
        <v>0</v>
      </c>
      <c r="AT36" s="546"/>
      <c r="AU36" s="546"/>
      <c r="AV36" s="275">
        <f t="shared" ref="AV36:AV53" si="47">AU36-AT36</f>
        <v>0</v>
      </c>
      <c r="AW36" s="546"/>
      <c r="AX36" s="547"/>
      <c r="AY36" s="275">
        <f t="shared" si="40"/>
        <v>0</v>
      </c>
      <c r="AZ36" s="546"/>
      <c r="BA36" s="547"/>
      <c r="BB36" s="275">
        <f t="shared" si="41"/>
        <v>0</v>
      </c>
      <c r="BC36" s="546"/>
      <c r="BD36" s="547"/>
      <c r="BE36" s="275">
        <f t="shared" si="42"/>
        <v>0</v>
      </c>
      <c r="BF36" s="546"/>
      <c r="BG36" s="547"/>
      <c r="BH36" s="275">
        <f t="shared" si="43"/>
        <v>0</v>
      </c>
      <c r="BI36" s="546"/>
      <c r="BJ36" s="547"/>
      <c r="BK36" s="275">
        <f t="shared" si="44"/>
        <v>0</v>
      </c>
      <c r="BL36" s="546"/>
      <c r="BM36" s="547"/>
      <c r="BN36" s="275">
        <f t="shared" si="45"/>
        <v>0</v>
      </c>
      <c r="BO36" s="546"/>
      <c r="BP36" s="547"/>
      <c r="BQ36" s="275">
        <f t="shared" si="46"/>
        <v>0</v>
      </c>
    </row>
    <row r="37" spans="1:70">
      <c r="A37" s="821"/>
      <c r="B37" s="824"/>
      <c r="C37" s="24" t="s">
        <v>27</v>
      </c>
      <c r="D37" s="272"/>
      <c r="E37" s="273"/>
      <c r="F37" s="274"/>
      <c r="G37" s="546"/>
      <c r="H37" s="547"/>
      <c r="I37" s="275">
        <f t="shared" si="28"/>
        <v>0</v>
      </c>
      <c r="J37" s="546"/>
      <c r="K37" s="547"/>
      <c r="L37" s="275">
        <f t="shared" si="29"/>
        <v>0</v>
      </c>
      <c r="M37" s="546"/>
      <c r="N37" s="547"/>
      <c r="O37" s="275">
        <f t="shared" si="30"/>
        <v>0</v>
      </c>
      <c r="P37" s="546"/>
      <c r="Q37" s="547"/>
      <c r="R37" s="275">
        <f t="shared" si="31"/>
        <v>0</v>
      </c>
      <c r="S37" s="546"/>
      <c r="T37" s="547"/>
      <c r="U37" s="275">
        <f t="shared" si="32"/>
        <v>0</v>
      </c>
      <c r="V37" s="546">
        <v>24</v>
      </c>
      <c r="W37" s="547">
        <v>12</v>
      </c>
      <c r="X37" s="275">
        <f t="shared" si="33"/>
        <v>-12</v>
      </c>
      <c r="Y37" s="546"/>
      <c r="Z37" s="547"/>
      <c r="AA37" s="275">
        <f t="shared" si="34"/>
        <v>0</v>
      </c>
      <c r="AB37" s="546"/>
      <c r="AC37" s="547"/>
      <c r="AD37" s="275">
        <f>AC37-AB37</f>
        <v>0</v>
      </c>
      <c r="AE37" s="546">
        <v>210</v>
      </c>
      <c r="AF37" s="547">
        <v>100</v>
      </c>
      <c r="AG37" s="275">
        <f t="shared" si="35"/>
        <v>-110</v>
      </c>
      <c r="AH37" s="546">
        <v>160</v>
      </c>
      <c r="AI37" s="547">
        <v>85</v>
      </c>
      <c r="AJ37" s="275">
        <f t="shared" si="36"/>
        <v>-75</v>
      </c>
      <c r="AK37" s="546"/>
      <c r="AL37" s="547"/>
      <c r="AM37" s="275">
        <f t="shared" si="37"/>
        <v>0</v>
      </c>
      <c r="AN37" s="546">
        <v>0.5625</v>
      </c>
      <c r="AO37" s="546">
        <v>0.2</v>
      </c>
      <c r="AP37" s="275">
        <f t="shared" si="38"/>
        <v>-0.36249999999999999</v>
      </c>
      <c r="AQ37" s="546"/>
      <c r="AR37" s="547"/>
      <c r="AS37" s="275">
        <f t="shared" si="39"/>
        <v>0</v>
      </c>
      <c r="AT37" s="546"/>
      <c r="AU37" s="546"/>
      <c r="AV37" s="275">
        <f t="shared" si="47"/>
        <v>0</v>
      </c>
      <c r="AW37" s="546"/>
      <c r="AX37" s="547"/>
      <c r="AY37" s="275">
        <f t="shared" si="40"/>
        <v>0</v>
      </c>
      <c r="AZ37" s="546"/>
      <c r="BA37" s="547"/>
      <c r="BB37" s="275">
        <f t="shared" si="41"/>
        <v>0</v>
      </c>
      <c r="BC37" s="546"/>
      <c r="BD37" s="547"/>
      <c r="BE37" s="275">
        <f t="shared" si="42"/>
        <v>0</v>
      </c>
      <c r="BF37" s="546"/>
      <c r="BG37" s="547"/>
      <c r="BH37" s="275">
        <f t="shared" si="43"/>
        <v>0</v>
      </c>
      <c r="BI37" s="546"/>
      <c r="BJ37" s="547"/>
      <c r="BK37" s="275">
        <f t="shared" si="44"/>
        <v>0</v>
      </c>
      <c r="BL37" s="546"/>
      <c r="BM37" s="547"/>
      <c r="BN37" s="275">
        <f t="shared" si="45"/>
        <v>0</v>
      </c>
      <c r="BO37" s="546"/>
      <c r="BP37" s="547"/>
      <c r="BQ37" s="275">
        <f t="shared" si="46"/>
        <v>0</v>
      </c>
    </row>
    <row r="38" spans="1:70">
      <c r="A38" s="821"/>
      <c r="B38" s="824"/>
      <c r="C38" s="24" t="s">
        <v>28</v>
      </c>
      <c r="D38" s="272"/>
      <c r="E38" s="273"/>
      <c r="F38" s="274"/>
      <c r="G38" s="546"/>
      <c r="H38" s="547"/>
      <c r="I38" s="275">
        <f t="shared" si="28"/>
        <v>0</v>
      </c>
      <c r="J38" s="546"/>
      <c r="K38" s="547"/>
      <c r="L38" s="275">
        <f t="shared" si="29"/>
        <v>0</v>
      </c>
      <c r="M38" s="546"/>
      <c r="N38" s="547"/>
      <c r="O38" s="275">
        <f t="shared" si="30"/>
        <v>0</v>
      </c>
      <c r="P38" s="546"/>
      <c r="Q38" s="547"/>
      <c r="R38" s="275">
        <f t="shared" si="31"/>
        <v>0</v>
      </c>
      <c r="S38" s="546"/>
      <c r="T38" s="547"/>
      <c r="U38" s="275">
        <f t="shared" si="32"/>
        <v>0</v>
      </c>
      <c r="V38" s="546">
        <v>24</v>
      </c>
      <c r="W38" s="547">
        <v>12</v>
      </c>
      <c r="X38" s="275">
        <f t="shared" si="33"/>
        <v>-12</v>
      </c>
      <c r="Y38" s="546"/>
      <c r="Z38" s="547"/>
      <c r="AA38" s="275">
        <f t="shared" si="34"/>
        <v>0</v>
      </c>
      <c r="AB38" s="546"/>
      <c r="AC38" s="547"/>
      <c r="AD38" s="275">
        <f t="shared" ref="AD38:AD53" si="48">AC38-AB38</f>
        <v>0</v>
      </c>
      <c r="AE38" s="546">
        <v>210</v>
      </c>
      <c r="AF38" s="547">
        <v>100</v>
      </c>
      <c r="AG38" s="275">
        <f t="shared" si="35"/>
        <v>-110</v>
      </c>
      <c r="AH38" s="546">
        <v>160</v>
      </c>
      <c r="AI38" s="547">
        <v>85</v>
      </c>
      <c r="AJ38" s="275">
        <f t="shared" si="36"/>
        <v>-75</v>
      </c>
      <c r="AK38" s="546"/>
      <c r="AL38" s="547"/>
      <c r="AM38" s="275">
        <f t="shared" si="37"/>
        <v>0</v>
      </c>
      <c r="AN38" s="546">
        <v>0.5625</v>
      </c>
      <c r="AO38" s="546">
        <v>0.2</v>
      </c>
      <c r="AP38" s="275">
        <f t="shared" si="38"/>
        <v>-0.36249999999999999</v>
      </c>
      <c r="AQ38" s="546"/>
      <c r="AR38" s="547"/>
      <c r="AS38" s="275">
        <f t="shared" si="39"/>
        <v>0</v>
      </c>
      <c r="AT38" s="546"/>
      <c r="AU38" s="546"/>
      <c r="AV38" s="275">
        <f t="shared" si="47"/>
        <v>0</v>
      </c>
      <c r="AW38" s="546"/>
      <c r="AX38" s="547"/>
      <c r="AY38" s="275">
        <f t="shared" si="40"/>
        <v>0</v>
      </c>
      <c r="AZ38" s="546"/>
      <c r="BA38" s="547"/>
      <c r="BB38" s="275">
        <f t="shared" si="41"/>
        <v>0</v>
      </c>
      <c r="BC38" s="546"/>
      <c r="BD38" s="547"/>
      <c r="BE38" s="275">
        <f t="shared" si="42"/>
        <v>0</v>
      </c>
      <c r="BF38" s="546"/>
      <c r="BG38" s="547"/>
      <c r="BH38" s="275">
        <f t="shared" si="43"/>
        <v>0</v>
      </c>
      <c r="BI38" s="546"/>
      <c r="BJ38" s="547"/>
      <c r="BK38" s="275">
        <f t="shared" si="44"/>
        <v>0</v>
      </c>
      <c r="BL38" s="546"/>
      <c r="BM38" s="547"/>
      <c r="BN38" s="275">
        <f t="shared" si="45"/>
        <v>0</v>
      </c>
      <c r="BO38" s="546"/>
      <c r="BP38" s="547"/>
      <c r="BQ38" s="275">
        <f t="shared" si="46"/>
        <v>0</v>
      </c>
    </row>
    <row r="39" spans="1:70">
      <c r="A39" s="821"/>
      <c r="B39" s="824"/>
      <c r="C39" s="24" t="s">
        <v>29</v>
      </c>
      <c r="D39" s="272"/>
      <c r="E39" s="273"/>
      <c r="F39" s="274"/>
      <c r="G39" s="546"/>
      <c r="H39" s="547"/>
      <c r="I39" s="275">
        <f t="shared" si="28"/>
        <v>0</v>
      </c>
      <c r="J39" s="546"/>
      <c r="K39" s="547"/>
      <c r="L39" s="275">
        <f t="shared" si="29"/>
        <v>0</v>
      </c>
      <c r="M39" s="546"/>
      <c r="N39" s="547"/>
      <c r="O39" s="275">
        <f t="shared" si="30"/>
        <v>0</v>
      </c>
      <c r="P39" s="546"/>
      <c r="Q39" s="547"/>
      <c r="R39" s="275">
        <f t="shared" si="31"/>
        <v>0</v>
      </c>
      <c r="S39" s="546"/>
      <c r="T39" s="547"/>
      <c r="U39" s="275">
        <f t="shared" si="32"/>
        <v>0</v>
      </c>
      <c r="V39" s="546">
        <v>24</v>
      </c>
      <c r="W39" s="547">
        <v>12</v>
      </c>
      <c r="X39" s="275">
        <f t="shared" si="33"/>
        <v>-12</v>
      </c>
      <c r="Y39" s="546"/>
      <c r="Z39" s="547"/>
      <c r="AA39" s="275">
        <f t="shared" si="34"/>
        <v>0</v>
      </c>
      <c r="AB39" s="546"/>
      <c r="AC39" s="547"/>
      <c r="AD39" s="275">
        <f t="shared" si="48"/>
        <v>0</v>
      </c>
      <c r="AE39" s="546">
        <v>210</v>
      </c>
      <c r="AF39" s="547">
        <v>100</v>
      </c>
      <c r="AG39" s="275">
        <f t="shared" si="35"/>
        <v>-110</v>
      </c>
      <c r="AH39" s="546">
        <v>160</v>
      </c>
      <c r="AI39" s="547">
        <v>85</v>
      </c>
      <c r="AJ39" s="275">
        <f t="shared" si="36"/>
        <v>-75</v>
      </c>
      <c r="AK39" s="546"/>
      <c r="AL39" s="547"/>
      <c r="AM39" s="275">
        <f t="shared" si="37"/>
        <v>0</v>
      </c>
      <c r="AN39" s="546">
        <v>0.5625</v>
      </c>
      <c r="AO39" s="546">
        <v>0.2</v>
      </c>
      <c r="AP39" s="275">
        <f t="shared" si="38"/>
        <v>-0.36249999999999999</v>
      </c>
      <c r="AQ39" s="546"/>
      <c r="AR39" s="547"/>
      <c r="AS39" s="275">
        <f t="shared" si="39"/>
        <v>0</v>
      </c>
      <c r="AT39" s="546"/>
      <c r="AU39" s="546"/>
      <c r="AV39" s="275">
        <f t="shared" si="47"/>
        <v>0</v>
      </c>
      <c r="AW39" s="546"/>
      <c r="AX39" s="547"/>
      <c r="AY39" s="275">
        <f t="shared" si="40"/>
        <v>0</v>
      </c>
      <c r="AZ39" s="546"/>
      <c r="BA39" s="547"/>
      <c r="BB39" s="275">
        <f t="shared" si="41"/>
        <v>0</v>
      </c>
      <c r="BC39" s="546"/>
      <c r="BD39" s="547"/>
      <c r="BE39" s="275">
        <f t="shared" si="42"/>
        <v>0</v>
      </c>
      <c r="BF39" s="546"/>
      <c r="BG39" s="547"/>
      <c r="BH39" s="275">
        <f t="shared" si="43"/>
        <v>0</v>
      </c>
      <c r="BI39" s="546"/>
      <c r="BJ39" s="547"/>
      <c r="BK39" s="275">
        <f t="shared" si="44"/>
        <v>0</v>
      </c>
      <c r="BL39" s="546"/>
      <c r="BM39" s="547"/>
      <c r="BN39" s="275">
        <f t="shared" si="45"/>
        <v>0</v>
      </c>
      <c r="BO39" s="546"/>
      <c r="BP39" s="547"/>
      <c r="BQ39" s="275">
        <f t="shared" si="46"/>
        <v>0</v>
      </c>
    </row>
    <row r="40" spans="1:70">
      <c r="A40" s="821"/>
      <c r="B40" s="824"/>
      <c r="C40" s="24" t="s">
        <v>30</v>
      </c>
      <c r="D40" s="272"/>
      <c r="E40" s="273"/>
      <c r="F40" s="274"/>
      <c r="G40" s="546"/>
      <c r="H40" s="547"/>
      <c r="I40" s="275">
        <f t="shared" si="28"/>
        <v>0</v>
      </c>
      <c r="J40" s="546"/>
      <c r="K40" s="547"/>
      <c r="L40" s="275">
        <f t="shared" si="29"/>
        <v>0</v>
      </c>
      <c r="M40" s="546"/>
      <c r="N40" s="547"/>
      <c r="O40" s="275">
        <f t="shared" si="30"/>
        <v>0</v>
      </c>
      <c r="P40" s="546"/>
      <c r="Q40" s="547"/>
      <c r="R40" s="275">
        <f t="shared" si="31"/>
        <v>0</v>
      </c>
      <c r="S40" s="546"/>
      <c r="T40" s="547"/>
      <c r="U40" s="275">
        <f t="shared" si="32"/>
        <v>0</v>
      </c>
      <c r="V40" s="546">
        <v>24</v>
      </c>
      <c r="W40" s="547">
        <v>12</v>
      </c>
      <c r="X40" s="275">
        <f t="shared" si="33"/>
        <v>-12</v>
      </c>
      <c r="Y40" s="546"/>
      <c r="Z40" s="547"/>
      <c r="AA40" s="275">
        <f t="shared" si="34"/>
        <v>0</v>
      </c>
      <c r="AB40" s="546"/>
      <c r="AC40" s="547"/>
      <c r="AD40" s="275">
        <f t="shared" si="48"/>
        <v>0</v>
      </c>
      <c r="AE40" s="546">
        <v>210</v>
      </c>
      <c r="AF40" s="547">
        <v>100</v>
      </c>
      <c r="AG40" s="275">
        <f t="shared" si="35"/>
        <v>-110</v>
      </c>
      <c r="AH40" s="546">
        <v>160</v>
      </c>
      <c r="AI40" s="547">
        <v>85</v>
      </c>
      <c r="AJ40" s="275">
        <f t="shared" si="36"/>
        <v>-75</v>
      </c>
      <c r="AK40" s="546"/>
      <c r="AL40" s="547"/>
      <c r="AM40" s="275">
        <f t="shared" si="37"/>
        <v>0</v>
      </c>
      <c r="AN40" s="546">
        <v>0.5625</v>
      </c>
      <c r="AO40" s="546">
        <v>0.2</v>
      </c>
      <c r="AP40" s="275">
        <f t="shared" si="38"/>
        <v>-0.36249999999999999</v>
      </c>
      <c r="AQ40" s="546"/>
      <c r="AR40" s="547"/>
      <c r="AS40" s="275">
        <f t="shared" si="39"/>
        <v>0</v>
      </c>
      <c r="AT40" s="546"/>
      <c r="AU40" s="546"/>
      <c r="AV40" s="275">
        <f t="shared" si="47"/>
        <v>0</v>
      </c>
      <c r="AW40" s="546"/>
      <c r="AX40" s="547"/>
      <c r="AY40" s="275">
        <f t="shared" si="40"/>
        <v>0</v>
      </c>
      <c r="AZ40" s="546"/>
      <c r="BA40" s="547"/>
      <c r="BB40" s="275">
        <f t="shared" si="41"/>
        <v>0</v>
      </c>
      <c r="BC40" s="546"/>
      <c r="BD40" s="547"/>
      <c r="BE40" s="275">
        <f t="shared" si="42"/>
        <v>0</v>
      </c>
      <c r="BF40" s="546"/>
      <c r="BG40" s="547"/>
      <c r="BH40" s="275">
        <f t="shared" si="43"/>
        <v>0</v>
      </c>
      <c r="BI40" s="546"/>
      <c r="BJ40" s="547"/>
      <c r="BK40" s="275">
        <f t="shared" si="44"/>
        <v>0</v>
      </c>
      <c r="BL40" s="546"/>
      <c r="BM40" s="547"/>
      <c r="BN40" s="275">
        <f t="shared" si="45"/>
        <v>0</v>
      </c>
      <c r="BO40" s="546"/>
      <c r="BP40" s="547"/>
      <c r="BQ40" s="275">
        <f t="shared" si="46"/>
        <v>0</v>
      </c>
    </row>
    <row r="41" spans="1:70">
      <c r="A41" s="821"/>
      <c r="B41" s="824"/>
      <c r="C41" s="24" t="s">
        <v>31</v>
      </c>
      <c r="D41" s="272"/>
      <c r="E41" s="273"/>
      <c r="F41" s="274"/>
      <c r="G41" s="546"/>
      <c r="H41" s="547"/>
      <c r="I41" s="275">
        <f t="shared" si="28"/>
        <v>0</v>
      </c>
      <c r="J41" s="546"/>
      <c r="K41" s="547"/>
      <c r="L41" s="275">
        <f t="shared" si="29"/>
        <v>0</v>
      </c>
      <c r="M41" s="546"/>
      <c r="N41" s="547"/>
      <c r="O41" s="275">
        <f t="shared" si="30"/>
        <v>0</v>
      </c>
      <c r="P41" s="546"/>
      <c r="Q41" s="547"/>
      <c r="R41" s="275">
        <f t="shared" si="31"/>
        <v>0</v>
      </c>
      <c r="S41" s="546"/>
      <c r="T41" s="547"/>
      <c r="U41" s="275">
        <f t="shared" si="32"/>
        <v>0</v>
      </c>
      <c r="V41" s="546">
        <v>24</v>
      </c>
      <c r="W41" s="547">
        <v>12</v>
      </c>
      <c r="X41" s="275">
        <f t="shared" si="33"/>
        <v>-12</v>
      </c>
      <c r="Y41" s="546"/>
      <c r="Z41" s="547"/>
      <c r="AA41" s="275">
        <f t="shared" si="34"/>
        <v>0</v>
      </c>
      <c r="AB41" s="546"/>
      <c r="AC41" s="547"/>
      <c r="AD41" s="275">
        <f t="shared" si="48"/>
        <v>0</v>
      </c>
      <c r="AE41" s="546">
        <v>210</v>
      </c>
      <c r="AF41" s="547">
        <v>100</v>
      </c>
      <c r="AG41" s="275">
        <f t="shared" si="35"/>
        <v>-110</v>
      </c>
      <c r="AH41" s="546">
        <v>160</v>
      </c>
      <c r="AI41" s="547">
        <v>85</v>
      </c>
      <c r="AJ41" s="275">
        <f t="shared" si="36"/>
        <v>-75</v>
      </c>
      <c r="AK41" s="546"/>
      <c r="AL41" s="547"/>
      <c r="AM41" s="275">
        <f t="shared" si="37"/>
        <v>0</v>
      </c>
      <c r="AN41" s="546">
        <v>0.5625</v>
      </c>
      <c r="AO41" s="546">
        <v>0.2</v>
      </c>
      <c r="AP41" s="275">
        <f t="shared" si="38"/>
        <v>-0.36249999999999999</v>
      </c>
      <c r="AQ41" s="546"/>
      <c r="AR41" s="547"/>
      <c r="AS41" s="275">
        <f t="shared" si="39"/>
        <v>0</v>
      </c>
      <c r="AT41" s="546"/>
      <c r="AU41" s="546"/>
      <c r="AV41" s="275">
        <f t="shared" si="47"/>
        <v>0</v>
      </c>
      <c r="AW41" s="546"/>
      <c r="AX41" s="547"/>
      <c r="AY41" s="275">
        <f t="shared" si="40"/>
        <v>0</v>
      </c>
      <c r="AZ41" s="546"/>
      <c r="BA41" s="547"/>
      <c r="BB41" s="275">
        <f t="shared" si="41"/>
        <v>0</v>
      </c>
      <c r="BC41" s="546"/>
      <c r="BD41" s="547"/>
      <c r="BE41" s="275">
        <f t="shared" si="42"/>
        <v>0</v>
      </c>
      <c r="BF41" s="546"/>
      <c r="BG41" s="547"/>
      <c r="BH41" s="275">
        <f t="shared" si="43"/>
        <v>0</v>
      </c>
      <c r="BI41" s="546"/>
      <c r="BJ41" s="547"/>
      <c r="BK41" s="275">
        <f t="shared" si="44"/>
        <v>0</v>
      </c>
      <c r="BL41" s="546"/>
      <c r="BM41" s="547"/>
      <c r="BN41" s="275">
        <f t="shared" si="45"/>
        <v>0</v>
      </c>
      <c r="BO41" s="546"/>
      <c r="BP41" s="547"/>
      <c r="BQ41" s="275">
        <f t="shared" si="46"/>
        <v>0</v>
      </c>
    </row>
    <row r="42" spans="1:70">
      <c r="A42" s="821"/>
      <c r="B42" s="824"/>
      <c r="C42" s="24" t="s">
        <v>32</v>
      </c>
      <c r="D42" s="272"/>
      <c r="E42" s="273"/>
      <c r="F42" s="274"/>
      <c r="G42" s="546"/>
      <c r="H42" s="547"/>
      <c r="I42" s="275">
        <f t="shared" si="28"/>
        <v>0</v>
      </c>
      <c r="J42" s="546"/>
      <c r="K42" s="547"/>
      <c r="L42" s="275">
        <f t="shared" si="29"/>
        <v>0</v>
      </c>
      <c r="M42" s="546"/>
      <c r="N42" s="547"/>
      <c r="O42" s="275">
        <f t="shared" si="30"/>
        <v>0</v>
      </c>
      <c r="P42" s="546"/>
      <c r="Q42" s="547"/>
      <c r="R42" s="275">
        <f t="shared" si="31"/>
        <v>0</v>
      </c>
      <c r="S42" s="546"/>
      <c r="T42" s="547"/>
      <c r="U42" s="275">
        <f t="shared" si="32"/>
        <v>0</v>
      </c>
      <c r="V42" s="546">
        <v>24</v>
      </c>
      <c r="W42" s="547">
        <v>12</v>
      </c>
      <c r="X42" s="275">
        <f t="shared" si="33"/>
        <v>-12</v>
      </c>
      <c r="Y42" s="546"/>
      <c r="Z42" s="547"/>
      <c r="AA42" s="275">
        <f t="shared" si="34"/>
        <v>0</v>
      </c>
      <c r="AB42" s="546"/>
      <c r="AC42" s="547"/>
      <c r="AD42" s="275">
        <f t="shared" si="48"/>
        <v>0</v>
      </c>
      <c r="AE42" s="546">
        <v>210</v>
      </c>
      <c r="AF42" s="547">
        <v>100</v>
      </c>
      <c r="AG42" s="275">
        <f t="shared" si="35"/>
        <v>-110</v>
      </c>
      <c r="AH42" s="546">
        <v>160</v>
      </c>
      <c r="AI42" s="547">
        <v>85</v>
      </c>
      <c r="AJ42" s="275">
        <f t="shared" si="36"/>
        <v>-75</v>
      </c>
      <c r="AK42" s="546"/>
      <c r="AL42" s="547"/>
      <c r="AM42" s="275">
        <f t="shared" si="37"/>
        <v>0</v>
      </c>
      <c r="AN42" s="546">
        <v>0.5625</v>
      </c>
      <c r="AO42" s="546">
        <v>0.2</v>
      </c>
      <c r="AP42" s="275">
        <f t="shared" si="38"/>
        <v>-0.36249999999999999</v>
      </c>
      <c r="AQ42" s="546"/>
      <c r="AR42" s="547"/>
      <c r="AS42" s="275">
        <f t="shared" si="39"/>
        <v>0</v>
      </c>
      <c r="AT42" s="546"/>
      <c r="AU42" s="546"/>
      <c r="AV42" s="275">
        <f t="shared" si="47"/>
        <v>0</v>
      </c>
      <c r="AW42" s="546"/>
      <c r="AX42" s="547"/>
      <c r="AY42" s="275">
        <f t="shared" si="40"/>
        <v>0</v>
      </c>
      <c r="AZ42" s="546"/>
      <c r="BA42" s="547"/>
      <c r="BB42" s="275">
        <f t="shared" si="41"/>
        <v>0</v>
      </c>
      <c r="BC42" s="546"/>
      <c r="BD42" s="547"/>
      <c r="BE42" s="275">
        <f t="shared" si="42"/>
        <v>0</v>
      </c>
      <c r="BF42" s="546"/>
      <c r="BG42" s="547"/>
      <c r="BH42" s="275">
        <f t="shared" si="43"/>
        <v>0</v>
      </c>
      <c r="BI42" s="546"/>
      <c r="BJ42" s="547"/>
      <c r="BK42" s="275">
        <f t="shared" si="44"/>
        <v>0</v>
      </c>
      <c r="BL42" s="546"/>
      <c r="BM42" s="547"/>
      <c r="BN42" s="275">
        <f t="shared" si="45"/>
        <v>0</v>
      </c>
      <c r="BO42" s="546"/>
      <c r="BP42" s="547"/>
      <c r="BQ42" s="275">
        <f t="shared" si="46"/>
        <v>0</v>
      </c>
    </row>
    <row r="43" spans="1:70">
      <c r="A43" s="821"/>
      <c r="B43" s="824"/>
      <c r="C43" s="24" t="s">
        <v>33</v>
      </c>
      <c r="D43" s="272"/>
      <c r="E43" s="273"/>
      <c r="F43" s="274"/>
      <c r="G43" s="546"/>
      <c r="H43" s="547"/>
      <c r="I43" s="275">
        <f t="shared" si="28"/>
        <v>0</v>
      </c>
      <c r="J43" s="546"/>
      <c r="K43" s="547"/>
      <c r="L43" s="275">
        <f t="shared" si="29"/>
        <v>0</v>
      </c>
      <c r="M43" s="546"/>
      <c r="N43" s="547"/>
      <c r="O43" s="275">
        <f t="shared" si="30"/>
        <v>0</v>
      </c>
      <c r="P43" s="546"/>
      <c r="Q43" s="547"/>
      <c r="R43" s="275">
        <f t="shared" si="31"/>
        <v>0</v>
      </c>
      <c r="S43" s="546"/>
      <c r="T43" s="547"/>
      <c r="U43" s="275">
        <f t="shared" si="32"/>
        <v>0</v>
      </c>
      <c r="V43" s="546">
        <v>24</v>
      </c>
      <c r="W43" s="547">
        <v>12</v>
      </c>
      <c r="X43" s="275">
        <f t="shared" si="33"/>
        <v>-12</v>
      </c>
      <c r="Y43" s="546"/>
      <c r="Z43" s="547"/>
      <c r="AA43" s="275">
        <f t="shared" si="34"/>
        <v>0</v>
      </c>
      <c r="AB43" s="546"/>
      <c r="AC43" s="547"/>
      <c r="AD43" s="275">
        <f t="shared" si="48"/>
        <v>0</v>
      </c>
      <c r="AE43" s="546">
        <v>210</v>
      </c>
      <c r="AF43" s="547">
        <v>100</v>
      </c>
      <c r="AG43" s="275">
        <f t="shared" si="35"/>
        <v>-110</v>
      </c>
      <c r="AH43" s="546">
        <v>160</v>
      </c>
      <c r="AI43" s="547">
        <v>85</v>
      </c>
      <c r="AJ43" s="275">
        <f t="shared" si="36"/>
        <v>-75</v>
      </c>
      <c r="AK43" s="546"/>
      <c r="AL43" s="547"/>
      <c r="AM43" s="275">
        <f t="shared" si="37"/>
        <v>0</v>
      </c>
      <c r="AN43" s="546">
        <v>0.5625</v>
      </c>
      <c r="AO43" s="546">
        <v>0.2</v>
      </c>
      <c r="AP43" s="275">
        <f t="shared" si="38"/>
        <v>-0.36249999999999999</v>
      </c>
      <c r="AQ43" s="546"/>
      <c r="AR43" s="547"/>
      <c r="AS43" s="275">
        <f t="shared" si="39"/>
        <v>0</v>
      </c>
      <c r="AT43" s="546"/>
      <c r="AU43" s="546"/>
      <c r="AV43" s="275">
        <f t="shared" si="47"/>
        <v>0</v>
      </c>
      <c r="AW43" s="546"/>
      <c r="AX43" s="547"/>
      <c r="AY43" s="275">
        <f t="shared" si="40"/>
        <v>0</v>
      </c>
      <c r="AZ43" s="546"/>
      <c r="BA43" s="547"/>
      <c r="BB43" s="275">
        <f t="shared" si="41"/>
        <v>0</v>
      </c>
      <c r="BC43" s="546"/>
      <c r="BD43" s="547"/>
      <c r="BE43" s="275">
        <f t="shared" si="42"/>
        <v>0</v>
      </c>
      <c r="BF43" s="546"/>
      <c r="BG43" s="547"/>
      <c r="BH43" s="275">
        <f t="shared" si="43"/>
        <v>0</v>
      </c>
      <c r="BI43" s="546"/>
      <c r="BJ43" s="547"/>
      <c r="BK43" s="275">
        <f t="shared" si="44"/>
        <v>0</v>
      </c>
      <c r="BL43" s="546"/>
      <c r="BM43" s="547"/>
      <c r="BN43" s="275">
        <f t="shared" si="45"/>
        <v>0</v>
      </c>
      <c r="BO43" s="546"/>
      <c r="BP43" s="547"/>
      <c r="BQ43" s="275">
        <f t="shared" si="46"/>
        <v>0</v>
      </c>
    </row>
    <row r="44" spans="1:70" ht="15.75" thickBot="1">
      <c r="A44" s="822"/>
      <c r="B44" s="825"/>
      <c r="C44" s="263" t="s">
        <v>34</v>
      </c>
      <c r="D44" s="276"/>
      <c r="E44" s="277"/>
      <c r="F44" s="278"/>
      <c r="G44" s="548"/>
      <c r="H44" s="549"/>
      <c r="I44" s="279">
        <f>H44-G44</f>
        <v>0</v>
      </c>
      <c r="J44" s="548"/>
      <c r="K44" s="549"/>
      <c r="L44" s="279">
        <f>K44-J44</f>
        <v>0</v>
      </c>
      <c r="M44" s="548"/>
      <c r="N44" s="549"/>
      <c r="O44" s="279">
        <f>N44-M44</f>
        <v>0</v>
      </c>
      <c r="P44" s="548"/>
      <c r="Q44" s="549"/>
      <c r="R44" s="279">
        <f>Q44-P44</f>
        <v>0</v>
      </c>
      <c r="S44" s="548"/>
      <c r="T44" s="549"/>
      <c r="U44" s="279">
        <f>T44-S44</f>
        <v>0</v>
      </c>
      <c r="V44" s="548">
        <v>24</v>
      </c>
      <c r="W44" s="547">
        <v>12</v>
      </c>
      <c r="X44" s="279">
        <f>W44-V44</f>
        <v>-12</v>
      </c>
      <c r="Y44" s="548"/>
      <c r="Z44" s="549"/>
      <c r="AA44" s="279">
        <f>Z44-Y44</f>
        <v>0</v>
      </c>
      <c r="AB44" s="546"/>
      <c r="AC44" s="549"/>
      <c r="AD44" s="279">
        <f t="shared" si="48"/>
        <v>0</v>
      </c>
      <c r="AE44" s="546">
        <v>210</v>
      </c>
      <c r="AF44" s="547">
        <v>100</v>
      </c>
      <c r="AG44" s="279">
        <f>AF44-AE44</f>
        <v>-110</v>
      </c>
      <c r="AH44" s="548">
        <v>160</v>
      </c>
      <c r="AI44" s="547">
        <v>85</v>
      </c>
      <c r="AJ44" s="279">
        <f>AI44-AH44</f>
        <v>-75</v>
      </c>
      <c r="AK44" s="548"/>
      <c r="AL44" s="549"/>
      <c r="AM44" s="279">
        <f>AL44-AK44</f>
        <v>0</v>
      </c>
      <c r="AN44" s="546">
        <v>0.5625</v>
      </c>
      <c r="AO44" s="546">
        <v>0.2</v>
      </c>
      <c r="AP44" s="279">
        <f>AO44-AN44</f>
        <v>-0.36249999999999999</v>
      </c>
      <c r="AQ44" s="548"/>
      <c r="AR44" s="549"/>
      <c r="AS44" s="279">
        <f>AR44-AQ44</f>
        <v>0</v>
      </c>
      <c r="AT44" s="546"/>
      <c r="AU44" s="546"/>
      <c r="AV44" s="279">
        <f t="shared" si="47"/>
        <v>0</v>
      </c>
      <c r="AW44" s="548"/>
      <c r="AX44" s="549"/>
      <c r="AY44" s="279">
        <f>AX44-AW44</f>
        <v>0</v>
      </c>
      <c r="AZ44" s="548"/>
      <c r="BA44" s="549"/>
      <c r="BB44" s="279">
        <f>BA44-AZ44</f>
        <v>0</v>
      </c>
      <c r="BC44" s="548"/>
      <c r="BD44" s="549"/>
      <c r="BE44" s="279">
        <f>BD44-BC44</f>
        <v>0</v>
      </c>
      <c r="BF44" s="548"/>
      <c r="BG44" s="549"/>
      <c r="BH44" s="279">
        <f>BG44-BF44</f>
        <v>0</v>
      </c>
      <c r="BI44" s="548"/>
      <c r="BJ44" s="549"/>
      <c r="BK44" s="279">
        <f>BJ44-BI44</f>
        <v>0</v>
      </c>
      <c r="BL44" s="548"/>
      <c r="BM44" s="549"/>
      <c r="BN44" s="279">
        <f>BM44-BL44</f>
        <v>0</v>
      </c>
      <c r="BO44" s="548"/>
      <c r="BP44" s="549"/>
      <c r="BQ44" s="279">
        <f>BP44-BO44</f>
        <v>0</v>
      </c>
    </row>
    <row r="45" spans="1:70" s="281" customFormat="1" ht="14.45" customHeight="1">
      <c r="A45" s="820" t="s">
        <v>151</v>
      </c>
      <c r="B45" s="823" t="s">
        <v>38</v>
      </c>
      <c r="C45" s="251" t="s">
        <v>25</v>
      </c>
      <c r="D45" s="444">
        <f t="shared" ref="D45" si="49">SUM(G45,J45,M45,P45,S45,V45,Y45,AB45,AE45,AH45,AK45,AN45,AQ45,AT45,AW45,AZ45,AZ45,BC45,BF45,BI45,BL45,BO45)</f>
        <v>0</v>
      </c>
      <c r="E45" s="445">
        <f t="shared" ref="E45:E64" si="50">SUM(H45,K45,N45,Q45,T45,W45,Z45,AC45,AF45,AI45,AL45,AO45,AR45,AU45,AX45,BA45,BA45,BD45,BG45,BJ45,BM45,BP45)</f>
        <v>0</v>
      </c>
      <c r="F45" s="270">
        <f>D45-E45</f>
        <v>0</v>
      </c>
      <c r="G45" s="544"/>
      <c r="H45" s="545"/>
      <c r="I45" s="271">
        <f t="shared" ref="I45:I53" si="51">H45-G45</f>
        <v>0</v>
      </c>
      <c r="J45" s="544"/>
      <c r="K45" s="545"/>
      <c r="L45" s="271">
        <f t="shared" ref="L45:L53" si="52">K45-J45</f>
        <v>0</v>
      </c>
      <c r="M45" s="544"/>
      <c r="N45" s="545"/>
      <c r="O45" s="271">
        <f t="shared" ref="O45:O53" si="53">N45-M45</f>
        <v>0</v>
      </c>
      <c r="P45" s="544"/>
      <c r="Q45" s="545"/>
      <c r="R45" s="271">
        <f t="shared" ref="R45:R53" si="54">Q45-P45</f>
        <v>0</v>
      </c>
      <c r="S45" s="544"/>
      <c r="T45" s="545"/>
      <c r="U45" s="271">
        <f t="shared" ref="U45:U53" si="55">T45-S45</f>
        <v>0</v>
      </c>
      <c r="V45" s="544">
        <v>0</v>
      </c>
      <c r="W45" s="545">
        <v>0</v>
      </c>
      <c r="X45" s="271">
        <f t="shared" ref="X45:X53" si="56">W45-V45</f>
        <v>0</v>
      </c>
      <c r="Y45" s="544"/>
      <c r="Z45" s="545"/>
      <c r="AA45" s="271">
        <f t="shared" ref="AA45:AA53" si="57">Z45-Y45</f>
        <v>0</v>
      </c>
      <c r="AB45" s="544"/>
      <c r="AC45" s="545"/>
      <c r="AD45" s="271">
        <f t="shared" si="48"/>
        <v>0</v>
      </c>
      <c r="AE45" s="544"/>
      <c r="AF45" s="545"/>
      <c r="AG45" s="271">
        <f t="shared" ref="AG45:AG53" si="58">AF45-AE45</f>
        <v>0</v>
      </c>
      <c r="AH45" s="544"/>
      <c r="AI45" s="545"/>
      <c r="AJ45" s="271">
        <f t="shared" ref="AJ45:AJ53" si="59">AI45-AH45</f>
        <v>0</v>
      </c>
      <c r="AK45" s="544">
        <v>0</v>
      </c>
      <c r="AL45" s="545">
        <v>0</v>
      </c>
      <c r="AM45" s="271">
        <f t="shared" ref="AM45:AM53" si="60">AL45-AK45</f>
        <v>0</v>
      </c>
      <c r="AN45" s="544"/>
      <c r="AO45" s="545"/>
      <c r="AP45" s="271">
        <f t="shared" ref="AP45:AP53" si="61">AO45-AN45</f>
        <v>0</v>
      </c>
      <c r="AQ45" s="544"/>
      <c r="AR45" s="545"/>
      <c r="AS45" s="271">
        <f t="shared" ref="AS45:AS53" si="62">AR45-AQ45</f>
        <v>0</v>
      </c>
      <c r="AT45" s="544"/>
      <c r="AU45" s="545"/>
      <c r="AV45" s="271">
        <f t="shared" si="47"/>
        <v>0</v>
      </c>
      <c r="AW45" s="544"/>
      <c r="AX45" s="545"/>
      <c r="AY45" s="271">
        <f t="shared" ref="AY45:AY53" si="63">AX45-AW45</f>
        <v>0</v>
      </c>
      <c r="AZ45" s="544">
        <v>0</v>
      </c>
      <c r="BA45" s="545">
        <v>0</v>
      </c>
      <c r="BB45" s="271">
        <f t="shared" ref="BB45:BB53" si="64">BA45-AZ45</f>
        <v>0</v>
      </c>
      <c r="BC45" s="544"/>
      <c r="BD45" s="545"/>
      <c r="BE45" s="271">
        <f t="shared" ref="BE45:BE53" si="65">BD45-BC45</f>
        <v>0</v>
      </c>
      <c r="BF45" s="544"/>
      <c r="BG45" s="545"/>
      <c r="BH45" s="271">
        <f t="shared" ref="BH45:BH53" si="66">BG45-BF45</f>
        <v>0</v>
      </c>
      <c r="BI45" s="544"/>
      <c r="BJ45" s="545"/>
      <c r="BK45" s="271">
        <f t="shared" ref="BK45:BK53" si="67">BJ45-BI45</f>
        <v>0</v>
      </c>
      <c r="BL45" s="544"/>
      <c r="BM45" s="545"/>
      <c r="BN45" s="271">
        <f t="shared" ref="BN45:BN53" si="68">BM45-BL45</f>
        <v>0</v>
      </c>
      <c r="BO45" s="544">
        <v>0</v>
      </c>
      <c r="BP45" s="545">
        <v>0</v>
      </c>
      <c r="BQ45" s="271">
        <f t="shared" si="46"/>
        <v>0</v>
      </c>
      <c r="BR45" s="280">
        <f>'Analyza citlivosti - AgendovéIS'!Q7</f>
        <v>0</v>
      </c>
    </row>
    <row r="46" spans="1:70">
      <c r="A46" s="821"/>
      <c r="B46" s="824"/>
      <c r="C46" s="24" t="s">
        <v>26</v>
      </c>
      <c r="D46" s="446">
        <f t="shared" ref="D46:D61" si="69">SUM(G46,J46,M46,P46,S46,V46,Y46,AB46,AE46,AH46,AK46,AN46,AQ46,AT46,AW46,AZ46,AZ46,BC46,BF46,BI46,BL46,BO46)</f>
        <v>0</v>
      </c>
      <c r="E46" s="447">
        <f t="shared" si="50"/>
        <v>0</v>
      </c>
      <c r="F46" s="274">
        <f t="shared" ref="F46:F54" si="70">D46-E46</f>
        <v>0</v>
      </c>
      <c r="G46" s="546"/>
      <c r="H46" s="547"/>
      <c r="I46" s="275">
        <f t="shared" si="51"/>
        <v>0</v>
      </c>
      <c r="J46" s="546"/>
      <c r="K46" s="547"/>
      <c r="L46" s="275">
        <f t="shared" si="52"/>
        <v>0</v>
      </c>
      <c r="M46" s="546"/>
      <c r="N46" s="547"/>
      <c r="O46" s="275">
        <f t="shared" si="53"/>
        <v>0</v>
      </c>
      <c r="P46" s="546"/>
      <c r="Q46" s="547"/>
      <c r="R46" s="275">
        <f t="shared" si="54"/>
        <v>0</v>
      </c>
      <c r="S46" s="546"/>
      <c r="T46" s="547"/>
      <c r="U46" s="275">
        <f t="shared" si="55"/>
        <v>0</v>
      </c>
      <c r="V46" s="546">
        <v>0</v>
      </c>
      <c r="W46" s="547">
        <v>0</v>
      </c>
      <c r="X46" s="275">
        <f t="shared" si="56"/>
        <v>0</v>
      </c>
      <c r="Y46" s="546"/>
      <c r="Z46" s="547"/>
      <c r="AA46" s="275">
        <f t="shared" si="57"/>
        <v>0</v>
      </c>
      <c r="AB46" s="546"/>
      <c r="AC46" s="547"/>
      <c r="AD46" s="275">
        <f t="shared" si="48"/>
        <v>0</v>
      </c>
      <c r="AE46" s="546"/>
      <c r="AF46" s="547"/>
      <c r="AG46" s="275">
        <f t="shared" si="58"/>
        <v>0</v>
      </c>
      <c r="AH46" s="546"/>
      <c r="AI46" s="547"/>
      <c r="AJ46" s="275">
        <f t="shared" si="59"/>
        <v>0</v>
      </c>
      <c r="AK46" s="546">
        <v>0</v>
      </c>
      <c r="AL46" s="547">
        <v>0</v>
      </c>
      <c r="AM46" s="275">
        <f t="shared" si="60"/>
        <v>0</v>
      </c>
      <c r="AN46" s="546"/>
      <c r="AO46" s="547"/>
      <c r="AP46" s="275">
        <f t="shared" si="61"/>
        <v>0</v>
      </c>
      <c r="AQ46" s="546"/>
      <c r="AR46" s="547"/>
      <c r="AS46" s="275">
        <f t="shared" si="62"/>
        <v>0</v>
      </c>
      <c r="AT46" s="546"/>
      <c r="AU46" s="547"/>
      <c r="AV46" s="275">
        <f t="shared" si="47"/>
        <v>0</v>
      </c>
      <c r="AW46" s="546"/>
      <c r="AX46" s="547"/>
      <c r="AY46" s="275">
        <f t="shared" si="63"/>
        <v>0</v>
      </c>
      <c r="AZ46" s="546">
        <v>0</v>
      </c>
      <c r="BA46" s="547">
        <v>0</v>
      </c>
      <c r="BB46" s="275">
        <f t="shared" si="64"/>
        <v>0</v>
      </c>
      <c r="BC46" s="546"/>
      <c r="BD46" s="547"/>
      <c r="BE46" s="275">
        <f t="shared" si="65"/>
        <v>0</v>
      </c>
      <c r="BF46" s="546"/>
      <c r="BG46" s="547"/>
      <c r="BH46" s="275">
        <f t="shared" si="66"/>
        <v>0</v>
      </c>
      <c r="BI46" s="546"/>
      <c r="BJ46" s="547"/>
      <c r="BK46" s="275">
        <f t="shared" si="67"/>
        <v>0</v>
      </c>
      <c r="BL46" s="546"/>
      <c r="BM46" s="547"/>
      <c r="BN46" s="275">
        <f t="shared" si="68"/>
        <v>0</v>
      </c>
      <c r="BO46" s="546">
        <v>0</v>
      </c>
      <c r="BP46" s="547">
        <v>0</v>
      </c>
      <c r="BQ46" s="275">
        <f t="shared" si="46"/>
        <v>0</v>
      </c>
    </row>
    <row r="47" spans="1:70">
      <c r="A47" s="821"/>
      <c r="B47" s="824"/>
      <c r="C47" s="24" t="s">
        <v>27</v>
      </c>
      <c r="D47" s="446">
        <f t="shared" si="69"/>
        <v>0</v>
      </c>
      <c r="E47" s="447">
        <f t="shared" si="50"/>
        <v>0</v>
      </c>
      <c r="F47" s="274">
        <f t="shared" si="70"/>
        <v>0</v>
      </c>
      <c r="G47" s="546"/>
      <c r="H47" s="547"/>
      <c r="I47" s="275">
        <f t="shared" si="51"/>
        <v>0</v>
      </c>
      <c r="J47" s="546"/>
      <c r="K47" s="547"/>
      <c r="L47" s="275">
        <f t="shared" si="52"/>
        <v>0</v>
      </c>
      <c r="M47" s="546"/>
      <c r="N47" s="547"/>
      <c r="O47" s="275">
        <f t="shared" si="53"/>
        <v>0</v>
      </c>
      <c r="P47" s="546"/>
      <c r="Q47" s="547"/>
      <c r="R47" s="275">
        <f t="shared" si="54"/>
        <v>0</v>
      </c>
      <c r="S47" s="546"/>
      <c r="T47" s="547"/>
      <c r="U47" s="275">
        <f t="shared" si="55"/>
        <v>0</v>
      </c>
      <c r="V47" s="546">
        <v>0</v>
      </c>
      <c r="W47" s="547">
        <v>0</v>
      </c>
      <c r="X47" s="275">
        <f t="shared" si="56"/>
        <v>0</v>
      </c>
      <c r="Y47" s="546"/>
      <c r="Z47" s="547"/>
      <c r="AA47" s="275">
        <f t="shared" si="57"/>
        <v>0</v>
      </c>
      <c r="AB47" s="546"/>
      <c r="AC47" s="547"/>
      <c r="AD47" s="275">
        <f t="shared" si="48"/>
        <v>0</v>
      </c>
      <c r="AE47" s="546"/>
      <c r="AF47" s="547"/>
      <c r="AG47" s="275">
        <f t="shared" si="58"/>
        <v>0</v>
      </c>
      <c r="AH47" s="546"/>
      <c r="AI47" s="547"/>
      <c r="AJ47" s="275">
        <f t="shared" si="59"/>
        <v>0</v>
      </c>
      <c r="AK47" s="546">
        <v>0</v>
      </c>
      <c r="AL47" s="547">
        <v>0</v>
      </c>
      <c r="AM47" s="275">
        <f t="shared" si="60"/>
        <v>0</v>
      </c>
      <c r="AN47" s="546"/>
      <c r="AO47" s="547"/>
      <c r="AP47" s="275">
        <f t="shared" si="61"/>
        <v>0</v>
      </c>
      <c r="AQ47" s="546"/>
      <c r="AR47" s="547"/>
      <c r="AS47" s="275">
        <f t="shared" si="62"/>
        <v>0</v>
      </c>
      <c r="AT47" s="546"/>
      <c r="AU47" s="547"/>
      <c r="AV47" s="275">
        <f t="shared" si="47"/>
        <v>0</v>
      </c>
      <c r="AW47" s="546"/>
      <c r="AX47" s="547"/>
      <c r="AY47" s="275">
        <f t="shared" si="63"/>
        <v>0</v>
      </c>
      <c r="AZ47" s="546">
        <v>0</v>
      </c>
      <c r="BA47" s="547">
        <v>0</v>
      </c>
      <c r="BB47" s="275">
        <f t="shared" si="64"/>
        <v>0</v>
      </c>
      <c r="BC47" s="546"/>
      <c r="BD47" s="547"/>
      <c r="BE47" s="275">
        <f t="shared" si="65"/>
        <v>0</v>
      </c>
      <c r="BF47" s="546"/>
      <c r="BG47" s="547"/>
      <c r="BH47" s="275">
        <f t="shared" si="66"/>
        <v>0</v>
      </c>
      <c r="BI47" s="546"/>
      <c r="BJ47" s="547"/>
      <c r="BK47" s="275">
        <f t="shared" si="67"/>
        <v>0</v>
      </c>
      <c r="BL47" s="546"/>
      <c r="BM47" s="547"/>
      <c r="BN47" s="275">
        <f t="shared" si="68"/>
        <v>0</v>
      </c>
      <c r="BO47" s="546">
        <v>0</v>
      </c>
      <c r="BP47" s="547">
        <v>0</v>
      </c>
      <c r="BQ47" s="275">
        <f t="shared" si="46"/>
        <v>0</v>
      </c>
    </row>
    <row r="48" spans="1:70">
      <c r="A48" s="821"/>
      <c r="B48" s="824"/>
      <c r="C48" s="24" t="s">
        <v>28</v>
      </c>
      <c r="D48" s="446">
        <f t="shared" si="69"/>
        <v>0</v>
      </c>
      <c r="E48" s="447">
        <f t="shared" si="50"/>
        <v>0</v>
      </c>
      <c r="F48" s="274">
        <f t="shared" si="70"/>
        <v>0</v>
      </c>
      <c r="G48" s="546"/>
      <c r="H48" s="547"/>
      <c r="I48" s="275">
        <f t="shared" si="51"/>
        <v>0</v>
      </c>
      <c r="J48" s="546"/>
      <c r="K48" s="547"/>
      <c r="L48" s="275">
        <f t="shared" si="52"/>
        <v>0</v>
      </c>
      <c r="M48" s="546"/>
      <c r="N48" s="547"/>
      <c r="O48" s="275">
        <f t="shared" si="53"/>
        <v>0</v>
      </c>
      <c r="P48" s="546"/>
      <c r="Q48" s="547"/>
      <c r="R48" s="275">
        <f t="shared" si="54"/>
        <v>0</v>
      </c>
      <c r="S48" s="546"/>
      <c r="T48" s="547"/>
      <c r="U48" s="275">
        <f t="shared" si="55"/>
        <v>0</v>
      </c>
      <c r="V48" s="546">
        <v>0</v>
      </c>
      <c r="W48" s="547">
        <v>0</v>
      </c>
      <c r="X48" s="275">
        <f t="shared" si="56"/>
        <v>0</v>
      </c>
      <c r="Y48" s="546"/>
      <c r="Z48" s="547"/>
      <c r="AA48" s="275">
        <f t="shared" si="57"/>
        <v>0</v>
      </c>
      <c r="AB48" s="546"/>
      <c r="AC48" s="547"/>
      <c r="AD48" s="275">
        <f t="shared" si="48"/>
        <v>0</v>
      </c>
      <c r="AE48" s="546"/>
      <c r="AF48" s="547"/>
      <c r="AG48" s="275">
        <f t="shared" si="58"/>
        <v>0</v>
      </c>
      <c r="AH48" s="546"/>
      <c r="AI48" s="547"/>
      <c r="AJ48" s="275">
        <f t="shared" si="59"/>
        <v>0</v>
      </c>
      <c r="AK48" s="546">
        <v>0</v>
      </c>
      <c r="AL48" s="547">
        <v>0</v>
      </c>
      <c r="AM48" s="275">
        <f t="shared" si="60"/>
        <v>0</v>
      </c>
      <c r="AN48" s="546"/>
      <c r="AO48" s="547"/>
      <c r="AP48" s="275">
        <f t="shared" si="61"/>
        <v>0</v>
      </c>
      <c r="AQ48" s="546"/>
      <c r="AR48" s="547"/>
      <c r="AS48" s="275">
        <f t="shared" si="62"/>
        <v>0</v>
      </c>
      <c r="AT48" s="546"/>
      <c r="AU48" s="547"/>
      <c r="AV48" s="275">
        <f t="shared" si="47"/>
        <v>0</v>
      </c>
      <c r="AW48" s="546"/>
      <c r="AX48" s="547"/>
      <c r="AY48" s="275">
        <f t="shared" si="63"/>
        <v>0</v>
      </c>
      <c r="AZ48" s="546">
        <v>0</v>
      </c>
      <c r="BA48" s="547">
        <v>0</v>
      </c>
      <c r="BB48" s="275">
        <f t="shared" si="64"/>
        <v>0</v>
      </c>
      <c r="BC48" s="546"/>
      <c r="BD48" s="547"/>
      <c r="BE48" s="275">
        <f t="shared" si="65"/>
        <v>0</v>
      </c>
      <c r="BF48" s="546"/>
      <c r="BG48" s="547"/>
      <c r="BH48" s="275">
        <f t="shared" si="66"/>
        <v>0</v>
      </c>
      <c r="BI48" s="546"/>
      <c r="BJ48" s="547"/>
      <c r="BK48" s="275">
        <f t="shared" si="67"/>
        <v>0</v>
      </c>
      <c r="BL48" s="546"/>
      <c r="BM48" s="547"/>
      <c r="BN48" s="275">
        <f t="shared" si="68"/>
        <v>0</v>
      </c>
      <c r="BO48" s="546">
        <v>0</v>
      </c>
      <c r="BP48" s="547">
        <v>0</v>
      </c>
      <c r="BQ48" s="275">
        <f t="shared" si="46"/>
        <v>0</v>
      </c>
    </row>
    <row r="49" spans="1:70">
      <c r="A49" s="821"/>
      <c r="B49" s="824"/>
      <c r="C49" s="24" t="s">
        <v>29</v>
      </c>
      <c r="D49" s="446">
        <f t="shared" si="69"/>
        <v>0</v>
      </c>
      <c r="E49" s="447">
        <f t="shared" si="50"/>
        <v>0</v>
      </c>
      <c r="F49" s="274">
        <f t="shared" si="70"/>
        <v>0</v>
      </c>
      <c r="G49" s="546"/>
      <c r="H49" s="547"/>
      <c r="I49" s="275">
        <f t="shared" si="51"/>
        <v>0</v>
      </c>
      <c r="J49" s="546"/>
      <c r="K49" s="547"/>
      <c r="L49" s="275">
        <f t="shared" si="52"/>
        <v>0</v>
      </c>
      <c r="M49" s="546"/>
      <c r="N49" s="547"/>
      <c r="O49" s="275">
        <f t="shared" si="53"/>
        <v>0</v>
      </c>
      <c r="P49" s="546"/>
      <c r="Q49" s="547"/>
      <c r="R49" s="275">
        <f t="shared" si="54"/>
        <v>0</v>
      </c>
      <c r="S49" s="546"/>
      <c r="T49" s="547"/>
      <c r="U49" s="275">
        <f t="shared" si="55"/>
        <v>0</v>
      </c>
      <c r="V49" s="546">
        <v>0</v>
      </c>
      <c r="W49" s="547">
        <v>0</v>
      </c>
      <c r="X49" s="275">
        <f t="shared" si="56"/>
        <v>0</v>
      </c>
      <c r="Y49" s="546"/>
      <c r="Z49" s="547"/>
      <c r="AA49" s="275">
        <f t="shared" si="57"/>
        <v>0</v>
      </c>
      <c r="AB49" s="546"/>
      <c r="AC49" s="547"/>
      <c r="AD49" s="275">
        <f t="shared" si="48"/>
        <v>0</v>
      </c>
      <c r="AE49" s="546"/>
      <c r="AF49" s="547"/>
      <c r="AG49" s="275">
        <f t="shared" si="58"/>
        <v>0</v>
      </c>
      <c r="AH49" s="546"/>
      <c r="AI49" s="547"/>
      <c r="AJ49" s="275">
        <f t="shared" si="59"/>
        <v>0</v>
      </c>
      <c r="AK49" s="546">
        <v>0</v>
      </c>
      <c r="AL49" s="547">
        <v>0</v>
      </c>
      <c r="AM49" s="275">
        <f t="shared" si="60"/>
        <v>0</v>
      </c>
      <c r="AN49" s="546"/>
      <c r="AO49" s="547"/>
      <c r="AP49" s="275">
        <f t="shared" si="61"/>
        <v>0</v>
      </c>
      <c r="AQ49" s="546"/>
      <c r="AR49" s="547"/>
      <c r="AS49" s="275">
        <f t="shared" si="62"/>
        <v>0</v>
      </c>
      <c r="AT49" s="546"/>
      <c r="AU49" s="547"/>
      <c r="AV49" s="275">
        <f t="shared" si="47"/>
        <v>0</v>
      </c>
      <c r="AW49" s="546"/>
      <c r="AX49" s="547"/>
      <c r="AY49" s="275">
        <f t="shared" si="63"/>
        <v>0</v>
      </c>
      <c r="AZ49" s="546">
        <v>0</v>
      </c>
      <c r="BA49" s="547">
        <v>0</v>
      </c>
      <c r="BB49" s="275">
        <f t="shared" si="64"/>
        <v>0</v>
      </c>
      <c r="BC49" s="546"/>
      <c r="BD49" s="547"/>
      <c r="BE49" s="275">
        <f t="shared" si="65"/>
        <v>0</v>
      </c>
      <c r="BF49" s="546"/>
      <c r="BG49" s="547"/>
      <c r="BH49" s="275">
        <f t="shared" si="66"/>
        <v>0</v>
      </c>
      <c r="BI49" s="546"/>
      <c r="BJ49" s="547"/>
      <c r="BK49" s="275">
        <f t="shared" si="67"/>
        <v>0</v>
      </c>
      <c r="BL49" s="546"/>
      <c r="BM49" s="547"/>
      <c r="BN49" s="275">
        <f t="shared" si="68"/>
        <v>0</v>
      </c>
      <c r="BO49" s="546">
        <v>0</v>
      </c>
      <c r="BP49" s="547">
        <v>0</v>
      </c>
      <c r="BQ49" s="275">
        <f t="shared" si="46"/>
        <v>0</v>
      </c>
    </row>
    <row r="50" spans="1:70">
      <c r="A50" s="821"/>
      <c r="B50" s="824"/>
      <c r="C50" s="24" t="s">
        <v>30</v>
      </c>
      <c r="D50" s="446">
        <f t="shared" si="69"/>
        <v>0</v>
      </c>
      <c r="E50" s="447">
        <f t="shared" si="50"/>
        <v>0</v>
      </c>
      <c r="F50" s="274">
        <f t="shared" si="70"/>
        <v>0</v>
      </c>
      <c r="G50" s="546"/>
      <c r="H50" s="547"/>
      <c r="I50" s="275">
        <f t="shared" si="51"/>
        <v>0</v>
      </c>
      <c r="J50" s="546"/>
      <c r="K50" s="547"/>
      <c r="L50" s="275">
        <f t="shared" si="52"/>
        <v>0</v>
      </c>
      <c r="M50" s="546"/>
      <c r="N50" s="547"/>
      <c r="O50" s="275">
        <f t="shared" si="53"/>
        <v>0</v>
      </c>
      <c r="P50" s="546"/>
      <c r="Q50" s="547"/>
      <c r="R50" s="275">
        <f t="shared" si="54"/>
        <v>0</v>
      </c>
      <c r="S50" s="546"/>
      <c r="T50" s="547"/>
      <c r="U50" s="275">
        <f t="shared" si="55"/>
        <v>0</v>
      </c>
      <c r="V50" s="546">
        <v>0</v>
      </c>
      <c r="W50" s="547">
        <v>0</v>
      </c>
      <c r="X50" s="275">
        <f t="shared" si="56"/>
        <v>0</v>
      </c>
      <c r="Y50" s="546"/>
      <c r="Z50" s="547"/>
      <c r="AA50" s="275">
        <f t="shared" si="57"/>
        <v>0</v>
      </c>
      <c r="AB50" s="546"/>
      <c r="AC50" s="547"/>
      <c r="AD50" s="275">
        <f t="shared" si="48"/>
        <v>0</v>
      </c>
      <c r="AE50" s="546"/>
      <c r="AF50" s="547"/>
      <c r="AG50" s="275">
        <f t="shared" si="58"/>
        <v>0</v>
      </c>
      <c r="AH50" s="546"/>
      <c r="AI50" s="547"/>
      <c r="AJ50" s="275">
        <f t="shared" si="59"/>
        <v>0</v>
      </c>
      <c r="AK50" s="546">
        <v>0</v>
      </c>
      <c r="AL50" s="547">
        <v>0</v>
      </c>
      <c r="AM50" s="275">
        <f t="shared" si="60"/>
        <v>0</v>
      </c>
      <c r="AN50" s="546"/>
      <c r="AO50" s="547"/>
      <c r="AP50" s="275">
        <f t="shared" si="61"/>
        <v>0</v>
      </c>
      <c r="AQ50" s="546"/>
      <c r="AR50" s="547"/>
      <c r="AS50" s="275">
        <f t="shared" si="62"/>
        <v>0</v>
      </c>
      <c r="AT50" s="546"/>
      <c r="AU50" s="547"/>
      <c r="AV50" s="275">
        <f t="shared" si="47"/>
        <v>0</v>
      </c>
      <c r="AW50" s="546"/>
      <c r="AX50" s="547"/>
      <c r="AY50" s="275">
        <f t="shared" si="63"/>
        <v>0</v>
      </c>
      <c r="AZ50" s="546">
        <v>0</v>
      </c>
      <c r="BA50" s="547">
        <v>0</v>
      </c>
      <c r="BB50" s="275">
        <f t="shared" si="64"/>
        <v>0</v>
      </c>
      <c r="BC50" s="546"/>
      <c r="BD50" s="547"/>
      <c r="BE50" s="275">
        <f t="shared" si="65"/>
        <v>0</v>
      </c>
      <c r="BF50" s="546"/>
      <c r="BG50" s="547"/>
      <c r="BH50" s="275">
        <f t="shared" si="66"/>
        <v>0</v>
      </c>
      <c r="BI50" s="546"/>
      <c r="BJ50" s="547"/>
      <c r="BK50" s="275">
        <f t="shared" si="67"/>
        <v>0</v>
      </c>
      <c r="BL50" s="546"/>
      <c r="BM50" s="547"/>
      <c r="BN50" s="275">
        <f t="shared" si="68"/>
        <v>0</v>
      </c>
      <c r="BO50" s="546">
        <v>0</v>
      </c>
      <c r="BP50" s="547">
        <v>0</v>
      </c>
      <c r="BQ50" s="275">
        <f t="shared" si="46"/>
        <v>0</v>
      </c>
    </row>
    <row r="51" spans="1:70">
      <c r="A51" s="821"/>
      <c r="B51" s="824"/>
      <c r="C51" s="24" t="s">
        <v>31</v>
      </c>
      <c r="D51" s="446">
        <f t="shared" si="69"/>
        <v>0</v>
      </c>
      <c r="E51" s="447">
        <f t="shared" si="50"/>
        <v>0</v>
      </c>
      <c r="F51" s="274">
        <f t="shared" si="70"/>
        <v>0</v>
      </c>
      <c r="G51" s="546"/>
      <c r="H51" s="547"/>
      <c r="I51" s="275">
        <f t="shared" si="51"/>
        <v>0</v>
      </c>
      <c r="J51" s="546"/>
      <c r="K51" s="547"/>
      <c r="L51" s="275">
        <f t="shared" si="52"/>
        <v>0</v>
      </c>
      <c r="M51" s="546"/>
      <c r="N51" s="547"/>
      <c r="O51" s="275">
        <f t="shared" si="53"/>
        <v>0</v>
      </c>
      <c r="P51" s="546"/>
      <c r="Q51" s="547"/>
      <c r="R51" s="275">
        <f t="shared" si="54"/>
        <v>0</v>
      </c>
      <c r="S51" s="546"/>
      <c r="T51" s="547"/>
      <c r="U51" s="275">
        <f t="shared" si="55"/>
        <v>0</v>
      </c>
      <c r="V51" s="546">
        <v>0</v>
      </c>
      <c r="W51" s="547">
        <v>0</v>
      </c>
      <c r="X51" s="275">
        <f t="shared" si="56"/>
        <v>0</v>
      </c>
      <c r="Y51" s="546"/>
      <c r="Z51" s="547"/>
      <c r="AA51" s="275">
        <f t="shared" si="57"/>
        <v>0</v>
      </c>
      <c r="AB51" s="546"/>
      <c r="AC51" s="547"/>
      <c r="AD51" s="275">
        <f t="shared" si="48"/>
        <v>0</v>
      </c>
      <c r="AE51" s="546"/>
      <c r="AF51" s="547"/>
      <c r="AG51" s="275">
        <f t="shared" si="58"/>
        <v>0</v>
      </c>
      <c r="AH51" s="546"/>
      <c r="AI51" s="547"/>
      <c r="AJ51" s="275">
        <f t="shared" si="59"/>
        <v>0</v>
      </c>
      <c r="AK51" s="546">
        <v>0</v>
      </c>
      <c r="AL51" s="547">
        <v>0</v>
      </c>
      <c r="AM51" s="275">
        <f t="shared" si="60"/>
        <v>0</v>
      </c>
      <c r="AN51" s="546"/>
      <c r="AO51" s="547"/>
      <c r="AP51" s="275">
        <f t="shared" si="61"/>
        <v>0</v>
      </c>
      <c r="AQ51" s="546"/>
      <c r="AR51" s="547"/>
      <c r="AS51" s="275">
        <f t="shared" si="62"/>
        <v>0</v>
      </c>
      <c r="AT51" s="546"/>
      <c r="AU51" s="547"/>
      <c r="AV51" s="275">
        <f t="shared" si="47"/>
        <v>0</v>
      </c>
      <c r="AW51" s="546"/>
      <c r="AX51" s="547"/>
      <c r="AY51" s="275">
        <f t="shared" si="63"/>
        <v>0</v>
      </c>
      <c r="AZ51" s="546">
        <v>0</v>
      </c>
      <c r="BA51" s="547">
        <v>0</v>
      </c>
      <c r="BB51" s="275">
        <f t="shared" si="64"/>
        <v>0</v>
      </c>
      <c r="BC51" s="546"/>
      <c r="BD51" s="547"/>
      <c r="BE51" s="275">
        <f t="shared" si="65"/>
        <v>0</v>
      </c>
      <c r="BF51" s="546"/>
      <c r="BG51" s="547"/>
      <c r="BH51" s="275">
        <f t="shared" si="66"/>
        <v>0</v>
      </c>
      <c r="BI51" s="546"/>
      <c r="BJ51" s="547"/>
      <c r="BK51" s="275">
        <f t="shared" si="67"/>
        <v>0</v>
      </c>
      <c r="BL51" s="546"/>
      <c r="BM51" s="547"/>
      <c r="BN51" s="275">
        <f t="shared" si="68"/>
        <v>0</v>
      </c>
      <c r="BO51" s="546">
        <v>0</v>
      </c>
      <c r="BP51" s="547">
        <v>0</v>
      </c>
      <c r="BQ51" s="275">
        <f t="shared" si="46"/>
        <v>0</v>
      </c>
    </row>
    <row r="52" spans="1:70">
      <c r="A52" s="821"/>
      <c r="B52" s="824"/>
      <c r="C52" s="24" t="s">
        <v>32</v>
      </c>
      <c r="D52" s="446">
        <f t="shared" si="69"/>
        <v>0</v>
      </c>
      <c r="E52" s="447">
        <f t="shared" si="50"/>
        <v>0</v>
      </c>
      <c r="F52" s="274">
        <f t="shared" si="70"/>
        <v>0</v>
      </c>
      <c r="G52" s="546"/>
      <c r="H52" s="547"/>
      <c r="I52" s="275">
        <f t="shared" si="51"/>
        <v>0</v>
      </c>
      <c r="J52" s="546"/>
      <c r="K52" s="547"/>
      <c r="L52" s="275">
        <f t="shared" si="52"/>
        <v>0</v>
      </c>
      <c r="M52" s="546"/>
      <c r="N52" s="547"/>
      <c r="O52" s="275">
        <f t="shared" si="53"/>
        <v>0</v>
      </c>
      <c r="P52" s="546"/>
      <c r="Q52" s="547"/>
      <c r="R52" s="275">
        <f t="shared" si="54"/>
        <v>0</v>
      </c>
      <c r="S52" s="546"/>
      <c r="T52" s="547"/>
      <c r="U52" s="275">
        <f t="shared" si="55"/>
        <v>0</v>
      </c>
      <c r="V52" s="546">
        <v>0</v>
      </c>
      <c r="W52" s="547">
        <v>0</v>
      </c>
      <c r="X52" s="275">
        <f t="shared" si="56"/>
        <v>0</v>
      </c>
      <c r="Y52" s="546"/>
      <c r="Z52" s="547"/>
      <c r="AA52" s="275">
        <f t="shared" si="57"/>
        <v>0</v>
      </c>
      <c r="AB52" s="546"/>
      <c r="AC52" s="547"/>
      <c r="AD52" s="275">
        <f t="shared" si="48"/>
        <v>0</v>
      </c>
      <c r="AE52" s="546"/>
      <c r="AF52" s="547"/>
      <c r="AG52" s="275">
        <f t="shared" si="58"/>
        <v>0</v>
      </c>
      <c r="AH52" s="546"/>
      <c r="AI52" s="547"/>
      <c r="AJ52" s="275">
        <f t="shared" si="59"/>
        <v>0</v>
      </c>
      <c r="AK52" s="546">
        <v>0</v>
      </c>
      <c r="AL52" s="547">
        <v>0</v>
      </c>
      <c r="AM52" s="275">
        <f t="shared" si="60"/>
        <v>0</v>
      </c>
      <c r="AN52" s="546"/>
      <c r="AO52" s="547"/>
      <c r="AP52" s="275">
        <f t="shared" si="61"/>
        <v>0</v>
      </c>
      <c r="AQ52" s="546"/>
      <c r="AR52" s="547"/>
      <c r="AS52" s="275">
        <f t="shared" si="62"/>
        <v>0</v>
      </c>
      <c r="AT52" s="546"/>
      <c r="AU52" s="547"/>
      <c r="AV52" s="275">
        <f t="shared" si="47"/>
        <v>0</v>
      </c>
      <c r="AW52" s="546"/>
      <c r="AX52" s="547"/>
      <c r="AY52" s="275">
        <f t="shared" si="63"/>
        <v>0</v>
      </c>
      <c r="AZ52" s="546">
        <v>0</v>
      </c>
      <c r="BA52" s="547">
        <v>0</v>
      </c>
      <c r="BB52" s="275">
        <f t="shared" si="64"/>
        <v>0</v>
      </c>
      <c r="BC52" s="546"/>
      <c r="BD52" s="547"/>
      <c r="BE52" s="275">
        <f t="shared" si="65"/>
        <v>0</v>
      </c>
      <c r="BF52" s="546"/>
      <c r="BG52" s="547"/>
      <c r="BH52" s="275">
        <f t="shared" si="66"/>
        <v>0</v>
      </c>
      <c r="BI52" s="546"/>
      <c r="BJ52" s="547"/>
      <c r="BK52" s="275">
        <f t="shared" si="67"/>
        <v>0</v>
      </c>
      <c r="BL52" s="546"/>
      <c r="BM52" s="547"/>
      <c r="BN52" s="275">
        <f t="shared" si="68"/>
        <v>0</v>
      </c>
      <c r="BO52" s="546">
        <v>0</v>
      </c>
      <c r="BP52" s="547">
        <v>0</v>
      </c>
      <c r="BQ52" s="275">
        <f t="shared" si="46"/>
        <v>0</v>
      </c>
    </row>
    <row r="53" spans="1:70">
      <c r="A53" s="821"/>
      <c r="B53" s="824"/>
      <c r="C53" s="24" t="s">
        <v>33</v>
      </c>
      <c r="D53" s="446">
        <f t="shared" si="69"/>
        <v>0</v>
      </c>
      <c r="E53" s="447">
        <f t="shared" si="50"/>
        <v>0</v>
      </c>
      <c r="F53" s="274">
        <f t="shared" si="70"/>
        <v>0</v>
      </c>
      <c r="G53" s="546"/>
      <c r="H53" s="547"/>
      <c r="I53" s="275">
        <f t="shared" si="51"/>
        <v>0</v>
      </c>
      <c r="J53" s="546"/>
      <c r="K53" s="547"/>
      <c r="L53" s="275">
        <f t="shared" si="52"/>
        <v>0</v>
      </c>
      <c r="M53" s="546"/>
      <c r="N53" s="547"/>
      <c r="O53" s="275">
        <f t="shared" si="53"/>
        <v>0</v>
      </c>
      <c r="P53" s="546"/>
      <c r="Q53" s="547"/>
      <c r="R53" s="275">
        <f t="shared" si="54"/>
        <v>0</v>
      </c>
      <c r="S53" s="546"/>
      <c r="T53" s="547"/>
      <c r="U53" s="275">
        <f t="shared" si="55"/>
        <v>0</v>
      </c>
      <c r="V53" s="546">
        <v>0</v>
      </c>
      <c r="W53" s="547">
        <v>0</v>
      </c>
      <c r="X53" s="275">
        <f t="shared" si="56"/>
        <v>0</v>
      </c>
      <c r="Y53" s="546"/>
      <c r="Z53" s="547"/>
      <c r="AA53" s="275">
        <f t="shared" si="57"/>
        <v>0</v>
      </c>
      <c r="AB53" s="546"/>
      <c r="AC53" s="547"/>
      <c r="AD53" s="275">
        <f t="shared" si="48"/>
        <v>0</v>
      </c>
      <c r="AE53" s="546"/>
      <c r="AF53" s="547"/>
      <c r="AG53" s="275">
        <f t="shared" si="58"/>
        <v>0</v>
      </c>
      <c r="AH53" s="546"/>
      <c r="AI53" s="547"/>
      <c r="AJ53" s="275">
        <f t="shared" si="59"/>
        <v>0</v>
      </c>
      <c r="AK53" s="546">
        <v>0</v>
      </c>
      <c r="AL53" s="547">
        <v>0</v>
      </c>
      <c r="AM53" s="275">
        <f t="shared" si="60"/>
        <v>0</v>
      </c>
      <c r="AN53" s="546"/>
      <c r="AO53" s="547"/>
      <c r="AP53" s="275">
        <f t="shared" si="61"/>
        <v>0</v>
      </c>
      <c r="AQ53" s="546"/>
      <c r="AR53" s="547"/>
      <c r="AS53" s="275">
        <f t="shared" si="62"/>
        <v>0</v>
      </c>
      <c r="AT53" s="546"/>
      <c r="AU53" s="547"/>
      <c r="AV53" s="275">
        <f t="shared" si="47"/>
        <v>0</v>
      </c>
      <c r="AW53" s="546"/>
      <c r="AX53" s="547"/>
      <c r="AY53" s="275">
        <f t="shared" si="63"/>
        <v>0</v>
      </c>
      <c r="AZ53" s="546">
        <v>0</v>
      </c>
      <c r="BA53" s="547">
        <v>0</v>
      </c>
      <c r="BB53" s="275">
        <f t="shared" si="64"/>
        <v>0</v>
      </c>
      <c r="BC53" s="546"/>
      <c r="BD53" s="547"/>
      <c r="BE53" s="275">
        <f t="shared" si="65"/>
        <v>0</v>
      </c>
      <c r="BF53" s="546"/>
      <c r="BG53" s="547"/>
      <c r="BH53" s="275">
        <f t="shared" si="66"/>
        <v>0</v>
      </c>
      <c r="BI53" s="546"/>
      <c r="BJ53" s="547"/>
      <c r="BK53" s="275">
        <f t="shared" si="67"/>
        <v>0</v>
      </c>
      <c r="BL53" s="546"/>
      <c r="BM53" s="547"/>
      <c r="BN53" s="275">
        <f t="shared" si="68"/>
        <v>0</v>
      </c>
      <c r="BO53" s="546">
        <v>0</v>
      </c>
      <c r="BP53" s="547">
        <v>0</v>
      </c>
      <c r="BQ53" s="275">
        <f t="shared" si="46"/>
        <v>0</v>
      </c>
    </row>
    <row r="54" spans="1:70" ht="15.75" thickBot="1">
      <c r="A54" s="822"/>
      <c r="B54" s="825"/>
      <c r="C54" s="263" t="s">
        <v>34</v>
      </c>
      <c r="D54" s="448">
        <f t="shared" si="69"/>
        <v>0</v>
      </c>
      <c r="E54" s="449">
        <f t="shared" si="50"/>
        <v>0</v>
      </c>
      <c r="F54" s="278">
        <f t="shared" si="70"/>
        <v>0</v>
      </c>
      <c r="G54" s="548"/>
      <c r="H54" s="549"/>
      <c r="I54" s="279">
        <f>H54-G54</f>
        <v>0</v>
      </c>
      <c r="J54" s="548"/>
      <c r="K54" s="549"/>
      <c r="L54" s="279">
        <f>K54-J54</f>
        <v>0</v>
      </c>
      <c r="M54" s="548"/>
      <c r="N54" s="549"/>
      <c r="O54" s="279">
        <f>N54-M54</f>
        <v>0</v>
      </c>
      <c r="P54" s="548"/>
      <c r="Q54" s="549"/>
      <c r="R54" s="279">
        <f>Q54-P54</f>
        <v>0</v>
      </c>
      <c r="S54" s="548"/>
      <c r="T54" s="549"/>
      <c r="U54" s="279">
        <f>T54-S54</f>
        <v>0</v>
      </c>
      <c r="V54" s="548">
        <v>0</v>
      </c>
      <c r="W54" s="549">
        <v>0</v>
      </c>
      <c r="X54" s="279">
        <f>W54-V54</f>
        <v>0</v>
      </c>
      <c r="Y54" s="548"/>
      <c r="Z54" s="549"/>
      <c r="AA54" s="279">
        <f>Z54-Y54</f>
        <v>0</v>
      </c>
      <c r="AB54" s="548"/>
      <c r="AC54" s="549"/>
      <c r="AD54" s="279">
        <f>AC54-AB54</f>
        <v>0</v>
      </c>
      <c r="AE54" s="548"/>
      <c r="AF54" s="549"/>
      <c r="AG54" s="279">
        <f>AF54-AE54</f>
        <v>0</v>
      </c>
      <c r="AH54" s="548"/>
      <c r="AI54" s="549"/>
      <c r="AJ54" s="279">
        <f>AI54-AH54</f>
        <v>0</v>
      </c>
      <c r="AK54" s="548">
        <v>0</v>
      </c>
      <c r="AL54" s="549">
        <v>0</v>
      </c>
      <c r="AM54" s="279">
        <f>AL54-AK54</f>
        <v>0</v>
      </c>
      <c r="AN54" s="548"/>
      <c r="AO54" s="549"/>
      <c r="AP54" s="279">
        <f>AO54-AN54</f>
        <v>0</v>
      </c>
      <c r="AQ54" s="548"/>
      <c r="AR54" s="549"/>
      <c r="AS54" s="279">
        <f>AR54-AQ54</f>
        <v>0</v>
      </c>
      <c r="AT54" s="548"/>
      <c r="AU54" s="549"/>
      <c r="AV54" s="279">
        <f>AU54-AT54</f>
        <v>0</v>
      </c>
      <c r="AW54" s="548"/>
      <c r="AX54" s="549"/>
      <c r="AY54" s="279">
        <f>AX54-AW54</f>
        <v>0</v>
      </c>
      <c r="AZ54" s="548">
        <v>0</v>
      </c>
      <c r="BA54" s="549">
        <v>0</v>
      </c>
      <c r="BB54" s="279">
        <f>BA54-AZ54</f>
        <v>0</v>
      </c>
      <c r="BC54" s="548"/>
      <c r="BD54" s="549"/>
      <c r="BE54" s="279">
        <f>BD54-BC54</f>
        <v>0</v>
      </c>
      <c r="BF54" s="548"/>
      <c r="BG54" s="549"/>
      <c r="BH54" s="279">
        <f>BG54-BF54</f>
        <v>0</v>
      </c>
      <c r="BI54" s="548"/>
      <c r="BJ54" s="549"/>
      <c r="BK54" s="279">
        <f>BJ54-BI54</f>
        <v>0</v>
      </c>
      <c r="BL54" s="548"/>
      <c r="BM54" s="549"/>
      <c r="BN54" s="279">
        <f>BM54-BL54</f>
        <v>0</v>
      </c>
      <c r="BO54" s="548">
        <v>0</v>
      </c>
      <c r="BP54" s="549">
        <v>0</v>
      </c>
      <c r="BQ54" s="279">
        <f>BP54-BO54</f>
        <v>0</v>
      </c>
    </row>
    <row r="55" spans="1:70" s="281" customFormat="1" ht="14.25" customHeight="1">
      <c r="A55" s="821" t="s">
        <v>39</v>
      </c>
      <c r="B55" s="824" t="s">
        <v>13</v>
      </c>
      <c r="C55" s="24" t="s">
        <v>25</v>
      </c>
      <c r="D55" s="252">
        <f t="shared" si="69"/>
        <v>0</v>
      </c>
      <c r="E55" s="253">
        <f t="shared" si="50"/>
        <v>0</v>
      </c>
      <c r="F55" s="254">
        <f t="shared" ref="F55:F64" si="71">SUM(I55,L55,O55,R55,U55,X55,AA55,AD55,AG55,AJ55,AM55,AP55,AS55,AV55,AY55,BB55,BB55,BE55,BH55,BK55,BN55,BQ55)</f>
        <v>0</v>
      </c>
      <c r="G55" s="538"/>
      <c r="H55" s="539"/>
      <c r="I55" s="257">
        <f t="shared" ref="I55:I64" si="72">H55-G55</f>
        <v>0</v>
      </c>
      <c r="J55" s="538">
        <v>0</v>
      </c>
      <c r="K55" s="539">
        <v>0</v>
      </c>
      <c r="L55" s="257">
        <f t="shared" ref="L55:L64" si="73">K55-J55</f>
        <v>0</v>
      </c>
      <c r="M55" s="538"/>
      <c r="N55" s="539">
        <v>0</v>
      </c>
      <c r="O55" s="257">
        <f t="shared" ref="O55:O64" si="74">N55-M55</f>
        <v>0</v>
      </c>
      <c r="P55" s="538"/>
      <c r="Q55" s="539"/>
      <c r="R55" s="257">
        <f t="shared" ref="R55:R64" si="75">Q55-P55</f>
        <v>0</v>
      </c>
      <c r="S55" s="538"/>
      <c r="T55" s="539"/>
      <c r="U55" s="257">
        <f t="shared" ref="U55:U64" si="76">T55-S55</f>
        <v>0</v>
      </c>
      <c r="V55" s="538"/>
      <c r="W55" s="539"/>
      <c r="X55" s="257">
        <f t="shared" ref="X55:X64" si="77">W55-V55</f>
        <v>0</v>
      </c>
      <c r="Y55" s="538"/>
      <c r="Z55" s="539"/>
      <c r="AA55" s="257">
        <f t="shared" ref="AA55:AA64" si="78">Z55-Y55</f>
        <v>0</v>
      </c>
      <c r="AB55" s="538"/>
      <c r="AC55" s="539"/>
      <c r="AD55" s="257">
        <f t="shared" ref="AD55:AD64" si="79">AC55-AB55</f>
        <v>0</v>
      </c>
      <c r="AE55" s="538"/>
      <c r="AF55" s="539"/>
      <c r="AG55" s="257">
        <f t="shared" ref="AG55:AG64" si="80">AF55-AE55</f>
        <v>0</v>
      </c>
      <c r="AH55" s="538"/>
      <c r="AI55" s="539"/>
      <c r="AJ55" s="257">
        <f t="shared" ref="AJ55:AJ64" si="81">AI55-AH55</f>
        <v>0</v>
      </c>
      <c r="AK55" s="538"/>
      <c r="AL55" s="539"/>
      <c r="AM55" s="257">
        <f t="shared" ref="AM55:AM64" si="82">AL55-AK55</f>
        <v>0</v>
      </c>
      <c r="AN55" s="538"/>
      <c r="AO55" s="539"/>
      <c r="AP55" s="257">
        <f t="shared" ref="AP55:AP64" si="83">AO55-AN55</f>
        <v>0</v>
      </c>
      <c r="AQ55" s="538"/>
      <c r="AR55" s="539"/>
      <c r="AS55" s="257">
        <f t="shared" ref="AS55:AS64" si="84">AR55-AQ55</f>
        <v>0</v>
      </c>
      <c r="AT55" s="538"/>
      <c r="AU55" s="539"/>
      <c r="AV55" s="257">
        <f t="shared" ref="AV55:AV64" si="85">AU55-AT55</f>
        <v>0</v>
      </c>
      <c r="AW55" s="538"/>
      <c r="AX55" s="539"/>
      <c r="AY55" s="257">
        <f t="shared" ref="AY55:AY64" si="86">AX55-AW55</f>
        <v>0</v>
      </c>
      <c r="AZ55" s="538"/>
      <c r="BA55" s="539"/>
      <c r="BB55" s="257">
        <f t="shared" ref="BB55:BB64" si="87">BA55-AZ55</f>
        <v>0</v>
      </c>
      <c r="BC55" s="538"/>
      <c r="BD55" s="539"/>
      <c r="BE55" s="257">
        <f t="shared" ref="BE55:BE64" si="88">BD55-BC55</f>
        <v>0</v>
      </c>
      <c r="BF55" s="538"/>
      <c r="BG55" s="539"/>
      <c r="BH55" s="257">
        <f t="shared" ref="BH55:BH64" si="89">BG55-BF55</f>
        <v>0</v>
      </c>
      <c r="BI55" s="538"/>
      <c r="BJ55" s="539"/>
      <c r="BK55" s="257">
        <f t="shared" ref="BK55:BK64" si="90">BJ55-BI55</f>
        <v>0</v>
      </c>
      <c r="BL55" s="538"/>
      <c r="BM55" s="539"/>
      <c r="BN55" s="257">
        <f t="shared" ref="BN55:BN64" si="91">BM55-BL55</f>
        <v>0</v>
      </c>
      <c r="BO55" s="538"/>
      <c r="BP55" s="539"/>
      <c r="BQ55" s="257">
        <f t="shared" ref="BQ55:BQ64" si="92">BP55-BO55</f>
        <v>0</v>
      </c>
      <c r="BR55" s="280"/>
    </row>
    <row r="56" spans="1:70">
      <c r="A56" s="821"/>
      <c r="B56" s="824"/>
      <c r="C56" s="24" t="s">
        <v>26</v>
      </c>
      <c r="D56" s="259">
        <f t="shared" si="69"/>
        <v>0</v>
      </c>
      <c r="E56" s="260">
        <f t="shared" si="50"/>
        <v>0</v>
      </c>
      <c r="F56" s="261">
        <f t="shared" si="71"/>
        <v>0</v>
      </c>
      <c r="G56" s="540"/>
      <c r="H56" s="541"/>
      <c r="I56" s="262">
        <f t="shared" si="72"/>
        <v>0</v>
      </c>
      <c r="J56" s="540">
        <v>0</v>
      </c>
      <c r="K56" s="541">
        <v>0</v>
      </c>
      <c r="L56" s="262">
        <f t="shared" si="73"/>
        <v>0</v>
      </c>
      <c r="M56" s="540"/>
      <c r="N56" s="541">
        <v>0</v>
      </c>
      <c r="O56" s="262">
        <f t="shared" si="74"/>
        <v>0</v>
      </c>
      <c r="P56" s="540"/>
      <c r="Q56" s="541"/>
      <c r="R56" s="262">
        <f t="shared" si="75"/>
        <v>0</v>
      </c>
      <c r="S56" s="540"/>
      <c r="T56" s="541"/>
      <c r="U56" s="262">
        <f t="shared" si="76"/>
        <v>0</v>
      </c>
      <c r="V56" s="540"/>
      <c r="W56" s="541"/>
      <c r="X56" s="262">
        <f t="shared" si="77"/>
        <v>0</v>
      </c>
      <c r="Y56" s="540"/>
      <c r="Z56" s="541"/>
      <c r="AA56" s="262">
        <f t="shared" si="78"/>
        <v>0</v>
      </c>
      <c r="AB56" s="540"/>
      <c r="AC56" s="541"/>
      <c r="AD56" s="262">
        <f t="shared" si="79"/>
        <v>0</v>
      </c>
      <c r="AE56" s="540"/>
      <c r="AF56" s="541"/>
      <c r="AG56" s="262">
        <f t="shared" si="80"/>
        <v>0</v>
      </c>
      <c r="AH56" s="540"/>
      <c r="AI56" s="541"/>
      <c r="AJ56" s="262">
        <f t="shared" si="81"/>
        <v>0</v>
      </c>
      <c r="AK56" s="540"/>
      <c r="AL56" s="541"/>
      <c r="AM56" s="262">
        <f t="shared" si="82"/>
        <v>0</v>
      </c>
      <c r="AN56" s="540"/>
      <c r="AO56" s="541"/>
      <c r="AP56" s="262">
        <f t="shared" si="83"/>
        <v>0</v>
      </c>
      <c r="AQ56" s="540"/>
      <c r="AR56" s="541"/>
      <c r="AS56" s="262">
        <f t="shared" si="84"/>
        <v>0</v>
      </c>
      <c r="AT56" s="540"/>
      <c r="AU56" s="541"/>
      <c r="AV56" s="262">
        <f t="shared" si="85"/>
        <v>0</v>
      </c>
      <c r="AW56" s="540"/>
      <c r="AX56" s="541"/>
      <c r="AY56" s="262">
        <f t="shared" si="86"/>
        <v>0</v>
      </c>
      <c r="AZ56" s="540"/>
      <c r="BA56" s="541"/>
      <c r="BB56" s="262">
        <f t="shared" si="87"/>
        <v>0</v>
      </c>
      <c r="BC56" s="540"/>
      <c r="BD56" s="541"/>
      <c r="BE56" s="262">
        <f t="shared" si="88"/>
        <v>0</v>
      </c>
      <c r="BF56" s="540"/>
      <c r="BG56" s="541"/>
      <c r="BH56" s="262">
        <f t="shared" si="89"/>
        <v>0</v>
      </c>
      <c r="BI56" s="540"/>
      <c r="BJ56" s="541"/>
      <c r="BK56" s="262">
        <f t="shared" si="90"/>
        <v>0</v>
      </c>
      <c r="BL56" s="540"/>
      <c r="BM56" s="541"/>
      <c r="BN56" s="262">
        <f t="shared" si="91"/>
        <v>0</v>
      </c>
      <c r="BO56" s="540"/>
      <c r="BP56" s="541"/>
      <c r="BQ56" s="262">
        <f t="shared" si="92"/>
        <v>0</v>
      </c>
    </row>
    <row r="57" spans="1:70">
      <c r="A57" s="821"/>
      <c r="B57" s="824"/>
      <c r="C57" s="24" t="s">
        <v>27</v>
      </c>
      <c r="D57" s="259">
        <f t="shared" si="69"/>
        <v>0</v>
      </c>
      <c r="E57" s="260">
        <f t="shared" si="50"/>
        <v>107637.67405745521</v>
      </c>
      <c r="F57" s="261">
        <f t="shared" si="71"/>
        <v>107637.67405745521</v>
      </c>
      <c r="G57" s="540"/>
      <c r="H57" s="541"/>
      <c r="I57" s="262">
        <f t="shared" si="72"/>
        <v>0</v>
      </c>
      <c r="J57" s="540">
        <v>0</v>
      </c>
      <c r="K57" s="541"/>
      <c r="L57" s="262">
        <f t="shared" si="73"/>
        <v>0</v>
      </c>
      <c r="M57" s="540"/>
      <c r="N57" s="541">
        <v>107637.67405745521</v>
      </c>
      <c r="O57" s="262">
        <f t="shared" si="74"/>
        <v>107637.67405745521</v>
      </c>
      <c r="P57" s="540"/>
      <c r="Q57" s="541"/>
      <c r="R57" s="262">
        <f t="shared" si="75"/>
        <v>0</v>
      </c>
      <c r="S57" s="540"/>
      <c r="T57" s="541"/>
      <c r="U57" s="262">
        <f t="shared" si="76"/>
        <v>0</v>
      </c>
      <c r="V57" s="540"/>
      <c r="W57" s="541"/>
      <c r="X57" s="262">
        <f t="shared" si="77"/>
        <v>0</v>
      </c>
      <c r="Y57" s="540"/>
      <c r="Z57" s="541"/>
      <c r="AA57" s="262">
        <f t="shared" si="78"/>
        <v>0</v>
      </c>
      <c r="AB57" s="540"/>
      <c r="AC57" s="541"/>
      <c r="AD57" s="262">
        <f t="shared" si="79"/>
        <v>0</v>
      </c>
      <c r="AE57" s="540"/>
      <c r="AF57" s="541"/>
      <c r="AG57" s="262">
        <f t="shared" si="80"/>
        <v>0</v>
      </c>
      <c r="AH57" s="540"/>
      <c r="AI57" s="541"/>
      <c r="AJ57" s="262">
        <f t="shared" si="81"/>
        <v>0</v>
      </c>
      <c r="AK57" s="540"/>
      <c r="AL57" s="541"/>
      <c r="AM57" s="262">
        <f t="shared" si="82"/>
        <v>0</v>
      </c>
      <c r="AN57" s="540"/>
      <c r="AO57" s="541"/>
      <c r="AP57" s="262">
        <f t="shared" si="83"/>
        <v>0</v>
      </c>
      <c r="AQ57" s="540"/>
      <c r="AR57" s="541"/>
      <c r="AS57" s="262">
        <f t="shared" si="84"/>
        <v>0</v>
      </c>
      <c r="AT57" s="540"/>
      <c r="AU57" s="541"/>
      <c r="AV57" s="262">
        <f t="shared" si="85"/>
        <v>0</v>
      </c>
      <c r="AW57" s="540"/>
      <c r="AX57" s="541"/>
      <c r="AY57" s="262">
        <f t="shared" si="86"/>
        <v>0</v>
      </c>
      <c r="AZ57" s="540"/>
      <c r="BA57" s="541"/>
      <c r="BB57" s="262">
        <f t="shared" si="87"/>
        <v>0</v>
      </c>
      <c r="BC57" s="540"/>
      <c r="BD57" s="541"/>
      <c r="BE57" s="262">
        <f t="shared" si="88"/>
        <v>0</v>
      </c>
      <c r="BF57" s="540"/>
      <c r="BG57" s="541"/>
      <c r="BH57" s="262">
        <f t="shared" si="89"/>
        <v>0</v>
      </c>
      <c r="BI57" s="540"/>
      <c r="BJ57" s="541"/>
      <c r="BK57" s="262">
        <f t="shared" si="90"/>
        <v>0</v>
      </c>
      <c r="BL57" s="540"/>
      <c r="BM57" s="541"/>
      <c r="BN57" s="262">
        <f t="shared" si="91"/>
        <v>0</v>
      </c>
      <c r="BO57" s="540"/>
      <c r="BP57" s="541"/>
      <c r="BQ57" s="262">
        <f t="shared" si="92"/>
        <v>0</v>
      </c>
    </row>
    <row r="58" spans="1:70">
      <c r="A58" s="821"/>
      <c r="B58" s="824"/>
      <c r="C58" s="24" t="s">
        <v>28</v>
      </c>
      <c r="D58" s="259">
        <f t="shared" si="69"/>
        <v>0</v>
      </c>
      <c r="E58" s="260">
        <f t="shared" si="50"/>
        <v>215275.34811491042</v>
      </c>
      <c r="F58" s="261">
        <f t="shared" si="71"/>
        <v>215275.34811491042</v>
      </c>
      <c r="G58" s="540"/>
      <c r="H58" s="541"/>
      <c r="I58" s="262">
        <f t="shared" si="72"/>
        <v>0</v>
      </c>
      <c r="J58" s="540">
        <v>0</v>
      </c>
      <c r="K58" s="541"/>
      <c r="L58" s="262">
        <f t="shared" si="73"/>
        <v>0</v>
      </c>
      <c r="M58" s="540"/>
      <c r="N58" s="541">
        <v>215275.34811491042</v>
      </c>
      <c r="O58" s="262">
        <f t="shared" si="74"/>
        <v>215275.34811491042</v>
      </c>
      <c r="P58" s="540"/>
      <c r="Q58" s="541"/>
      <c r="R58" s="262">
        <f t="shared" si="75"/>
        <v>0</v>
      </c>
      <c r="S58" s="540"/>
      <c r="T58" s="541"/>
      <c r="U58" s="262">
        <f t="shared" si="76"/>
        <v>0</v>
      </c>
      <c r="V58" s="540"/>
      <c r="W58" s="541"/>
      <c r="X58" s="262">
        <f t="shared" si="77"/>
        <v>0</v>
      </c>
      <c r="Y58" s="540"/>
      <c r="Z58" s="541"/>
      <c r="AA58" s="262">
        <f t="shared" si="78"/>
        <v>0</v>
      </c>
      <c r="AB58" s="540"/>
      <c r="AC58" s="541"/>
      <c r="AD58" s="262">
        <f t="shared" si="79"/>
        <v>0</v>
      </c>
      <c r="AE58" s="540"/>
      <c r="AF58" s="541"/>
      <c r="AG58" s="262">
        <f t="shared" si="80"/>
        <v>0</v>
      </c>
      <c r="AH58" s="540"/>
      <c r="AI58" s="541"/>
      <c r="AJ58" s="262">
        <f t="shared" si="81"/>
        <v>0</v>
      </c>
      <c r="AK58" s="540"/>
      <c r="AL58" s="541"/>
      <c r="AM58" s="262">
        <f t="shared" si="82"/>
        <v>0</v>
      </c>
      <c r="AN58" s="540"/>
      <c r="AO58" s="541"/>
      <c r="AP58" s="262">
        <f t="shared" si="83"/>
        <v>0</v>
      </c>
      <c r="AQ58" s="540"/>
      <c r="AR58" s="541"/>
      <c r="AS58" s="262">
        <f t="shared" si="84"/>
        <v>0</v>
      </c>
      <c r="AT58" s="540"/>
      <c r="AU58" s="541"/>
      <c r="AV58" s="262">
        <f t="shared" si="85"/>
        <v>0</v>
      </c>
      <c r="AW58" s="540"/>
      <c r="AX58" s="541"/>
      <c r="AY58" s="262">
        <f t="shared" si="86"/>
        <v>0</v>
      </c>
      <c r="AZ58" s="540"/>
      <c r="BA58" s="541"/>
      <c r="BB58" s="262">
        <f t="shared" si="87"/>
        <v>0</v>
      </c>
      <c r="BC58" s="540"/>
      <c r="BD58" s="541"/>
      <c r="BE58" s="262">
        <f t="shared" si="88"/>
        <v>0</v>
      </c>
      <c r="BF58" s="540"/>
      <c r="BG58" s="541"/>
      <c r="BH58" s="262">
        <f t="shared" si="89"/>
        <v>0</v>
      </c>
      <c r="BI58" s="540"/>
      <c r="BJ58" s="541"/>
      <c r="BK58" s="262">
        <f t="shared" si="90"/>
        <v>0</v>
      </c>
      <c r="BL58" s="540"/>
      <c r="BM58" s="541"/>
      <c r="BN58" s="262">
        <f t="shared" si="91"/>
        <v>0</v>
      </c>
      <c r="BO58" s="540"/>
      <c r="BP58" s="541"/>
      <c r="BQ58" s="262">
        <f t="shared" si="92"/>
        <v>0</v>
      </c>
    </row>
    <row r="59" spans="1:70">
      <c r="A59" s="821"/>
      <c r="B59" s="824"/>
      <c r="C59" s="24" t="s">
        <v>29</v>
      </c>
      <c r="D59" s="259">
        <f t="shared" si="69"/>
        <v>0</v>
      </c>
      <c r="E59" s="260">
        <f t="shared" si="50"/>
        <v>322913.02217236557</v>
      </c>
      <c r="F59" s="261">
        <f t="shared" si="71"/>
        <v>322913.02217236557</v>
      </c>
      <c r="G59" s="540"/>
      <c r="H59" s="541"/>
      <c r="I59" s="262">
        <f t="shared" si="72"/>
        <v>0</v>
      </c>
      <c r="J59" s="540">
        <v>0</v>
      </c>
      <c r="K59" s="541"/>
      <c r="L59" s="262">
        <f t="shared" si="73"/>
        <v>0</v>
      </c>
      <c r="M59" s="540"/>
      <c r="N59" s="541">
        <v>322913.02217236557</v>
      </c>
      <c r="O59" s="262">
        <f t="shared" si="74"/>
        <v>322913.02217236557</v>
      </c>
      <c r="P59" s="540"/>
      <c r="Q59" s="541"/>
      <c r="R59" s="262">
        <f t="shared" si="75"/>
        <v>0</v>
      </c>
      <c r="S59" s="540"/>
      <c r="T59" s="541"/>
      <c r="U59" s="262">
        <f t="shared" si="76"/>
        <v>0</v>
      </c>
      <c r="V59" s="540"/>
      <c r="W59" s="541"/>
      <c r="X59" s="262">
        <f t="shared" si="77"/>
        <v>0</v>
      </c>
      <c r="Y59" s="540"/>
      <c r="Z59" s="541"/>
      <c r="AA59" s="262">
        <f t="shared" si="78"/>
        <v>0</v>
      </c>
      <c r="AB59" s="540"/>
      <c r="AC59" s="541"/>
      <c r="AD59" s="262">
        <f t="shared" si="79"/>
        <v>0</v>
      </c>
      <c r="AE59" s="540"/>
      <c r="AF59" s="541"/>
      <c r="AG59" s="262">
        <f t="shared" si="80"/>
        <v>0</v>
      </c>
      <c r="AH59" s="540"/>
      <c r="AI59" s="541"/>
      <c r="AJ59" s="262">
        <f t="shared" si="81"/>
        <v>0</v>
      </c>
      <c r="AK59" s="540"/>
      <c r="AL59" s="541"/>
      <c r="AM59" s="262">
        <f t="shared" si="82"/>
        <v>0</v>
      </c>
      <c r="AN59" s="540"/>
      <c r="AO59" s="541"/>
      <c r="AP59" s="262">
        <f t="shared" si="83"/>
        <v>0</v>
      </c>
      <c r="AQ59" s="540"/>
      <c r="AR59" s="541"/>
      <c r="AS59" s="262">
        <f t="shared" si="84"/>
        <v>0</v>
      </c>
      <c r="AT59" s="540"/>
      <c r="AU59" s="541"/>
      <c r="AV59" s="262">
        <f t="shared" si="85"/>
        <v>0</v>
      </c>
      <c r="AW59" s="540"/>
      <c r="AX59" s="541"/>
      <c r="AY59" s="262">
        <f t="shared" si="86"/>
        <v>0</v>
      </c>
      <c r="AZ59" s="540"/>
      <c r="BA59" s="541"/>
      <c r="BB59" s="262">
        <f t="shared" si="87"/>
        <v>0</v>
      </c>
      <c r="BC59" s="540"/>
      <c r="BD59" s="541"/>
      <c r="BE59" s="262">
        <f t="shared" si="88"/>
        <v>0</v>
      </c>
      <c r="BF59" s="540"/>
      <c r="BG59" s="541"/>
      <c r="BH59" s="262">
        <f t="shared" si="89"/>
        <v>0</v>
      </c>
      <c r="BI59" s="540"/>
      <c r="BJ59" s="541"/>
      <c r="BK59" s="262">
        <f t="shared" si="90"/>
        <v>0</v>
      </c>
      <c r="BL59" s="540"/>
      <c r="BM59" s="541"/>
      <c r="BN59" s="262">
        <f t="shared" si="91"/>
        <v>0</v>
      </c>
      <c r="BO59" s="540"/>
      <c r="BP59" s="541"/>
      <c r="BQ59" s="262">
        <f t="shared" si="92"/>
        <v>0</v>
      </c>
    </row>
    <row r="60" spans="1:70">
      <c r="A60" s="821"/>
      <c r="B60" s="824"/>
      <c r="C60" s="24" t="s">
        <v>30</v>
      </c>
      <c r="D60" s="259">
        <f t="shared" si="69"/>
        <v>0</v>
      </c>
      <c r="E60" s="260">
        <f t="shared" si="50"/>
        <v>430550.69622982084</v>
      </c>
      <c r="F60" s="261">
        <f t="shared" si="71"/>
        <v>430550.69622982084</v>
      </c>
      <c r="G60" s="540"/>
      <c r="H60" s="541"/>
      <c r="I60" s="262">
        <f t="shared" si="72"/>
        <v>0</v>
      </c>
      <c r="J60" s="540">
        <v>0</v>
      </c>
      <c r="K60" s="541"/>
      <c r="L60" s="262">
        <f t="shared" si="73"/>
        <v>0</v>
      </c>
      <c r="M60" s="540"/>
      <c r="N60" s="541">
        <v>430550.69622982084</v>
      </c>
      <c r="O60" s="262">
        <f t="shared" si="74"/>
        <v>430550.69622982084</v>
      </c>
      <c r="P60" s="540"/>
      <c r="Q60" s="541"/>
      <c r="R60" s="262">
        <f t="shared" si="75"/>
        <v>0</v>
      </c>
      <c r="S60" s="540"/>
      <c r="T60" s="541"/>
      <c r="U60" s="262">
        <f t="shared" si="76"/>
        <v>0</v>
      </c>
      <c r="V60" s="540"/>
      <c r="W60" s="541"/>
      <c r="X60" s="262">
        <f t="shared" si="77"/>
        <v>0</v>
      </c>
      <c r="Y60" s="540"/>
      <c r="Z60" s="541"/>
      <c r="AA60" s="262">
        <f t="shared" si="78"/>
        <v>0</v>
      </c>
      <c r="AB60" s="540"/>
      <c r="AC60" s="541"/>
      <c r="AD60" s="262">
        <f t="shared" si="79"/>
        <v>0</v>
      </c>
      <c r="AE60" s="540"/>
      <c r="AF60" s="541"/>
      <c r="AG60" s="262">
        <f t="shared" si="80"/>
        <v>0</v>
      </c>
      <c r="AH60" s="540"/>
      <c r="AI60" s="541"/>
      <c r="AJ60" s="262">
        <f t="shared" si="81"/>
        <v>0</v>
      </c>
      <c r="AK60" s="540"/>
      <c r="AL60" s="541"/>
      <c r="AM60" s="262">
        <f t="shared" si="82"/>
        <v>0</v>
      </c>
      <c r="AN60" s="540"/>
      <c r="AO60" s="541"/>
      <c r="AP60" s="262">
        <f t="shared" si="83"/>
        <v>0</v>
      </c>
      <c r="AQ60" s="540"/>
      <c r="AR60" s="541"/>
      <c r="AS60" s="262">
        <f t="shared" si="84"/>
        <v>0</v>
      </c>
      <c r="AT60" s="540"/>
      <c r="AU60" s="541"/>
      <c r="AV60" s="262">
        <f t="shared" si="85"/>
        <v>0</v>
      </c>
      <c r="AW60" s="540"/>
      <c r="AX60" s="541"/>
      <c r="AY60" s="262">
        <f t="shared" si="86"/>
        <v>0</v>
      </c>
      <c r="AZ60" s="540"/>
      <c r="BA60" s="541"/>
      <c r="BB60" s="262">
        <f t="shared" si="87"/>
        <v>0</v>
      </c>
      <c r="BC60" s="540"/>
      <c r="BD60" s="541"/>
      <c r="BE60" s="262">
        <f t="shared" si="88"/>
        <v>0</v>
      </c>
      <c r="BF60" s="540"/>
      <c r="BG60" s="541"/>
      <c r="BH60" s="262">
        <f t="shared" si="89"/>
        <v>0</v>
      </c>
      <c r="BI60" s="540"/>
      <c r="BJ60" s="541"/>
      <c r="BK60" s="262">
        <f t="shared" si="90"/>
        <v>0</v>
      </c>
      <c r="BL60" s="540"/>
      <c r="BM60" s="541"/>
      <c r="BN60" s="262">
        <f t="shared" si="91"/>
        <v>0</v>
      </c>
      <c r="BO60" s="540"/>
      <c r="BP60" s="541"/>
      <c r="BQ60" s="262">
        <f t="shared" si="92"/>
        <v>0</v>
      </c>
    </row>
    <row r="61" spans="1:70">
      <c r="A61" s="821"/>
      <c r="B61" s="824"/>
      <c r="C61" s="24" t="s">
        <v>31</v>
      </c>
      <c r="D61" s="259">
        <f t="shared" si="69"/>
        <v>0</v>
      </c>
      <c r="E61" s="260">
        <f t="shared" si="50"/>
        <v>538188.37028727599</v>
      </c>
      <c r="F61" s="261">
        <f t="shared" si="71"/>
        <v>538188.37028727599</v>
      </c>
      <c r="G61" s="540"/>
      <c r="H61" s="541"/>
      <c r="I61" s="262">
        <f t="shared" si="72"/>
        <v>0</v>
      </c>
      <c r="J61" s="540">
        <v>0</v>
      </c>
      <c r="K61" s="541"/>
      <c r="L61" s="262">
        <f t="shared" si="73"/>
        <v>0</v>
      </c>
      <c r="M61" s="540"/>
      <c r="N61" s="541">
        <v>538188.37028727599</v>
      </c>
      <c r="O61" s="262">
        <f t="shared" si="74"/>
        <v>538188.37028727599</v>
      </c>
      <c r="P61" s="540"/>
      <c r="Q61" s="541"/>
      <c r="R61" s="262">
        <f t="shared" si="75"/>
        <v>0</v>
      </c>
      <c r="S61" s="540"/>
      <c r="T61" s="541"/>
      <c r="U61" s="262">
        <f t="shared" si="76"/>
        <v>0</v>
      </c>
      <c r="V61" s="540"/>
      <c r="W61" s="541"/>
      <c r="X61" s="262">
        <f t="shared" si="77"/>
        <v>0</v>
      </c>
      <c r="Y61" s="540"/>
      <c r="Z61" s="541"/>
      <c r="AA61" s="262">
        <f t="shared" si="78"/>
        <v>0</v>
      </c>
      <c r="AB61" s="540"/>
      <c r="AC61" s="541"/>
      <c r="AD61" s="262">
        <f t="shared" si="79"/>
        <v>0</v>
      </c>
      <c r="AE61" s="540"/>
      <c r="AF61" s="541"/>
      <c r="AG61" s="262">
        <f t="shared" si="80"/>
        <v>0</v>
      </c>
      <c r="AH61" s="540"/>
      <c r="AI61" s="541"/>
      <c r="AJ61" s="262">
        <f t="shared" si="81"/>
        <v>0</v>
      </c>
      <c r="AK61" s="540"/>
      <c r="AL61" s="541"/>
      <c r="AM61" s="262">
        <f t="shared" si="82"/>
        <v>0</v>
      </c>
      <c r="AN61" s="540"/>
      <c r="AO61" s="541"/>
      <c r="AP61" s="262">
        <f t="shared" si="83"/>
        <v>0</v>
      </c>
      <c r="AQ61" s="540"/>
      <c r="AR61" s="541"/>
      <c r="AS61" s="262">
        <f t="shared" si="84"/>
        <v>0</v>
      </c>
      <c r="AT61" s="540"/>
      <c r="AU61" s="541"/>
      <c r="AV61" s="262">
        <f t="shared" si="85"/>
        <v>0</v>
      </c>
      <c r="AW61" s="540"/>
      <c r="AX61" s="541"/>
      <c r="AY61" s="262">
        <f t="shared" si="86"/>
        <v>0</v>
      </c>
      <c r="AZ61" s="540"/>
      <c r="BA61" s="541"/>
      <c r="BB61" s="262">
        <f t="shared" si="87"/>
        <v>0</v>
      </c>
      <c r="BC61" s="540"/>
      <c r="BD61" s="541"/>
      <c r="BE61" s="262">
        <f t="shared" si="88"/>
        <v>0</v>
      </c>
      <c r="BF61" s="540"/>
      <c r="BG61" s="541"/>
      <c r="BH61" s="262">
        <f t="shared" si="89"/>
        <v>0</v>
      </c>
      <c r="BI61" s="540"/>
      <c r="BJ61" s="541"/>
      <c r="BK61" s="262">
        <f t="shared" si="90"/>
        <v>0</v>
      </c>
      <c r="BL61" s="540"/>
      <c r="BM61" s="541"/>
      <c r="BN61" s="262">
        <f t="shared" si="91"/>
        <v>0</v>
      </c>
      <c r="BO61" s="540"/>
      <c r="BP61" s="541"/>
      <c r="BQ61" s="262">
        <f t="shared" si="92"/>
        <v>0</v>
      </c>
    </row>
    <row r="62" spans="1:70">
      <c r="A62" s="821"/>
      <c r="B62" s="824"/>
      <c r="C62" s="24" t="s">
        <v>32</v>
      </c>
      <c r="D62" s="259">
        <f t="shared" ref="D62:D64" si="93">SUM(G62,J62,M62,P62,S62,V62,Y62,AB62,AE62,AH62,AK62,AN62,AQ62,AT62,AW62,AZ62,AZ62,BC62,BF62,BI62,BL62,BO62)</f>
        <v>0</v>
      </c>
      <c r="E62" s="260">
        <f t="shared" si="50"/>
        <v>645826.04434473114</v>
      </c>
      <c r="F62" s="261">
        <f t="shared" si="71"/>
        <v>645826.04434473114</v>
      </c>
      <c r="G62" s="540"/>
      <c r="H62" s="541"/>
      <c r="I62" s="262">
        <f t="shared" si="72"/>
        <v>0</v>
      </c>
      <c r="J62" s="540">
        <v>0</v>
      </c>
      <c r="K62" s="541"/>
      <c r="L62" s="262">
        <f t="shared" si="73"/>
        <v>0</v>
      </c>
      <c r="M62" s="540"/>
      <c r="N62" s="541">
        <v>645826.04434473114</v>
      </c>
      <c r="O62" s="262">
        <f t="shared" si="74"/>
        <v>645826.04434473114</v>
      </c>
      <c r="P62" s="540"/>
      <c r="Q62" s="541"/>
      <c r="R62" s="262">
        <f t="shared" si="75"/>
        <v>0</v>
      </c>
      <c r="S62" s="540"/>
      <c r="T62" s="541"/>
      <c r="U62" s="262">
        <f t="shared" si="76"/>
        <v>0</v>
      </c>
      <c r="V62" s="540"/>
      <c r="W62" s="541"/>
      <c r="X62" s="262">
        <f t="shared" si="77"/>
        <v>0</v>
      </c>
      <c r="Y62" s="540"/>
      <c r="Z62" s="541"/>
      <c r="AA62" s="262">
        <f t="shared" si="78"/>
        <v>0</v>
      </c>
      <c r="AB62" s="540"/>
      <c r="AC62" s="541"/>
      <c r="AD62" s="262">
        <f t="shared" si="79"/>
        <v>0</v>
      </c>
      <c r="AE62" s="540"/>
      <c r="AF62" s="541"/>
      <c r="AG62" s="262">
        <f t="shared" si="80"/>
        <v>0</v>
      </c>
      <c r="AH62" s="540"/>
      <c r="AI62" s="541"/>
      <c r="AJ62" s="262">
        <f t="shared" si="81"/>
        <v>0</v>
      </c>
      <c r="AK62" s="540"/>
      <c r="AL62" s="541"/>
      <c r="AM62" s="262">
        <f t="shared" si="82"/>
        <v>0</v>
      </c>
      <c r="AN62" s="540"/>
      <c r="AO62" s="541"/>
      <c r="AP62" s="262">
        <f t="shared" si="83"/>
        <v>0</v>
      </c>
      <c r="AQ62" s="540"/>
      <c r="AR62" s="541"/>
      <c r="AS62" s="262">
        <f t="shared" si="84"/>
        <v>0</v>
      </c>
      <c r="AT62" s="540"/>
      <c r="AU62" s="541"/>
      <c r="AV62" s="262">
        <f t="shared" si="85"/>
        <v>0</v>
      </c>
      <c r="AW62" s="540"/>
      <c r="AX62" s="541"/>
      <c r="AY62" s="262">
        <f t="shared" si="86"/>
        <v>0</v>
      </c>
      <c r="AZ62" s="540"/>
      <c r="BA62" s="541"/>
      <c r="BB62" s="262">
        <f t="shared" si="87"/>
        <v>0</v>
      </c>
      <c r="BC62" s="540"/>
      <c r="BD62" s="541"/>
      <c r="BE62" s="262">
        <f t="shared" si="88"/>
        <v>0</v>
      </c>
      <c r="BF62" s="540"/>
      <c r="BG62" s="541"/>
      <c r="BH62" s="262">
        <f t="shared" si="89"/>
        <v>0</v>
      </c>
      <c r="BI62" s="540"/>
      <c r="BJ62" s="541"/>
      <c r="BK62" s="262">
        <f t="shared" si="90"/>
        <v>0</v>
      </c>
      <c r="BL62" s="540"/>
      <c r="BM62" s="541"/>
      <c r="BN62" s="262">
        <f t="shared" si="91"/>
        <v>0</v>
      </c>
      <c r="BO62" s="540"/>
      <c r="BP62" s="541"/>
      <c r="BQ62" s="262">
        <f t="shared" si="92"/>
        <v>0</v>
      </c>
    </row>
    <row r="63" spans="1:70">
      <c r="A63" s="821"/>
      <c r="B63" s="824"/>
      <c r="C63" s="24" t="s">
        <v>33</v>
      </c>
      <c r="D63" s="259">
        <f t="shared" si="93"/>
        <v>0</v>
      </c>
      <c r="E63" s="260">
        <f t="shared" si="50"/>
        <v>753463.71840218629</v>
      </c>
      <c r="F63" s="261">
        <f t="shared" si="71"/>
        <v>753463.71840218629</v>
      </c>
      <c r="G63" s="540"/>
      <c r="H63" s="541"/>
      <c r="I63" s="262">
        <f t="shared" si="72"/>
        <v>0</v>
      </c>
      <c r="J63" s="540">
        <v>0</v>
      </c>
      <c r="K63" s="541"/>
      <c r="L63" s="262">
        <f t="shared" si="73"/>
        <v>0</v>
      </c>
      <c r="M63" s="540"/>
      <c r="N63" s="541">
        <v>753463.71840218629</v>
      </c>
      <c r="O63" s="262">
        <f t="shared" si="74"/>
        <v>753463.71840218629</v>
      </c>
      <c r="P63" s="540"/>
      <c r="Q63" s="541"/>
      <c r="R63" s="262">
        <f t="shared" si="75"/>
        <v>0</v>
      </c>
      <c r="S63" s="540"/>
      <c r="T63" s="541"/>
      <c r="U63" s="262">
        <f t="shared" si="76"/>
        <v>0</v>
      </c>
      <c r="V63" s="540"/>
      <c r="W63" s="541"/>
      <c r="X63" s="262">
        <f t="shared" si="77"/>
        <v>0</v>
      </c>
      <c r="Y63" s="540"/>
      <c r="Z63" s="541"/>
      <c r="AA63" s="262">
        <f t="shared" si="78"/>
        <v>0</v>
      </c>
      <c r="AB63" s="540"/>
      <c r="AC63" s="541"/>
      <c r="AD63" s="262">
        <f t="shared" si="79"/>
        <v>0</v>
      </c>
      <c r="AE63" s="540"/>
      <c r="AF63" s="541"/>
      <c r="AG63" s="262">
        <f t="shared" si="80"/>
        <v>0</v>
      </c>
      <c r="AH63" s="540"/>
      <c r="AI63" s="541"/>
      <c r="AJ63" s="262">
        <f t="shared" si="81"/>
        <v>0</v>
      </c>
      <c r="AK63" s="540"/>
      <c r="AL63" s="541"/>
      <c r="AM63" s="262">
        <f t="shared" si="82"/>
        <v>0</v>
      </c>
      <c r="AN63" s="540"/>
      <c r="AO63" s="541"/>
      <c r="AP63" s="262">
        <f t="shared" si="83"/>
        <v>0</v>
      </c>
      <c r="AQ63" s="540"/>
      <c r="AR63" s="541"/>
      <c r="AS63" s="262">
        <f t="shared" si="84"/>
        <v>0</v>
      </c>
      <c r="AT63" s="540"/>
      <c r="AU63" s="541"/>
      <c r="AV63" s="262">
        <f t="shared" si="85"/>
        <v>0</v>
      </c>
      <c r="AW63" s="540"/>
      <c r="AX63" s="541"/>
      <c r="AY63" s="262">
        <f t="shared" si="86"/>
        <v>0</v>
      </c>
      <c r="AZ63" s="540"/>
      <c r="BA63" s="541"/>
      <c r="BB63" s="262">
        <f t="shared" si="87"/>
        <v>0</v>
      </c>
      <c r="BC63" s="540"/>
      <c r="BD63" s="541"/>
      <c r="BE63" s="262">
        <f t="shared" si="88"/>
        <v>0</v>
      </c>
      <c r="BF63" s="540"/>
      <c r="BG63" s="541"/>
      <c r="BH63" s="262">
        <f t="shared" si="89"/>
        <v>0</v>
      </c>
      <c r="BI63" s="540"/>
      <c r="BJ63" s="541"/>
      <c r="BK63" s="262">
        <f t="shared" si="90"/>
        <v>0</v>
      </c>
      <c r="BL63" s="540"/>
      <c r="BM63" s="541"/>
      <c r="BN63" s="262">
        <f t="shared" si="91"/>
        <v>0</v>
      </c>
      <c r="BO63" s="540"/>
      <c r="BP63" s="541"/>
      <c r="BQ63" s="262">
        <f t="shared" si="92"/>
        <v>0</v>
      </c>
    </row>
    <row r="64" spans="1:70" s="283" customFormat="1" ht="15.75" thickBot="1">
      <c r="A64" s="822"/>
      <c r="B64" s="825"/>
      <c r="C64" s="263" t="s">
        <v>34</v>
      </c>
      <c r="D64" s="264">
        <f t="shared" si="93"/>
        <v>0</v>
      </c>
      <c r="E64" s="265">
        <f t="shared" si="50"/>
        <v>861101.39245964168</v>
      </c>
      <c r="F64" s="266">
        <f t="shared" si="71"/>
        <v>861101.39245964168</v>
      </c>
      <c r="G64" s="542"/>
      <c r="H64" s="543"/>
      <c r="I64" s="267">
        <f t="shared" si="72"/>
        <v>0</v>
      </c>
      <c r="J64" s="542">
        <v>0</v>
      </c>
      <c r="K64" s="543"/>
      <c r="L64" s="267">
        <f t="shared" si="73"/>
        <v>0</v>
      </c>
      <c r="M64" s="542"/>
      <c r="N64" s="543">
        <v>861101.39245964168</v>
      </c>
      <c r="O64" s="267">
        <f t="shared" si="74"/>
        <v>861101.39245964168</v>
      </c>
      <c r="P64" s="542"/>
      <c r="Q64" s="543"/>
      <c r="R64" s="267">
        <f t="shared" si="75"/>
        <v>0</v>
      </c>
      <c r="S64" s="542"/>
      <c r="T64" s="543"/>
      <c r="U64" s="267">
        <f t="shared" si="76"/>
        <v>0</v>
      </c>
      <c r="V64" s="542"/>
      <c r="W64" s="543"/>
      <c r="X64" s="267">
        <f t="shared" si="77"/>
        <v>0</v>
      </c>
      <c r="Y64" s="542"/>
      <c r="Z64" s="543"/>
      <c r="AA64" s="267">
        <f t="shared" si="78"/>
        <v>0</v>
      </c>
      <c r="AB64" s="542"/>
      <c r="AC64" s="543"/>
      <c r="AD64" s="267">
        <f t="shared" si="79"/>
        <v>0</v>
      </c>
      <c r="AE64" s="542"/>
      <c r="AF64" s="543"/>
      <c r="AG64" s="267">
        <f t="shared" si="80"/>
        <v>0</v>
      </c>
      <c r="AH64" s="542"/>
      <c r="AI64" s="543"/>
      <c r="AJ64" s="267">
        <f t="shared" si="81"/>
        <v>0</v>
      </c>
      <c r="AK64" s="542"/>
      <c r="AL64" s="543"/>
      <c r="AM64" s="267">
        <f t="shared" si="82"/>
        <v>0</v>
      </c>
      <c r="AN64" s="542"/>
      <c r="AO64" s="543"/>
      <c r="AP64" s="267">
        <f t="shared" si="83"/>
        <v>0</v>
      </c>
      <c r="AQ64" s="542"/>
      <c r="AR64" s="543"/>
      <c r="AS64" s="267">
        <f t="shared" si="84"/>
        <v>0</v>
      </c>
      <c r="AT64" s="542"/>
      <c r="AU64" s="543"/>
      <c r="AV64" s="267">
        <f t="shared" si="85"/>
        <v>0</v>
      </c>
      <c r="AW64" s="542"/>
      <c r="AX64" s="543"/>
      <c r="AY64" s="267">
        <f t="shared" si="86"/>
        <v>0</v>
      </c>
      <c r="AZ64" s="542"/>
      <c r="BA64" s="543"/>
      <c r="BB64" s="267">
        <f t="shared" si="87"/>
        <v>0</v>
      </c>
      <c r="BC64" s="542"/>
      <c r="BD64" s="543"/>
      <c r="BE64" s="267">
        <f t="shared" si="88"/>
        <v>0</v>
      </c>
      <c r="BF64" s="542"/>
      <c r="BG64" s="543"/>
      <c r="BH64" s="267">
        <f t="shared" si="89"/>
        <v>0</v>
      </c>
      <c r="BI64" s="542"/>
      <c r="BJ64" s="543"/>
      <c r="BK64" s="267">
        <f t="shared" si="90"/>
        <v>0</v>
      </c>
      <c r="BL64" s="542"/>
      <c r="BM64" s="543"/>
      <c r="BN64" s="267">
        <f t="shared" si="91"/>
        <v>0</v>
      </c>
      <c r="BO64" s="542"/>
      <c r="BP64" s="543"/>
      <c r="BQ64" s="267">
        <f t="shared" si="92"/>
        <v>0</v>
      </c>
      <c r="BR64" s="282"/>
    </row>
    <row r="65" spans="1:70" ht="15.75" thickBot="1">
      <c r="A65" s="284"/>
      <c r="B65" s="285"/>
      <c r="C65" s="286"/>
      <c r="D65" s="285"/>
      <c r="E65" s="285"/>
      <c r="F65" s="287" t="s">
        <v>102</v>
      </c>
      <c r="G65" s="288"/>
      <c r="H65" s="288"/>
      <c r="I65" s="289"/>
      <c r="J65" s="288"/>
      <c r="K65" s="288"/>
      <c r="L65" s="289"/>
      <c r="M65" s="288"/>
      <c r="N65" s="288"/>
      <c r="O65" s="289"/>
      <c r="P65" s="288"/>
      <c r="Q65" s="288"/>
      <c r="R65" s="289"/>
      <c r="S65" s="288"/>
      <c r="T65" s="288"/>
      <c r="U65" s="289"/>
      <c r="V65" s="288"/>
      <c r="W65" s="288"/>
      <c r="X65" s="289"/>
      <c r="Y65" s="288"/>
      <c r="Z65" s="288"/>
      <c r="AA65" s="289"/>
      <c r="AB65" s="288"/>
      <c r="AC65" s="288"/>
      <c r="AD65" s="289"/>
      <c r="AE65" s="288"/>
      <c r="AF65" s="288"/>
      <c r="AG65" s="289"/>
      <c r="AH65" s="288"/>
      <c r="AI65" s="288"/>
      <c r="AJ65" s="289"/>
      <c r="AK65" s="288"/>
      <c r="AL65" s="288"/>
      <c r="AM65" s="289"/>
      <c r="AN65" s="288"/>
      <c r="AO65" s="288"/>
      <c r="AP65" s="289"/>
      <c r="AQ65" s="288"/>
      <c r="AR65" s="288"/>
      <c r="AS65" s="289"/>
      <c r="AT65" s="288"/>
      <c r="AU65" s="288"/>
      <c r="AV65" s="289"/>
      <c r="AW65" s="288"/>
      <c r="AX65" s="288"/>
      <c r="AY65" s="289"/>
      <c r="AZ65" s="288"/>
      <c r="BA65" s="288"/>
      <c r="BB65" s="289"/>
      <c r="BC65" s="288"/>
      <c r="BD65" s="288"/>
      <c r="BE65" s="289"/>
      <c r="BF65" s="288"/>
      <c r="BG65" s="288"/>
      <c r="BH65" s="289"/>
      <c r="BI65" s="288"/>
      <c r="BJ65" s="288"/>
      <c r="BK65" s="289"/>
      <c r="BL65" s="288"/>
      <c r="BM65" s="288"/>
      <c r="BN65" s="289"/>
      <c r="BO65" s="288"/>
      <c r="BP65" s="288"/>
      <c r="BQ65" s="289"/>
    </row>
    <row r="66" spans="1:70">
      <c r="A66" s="835" t="s">
        <v>236</v>
      </c>
      <c r="B66" s="837" t="s">
        <v>37</v>
      </c>
      <c r="C66" s="290" t="s">
        <v>25</v>
      </c>
      <c r="D66" s="291">
        <f t="shared" ref="D66:D75" si="94">SUM(G66,J66,M66,P66,S66,V66,Y66,AB66,AE66,AH66,AK66,AN66,AQ66,AT66,AW66,AZ66,AZ66,BC66,BF66,BI66,BL66,BO66)</f>
        <v>104978</v>
      </c>
      <c r="E66" s="292">
        <f t="shared" ref="E66:E75" si="95">SUM(H66,K66,N66,Q66,T66,W66,Z66,AC66,AF66,AI66,AL66,AO66,AR66,AU66,AX66,BA66,BA66,BD66,BG66,BJ66,BM66,BP66)</f>
        <v>104978</v>
      </c>
      <c r="F66" s="293">
        <f t="shared" ref="F66:F75" si="96">SUM(I66,L66,O66,R66,U66,X66,AA66,AD66,AG66,AJ66,AM66,AP66,AS66,AV66,AY66,BB66,BB66,BE66,BH66,BK66,BN66,BQ66)</f>
        <v>0</v>
      </c>
      <c r="G66" s="294">
        <f t="shared" ref="G66:G75" si="97">G5</f>
        <v>0</v>
      </c>
      <c r="H66" s="295">
        <f t="shared" ref="H66:H75" si="98">H5*(1+$BR$66)</f>
        <v>0</v>
      </c>
      <c r="I66" s="296">
        <f>H66-G66</f>
        <v>0</v>
      </c>
      <c r="J66" s="294">
        <f t="shared" ref="J66:J75" si="99">J5</f>
        <v>0</v>
      </c>
      <c r="K66" s="295">
        <f t="shared" ref="K66:K75" si="100">K5*(1+$BR$66)</f>
        <v>0</v>
      </c>
      <c r="L66" s="296">
        <f>K66-J66</f>
        <v>0</v>
      </c>
      <c r="M66" s="294">
        <f t="shared" ref="M66:M75" si="101">M5</f>
        <v>0</v>
      </c>
      <c r="N66" s="295">
        <f t="shared" ref="N66:N75" si="102">N5*(1+$BR$66)</f>
        <v>0</v>
      </c>
      <c r="O66" s="296">
        <f>N66-M66</f>
        <v>0</v>
      </c>
      <c r="P66" s="294">
        <f t="shared" ref="P66:P75" si="103">P5</f>
        <v>0</v>
      </c>
      <c r="Q66" s="295">
        <f t="shared" ref="Q66:Q75" si="104">Q5*(1+$BR$66)</f>
        <v>0</v>
      </c>
      <c r="R66" s="296">
        <f t="shared" ref="R66:R75" si="105">Q66-P66</f>
        <v>0</v>
      </c>
      <c r="S66" s="294">
        <f t="shared" ref="S66:S75" si="106">S5</f>
        <v>0</v>
      </c>
      <c r="T66" s="295">
        <f t="shared" ref="T66:T75" si="107">T5*(1+$BR$66)</f>
        <v>0</v>
      </c>
      <c r="U66" s="296">
        <f t="shared" ref="U66:U75" si="108">T66-S66</f>
        <v>0</v>
      </c>
      <c r="V66" s="294">
        <f t="shared" ref="V66:V75" si="109">V5</f>
        <v>4800</v>
      </c>
      <c r="W66" s="295">
        <f t="shared" ref="W66:W75" si="110">W5*(1+$BR$66)</f>
        <v>4800</v>
      </c>
      <c r="X66" s="296">
        <f t="shared" ref="X66:X75" si="111">W66-V66</f>
        <v>0</v>
      </c>
      <c r="Y66" s="294">
        <f t="shared" ref="Y66:Y75" si="112">Y5</f>
        <v>0</v>
      </c>
      <c r="Z66" s="295">
        <f t="shared" ref="Z66:Z75" si="113">Z5*(1+$BR$66)</f>
        <v>0</v>
      </c>
      <c r="AA66" s="296">
        <f>Z66-Y66</f>
        <v>0</v>
      </c>
      <c r="AB66" s="294">
        <f t="shared" ref="AB66:AB75" si="114">AB5</f>
        <v>0</v>
      </c>
      <c r="AC66" s="295">
        <f t="shared" ref="AC66:AC75" si="115">AC5*(1+$BR$66)</f>
        <v>0</v>
      </c>
      <c r="AD66" s="296">
        <f>AC66-AB66</f>
        <v>0</v>
      </c>
      <c r="AE66" s="294">
        <f t="shared" ref="AE66:AE75" si="116">AE5</f>
        <v>78</v>
      </c>
      <c r="AF66" s="295">
        <f t="shared" ref="AF66:AF75" si="117">AF5*(1+$BR$66)</f>
        <v>78</v>
      </c>
      <c r="AG66" s="296">
        <f t="shared" ref="AG66:AG75" si="118">AF66-AE66</f>
        <v>0</v>
      </c>
      <c r="AH66" s="294">
        <f t="shared" ref="AH66:AH75" si="119">AH5</f>
        <v>100</v>
      </c>
      <c r="AI66" s="295">
        <f t="shared" ref="AI66:AI75" si="120">AI5*(1+$BR$66)</f>
        <v>100</v>
      </c>
      <c r="AJ66" s="296">
        <f t="shared" ref="AJ66:AJ75" si="121">AI66-AH66</f>
        <v>0</v>
      </c>
      <c r="AK66" s="294">
        <f t="shared" ref="AK66:AK75" si="122">AK5</f>
        <v>0</v>
      </c>
      <c r="AL66" s="295">
        <f t="shared" ref="AL66:AL75" si="123">AL5*(1+$BR$66)</f>
        <v>0</v>
      </c>
      <c r="AM66" s="296">
        <f t="shared" ref="AM66:AM75" si="124">AL66-AK66</f>
        <v>0</v>
      </c>
      <c r="AN66" s="294">
        <f t="shared" ref="AN66:AN75" si="125">AN5</f>
        <v>100000</v>
      </c>
      <c r="AO66" s="295">
        <f t="shared" ref="AO66:AO75" si="126">AO5*(1+$BR$66)</f>
        <v>100000</v>
      </c>
      <c r="AP66" s="296">
        <f>AO66-AN66</f>
        <v>0</v>
      </c>
      <c r="AQ66" s="294">
        <f t="shared" ref="AQ66:AQ75" si="127">AQ5</f>
        <v>0</v>
      </c>
      <c r="AR66" s="295">
        <f t="shared" ref="AR66:AR75" si="128">AR5*(1+$BR$66)</f>
        <v>0</v>
      </c>
      <c r="AS66" s="296">
        <f>AR66-AQ66</f>
        <v>0</v>
      </c>
      <c r="AT66" s="294">
        <f t="shared" ref="AT66:AT75" si="129">AT5</f>
        <v>0</v>
      </c>
      <c r="AU66" s="295">
        <f t="shared" ref="AU66:AU75" si="130">AU5*(1+$BR$66)</f>
        <v>0</v>
      </c>
      <c r="AV66" s="296">
        <f t="shared" ref="AV66:AV75" si="131">AU66-AT66</f>
        <v>0</v>
      </c>
      <c r="AW66" s="294">
        <f t="shared" ref="AW66:AW75" si="132">AW5</f>
        <v>0</v>
      </c>
      <c r="AX66" s="295">
        <f t="shared" ref="AX66:AX75" si="133">AX5*(1+$BR$66)</f>
        <v>0</v>
      </c>
      <c r="AY66" s="296">
        <f t="shared" ref="AY66:AY75" si="134">AX66-AW66</f>
        <v>0</v>
      </c>
      <c r="AZ66" s="294">
        <f t="shared" ref="AZ66:AZ75" si="135">AZ5</f>
        <v>0</v>
      </c>
      <c r="BA66" s="295">
        <f t="shared" ref="BA66:BA75" si="136">BA5*(1+$BR$66)</f>
        <v>0</v>
      </c>
      <c r="BB66" s="296">
        <f t="shared" ref="BB66:BB75" si="137">BA66-AZ66</f>
        <v>0</v>
      </c>
      <c r="BC66" s="294">
        <f t="shared" ref="BC66:BC75" si="138">BC5</f>
        <v>0</v>
      </c>
      <c r="BD66" s="295">
        <f t="shared" ref="BD66:BD75" si="139">BD5*(1+$BR$66)</f>
        <v>0</v>
      </c>
      <c r="BE66" s="296">
        <f>BD66-BC66</f>
        <v>0</v>
      </c>
      <c r="BF66" s="294">
        <f t="shared" ref="BF66:BF75" si="140">BF5</f>
        <v>0</v>
      </c>
      <c r="BG66" s="295">
        <f t="shared" ref="BG66:BG75" si="141">BG5*(1+$BR$66)</f>
        <v>0</v>
      </c>
      <c r="BH66" s="296">
        <f>BG66-BF66</f>
        <v>0</v>
      </c>
      <c r="BI66" s="294">
        <f t="shared" ref="BI66:BI75" si="142">BI5</f>
        <v>0</v>
      </c>
      <c r="BJ66" s="295">
        <f t="shared" ref="BJ66:BJ75" si="143">BJ5*(1+$BR$66)</f>
        <v>0</v>
      </c>
      <c r="BK66" s="296">
        <f t="shared" ref="BK66:BK75" si="144">BJ66-BI66</f>
        <v>0</v>
      </c>
      <c r="BL66" s="294">
        <f t="shared" ref="BL66:BL75" si="145">BL5</f>
        <v>0</v>
      </c>
      <c r="BM66" s="295">
        <f t="shared" ref="BM66:BM75" si="146">BM5*(1+$BR$66)</f>
        <v>0</v>
      </c>
      <c r="BN66" s="296">
        <f t="shared" ref="BN66:BN75" si="147">BM66-BL66</f>
        <v>0</v>
      </c>
      <c r="BO66" s="294">
        <f t="shared" ref="BO66:BO75" si="148">BO5</f>
        <v>0</v>
      </c>
      <c r="BP66" s="295">
        <f t="shared" ref="BP66:BP75" si="149">BP5*(1+$BR$66)</f>
        <v>0</v>
      </c>
      <c r="BQ66" s="296">
        <f t="shared" ref="BQ66:BQ75" si="150">BP66-BO66</f>
        <v>0</v>
      </c>
      <c r="BR66" s="297">
        <f>'Analyza citlivosti - AgendovéIS'!K7</f>
        <v>0</v>
      </c>
    </row>
    <row r="67" spans="1:70">
      <c r="A67" s="835"/>
      <c r="B67" s="837"/>
      <c r="C67" s="290" t="s">
        <v>26</v>
      </c>
      <c r="D67" s="291">
        <f t="shared" si="94"/>
        <v>104980</v>
      </c>
      <c r="E67" s="292">
        <f t="shared" si="95"/>
        <v>104980</v>
      </c>
      <c r="F67" s="293">
        <f t="shared" si="96"/>
        <v>0</v>
      </c>
      <c r="G67" s="298">
        <f t="shared" si="97"/>
        <v>0</v>
      </c>
      <c r="H67" s="299">
        <f t="shared" si="98"/>
        <v>0</v>
      </c>
      <c r="I67" s="262">
        <f t="shared" ref="I67:I75" si="151">H67-G67</f>
        <v>0</v>
      </c>
      <c r="J67" s="298">
        <f t="shared" si="99"/>
        <v>0</v>
      </c>
      <c r="K67" s="299">
        <f t="shared" si="100"/>
        <v>0</v>
      </c>
      <c r="L67" s="262">
        <f t="shared" ref="L67:L75" si="152">K67-J67</f>
        <v>0</v>
      </c>
      <c r="M67" s="298">
        <f t="shared" si="101"/>
        <v>0</v>
      </c>
      <c r="N67" s="299">
        <f t="shared" si="102"/>
        <v>0</v>
      </c>
      <c r="O67" s="262">
        <f t="shared" ref="O67:O75" si="153">N67-M67</f>
        <v>0</v>
      </c>
      <c r="P67" s="298">
        <f t="shared" si="103"/>
        <v>0</v>
      </c>
      <c r="Q67" s="299">
        <f t="shared" si="104"/>
        <v>0</v>
      </c>
      <c r="R67" s="262">
        <f t="shared" si="105"/>
        <v>0</v>
      </c>
      <c r="S67" s="298">
        <f t="shared" si="106"/>
        <v>0</v>
      </c>
      <c r="T67" s="299">
        <f t="shared" si="107"/>
        <v>0</v>
      </c>
      <c r="U67" s="262">
        <f t="shared" si="108"/>
        <v>0</v>
      </c>
      <c r="V67" s="298">
        <f t="shared" si="109"/>
        <v>4800</v>
      </c>
      <c r="W67" s="299">
        <f t="shared" si="110"/>
        <v>4800</v>
      </c>
      <c r="X67" s="262">
        <f t="shared" si="111"/>
        <v>0</v>
      </c>
      <c r="Y67" s="298">
        <f t="shared" si="112"/>
        <v>0</v>
      </c>
      <c r="Z67" s="299">
        <f t="shared" si="113"/>
        <v>0</v>
      </c>
      <c r="AA67" s="262">
        <f t="shared" ref="AA67:AA75" si="154">Z67-Y67</f>
        <v>0</v>
      </c>
      <c r="AB67" s="298">
        <f t="shared" si="114"/>
        <v>0</v>
      </c>
      <c r="AC67" s="299">
        <f t="shared" si="115"/>
        <v>0</v>
      </c>
      <c r="AD67" s="262">
        <f t="shared" ref="AD67:AD75" si="155">AC67-AB67</f>
        <v>0</v>
      </c>
      <c r="AE67" s="298">
        <f t="shared" si="116"/>
        <v>80</v>
      </c>
      <c r="AF67" s="299">
        <f t="shared" si="117"/>
        <v>80</v>
      </c>
      <c r="AG67" s="262">
        <f t="shared" si="118"/>
        <v>0</v>
      </c>
      <c r="AH67" s="298">
        <f t="shared" si="119"/>
        <v>100</v>
      </c>
      <c r="AI67" s="299">
        <f t="shared" si="120"/>
        <v>100</v>
      </c>
      <c r="AJ67" s="262">
        <f t="shared" si="121"/>
        <v>0</v>
      </c>
      <c r="AK67" s="298">
        <f t="shared" si="122"/>
        <v>0</v>
      </c>
      <c r="AL67" s="299">
        <f t="shared" si="123"/>
        <v>0</v>
      </c>
      <c r="AM67" s="262">
        <f t="shared" si="124"/>
        <v>0</v>
      </c>
      <c r="AN67" s="298">
        <f t="shared" si="125"/>
        <v>100000</v>
      </c>
      <c r="AO67" s="299">
        <f t="shared" si="126"/>
        <v>100000</v>
      </c>
      <c r="AP67" s="262">
        <f t="shared" ref="AP67:AP75" si="156">AO67-AN67</f>
        <v>0</v>
      </c>
      <c r="AQ67" s="298">
        <f t="shared" si="127"/>
        <v>0</v>
      </c>
      <c r="AR67" s="299">
        <f t="shared" si="128"/>
        <v>0</v>
      </c>
      <c r="AS67" s="262">
        <f t="shared" ref="AS67:AS75" si="157">AR67-AQ67</f>
        <v>0</v>
      </c>
      <c r="AT67" s="298">
        <f t="shared" si="129"/>
        <v>0</v>
      </c>
      <c r="AU67" s="299">
        <f t="shared" si="130"/>
        <v>0</v>
      </c>
      <c r="AV67" s="262">
        <f t="shared" si="131"/>
        <v>0</v>
      </c>
      <c r="AW67" s="298">
        <f t="shared" si="132"/>
        <v>0</v>
      </c>
      <c r="AX67" s="299">
        <f t="shared" si="133"/>
        <v>0</v>
      </c>
      <c r="AY67" s="262">
        <f t="shared" si="134"/>
        <v>0</v>
      </c>
      <c r="AZ67" s="298">
        <f t="shared" si="135"/>
        <v>0</v>
      </c>
      <c r="BA67" s="299">
        <f t="shared" si="136"/>
        <v>0</v>
      </c>
      <c r="BB67" s="262">
        <f t="shared" si="137"/>
        <v>0</v>
      </c>
      <c r="BC67" s="298">
        <f t="shared" si="138"/>
        <v>0</v>
      </c>
      <c r="BD67" s="299">
        <f t="shared" si="139"/>
        <v>0</v>
      </c>
      <c r="BE67" s="262">
        <f t="shared" ref="BE67:BE75" si="158">BD67-BC67</f>
        <v>0</v>
      </c>
      <c r="BF67" s="298">
        <f t="shared" si="140"/>
        <v>0</v>
      </c>
      <c r="BG67" s="299">
        <f t="shared" si="141"/>
        <v>0</v>
      </c>
      <c r="BH67" s="262">
        <f t="shared" ref="BH67:BH75" si="159">BG67-BF67</f>
        <v>0</v>
      </c>
      <c r="BI67" s="298">
        <f t="shared" si="142"/>
        <v>0</v>
      </c>
      <c r="BJ67" s="299">
        <f t="shared" si="143"/>
        <v>0</v>
      </c>
      <c r="BK67" s="262">
        <f t="shared" si="144"/>
        <v>0</v>
      </c>
      <c r="BL67" s="298">
        <f t="shared" si="145"/>
        <v>0</v>
      </c>
      <c r="BM67" s="299">
        <f t="shared" si="146"/>
        <v>0</v>
      </c>
      <c r="BN67" s="262">
        <f t="shared" si="147"/>
        <v>0</v>
      </c>
      <c r="BO67" s="298">
        <f t="shared" si="148"/>
        <v>0</v>
      </c>
      <c r="BP67" s="299">
        <f t="shared" si="149"/>
        <v>0</v>
      </c>
      <c r="BQ67" s="262">
        <f t="shared" si="150"/>
        <v>0</v>
      </c>
    </row>
    <row r="68" spans="1:70">
      <c r="A68" s="835"/>
      <c r="B68" s="837"/>
      <c r="C68" s="290" t="s">
        <v>27</v>
      </c>
      <c r="D68" s="291">
        <f t="shared" si="94"/>
        <v>104980</v>
      </c>
      <c r="E68" s="292">
        <f t="shared" si="95"/>
        <v>107077.8</v>
      </c>
      <c r="F68" s="293">
        <f t="shared" si="96"/>
        <v>2097.8000000000002</v>
      </c>
      <c r="G68" s="298">
        <f t="shared" si="97"/>
        <v>0</v>
      </c>
      <c r="H68" s="299">
        <f t="shared" si="98"/>
        <v>0</v>
      </c>
      <c r="I68" s="262">
        <f t="shared" si="151"/>
        <v>0</v>
      </c>
      <c r="J68" s="298">
        <f t="shared" si="99"/>
        <v>0</v>
      </c>
      <c r="K68" s="299">
        <f t="shared" si="100"/>
        <v>0</v>
      </c>
      <c r="L68" s="262">
        <f t="shared" si="152"/>
        <v>0</v>
      </c>
      <c r="M68" s="298">
        <f t="shared" si="101"/>
        <v>0</v>
      </c>
      <c r="N68" s="299">
        <f t="shared" si="102"/>
        <v>0</v>
      </c>
      <c r="O68" s="262">
        <f t="shared" si="153"/>
        <v>0</v>
      </c>
      <c r="P68" s="298">
        <f t="shared" si="103"/>
        <v>0</v>
      </c>
      <c r="Q68" s="299">
        <f t="shared" si="104"/>
        <v>0</v>
      </c>
      <c r="R68" s="262">
        <f t="shared" si="105"/>
        <v>0</v>
      </c>
      <c r="S68" s="298">
        <f t="shared" si="106"/>
        <v>0</v>
      </c>
      <c r="T68" s="299">
        <f t="shared" si="107"/>
        <v>0</v>
      </c>
      <c r="U68" s="262">
        <f t="shared" si="108"/>
        <v>0</v>
      </c>
      <c r="V68" s="298">
        <f t="shared" si="109"/>
        <v>4800</v>
      </c>
      <c r="W68" s="299">
        <f t="shared" si="110"/>
        <v>4896</v>
      </c>
      <c r="X68" s="262">
        <f t="shared" si="111"/>
        <v>96</v>
      </c>
      <c r="Y68" s="298">
        <f t="shared" si="112"/>
        <v>0</v>
      </c>
      <c r="Z68" s="299">
        <f t="shared" si="113"/>
        <v>0</v>
      </c>
      <c r="AA68" s="262">
        <f t="shared" si="154"/>
        <v>0</v>
      </c>
      <c r="AB68" s="298">
        <f t="shared" si="114"/>
        <v>0</v>
      </c>
      <c r="AC68" s="299">
        <f t="shared" si="115"/>
        <v>0</v>
      </c>
      <c r="AD68" s="262">
        <f t="shared" si="155"/>
        <v>0</v>
      </c>
      <c r="AE68" s="298">
        <f t="shared" si="116"/>
        <v>80</v>
      </c>
      <c r="AF68" s="299">
        <f t="shared" si="117"/>
        <v>80.8</v>
      </c>
      <c r="AG68" s="262">
        <f t="shared" si="118"/>
        <v>0.79999999999999716</v>
      </c>
      <c r="AH68" s="298">
        <f t="shared" si="119"/>
        <v>100</v>
      </c>
      <c r="AI68" s="299">
        <f t="shared" si="120"/>
        <v>101</v>
      </c>
      <c r="AJ68" s="262">
        <f t="shared" si="121"/>
        <v>1</v>
      </c>
      <c r="AK68" s="298">
        <f t="shared" si="122"/>
        <v>0</v>
      </c>
      <c r="AL68" s="299">
        <f t="shared" si="123"/>
        <v>0</v>
      </c>
      <c r="AM68" s="262">
        <f t="shared" si="124"/>
        <v>0</v>
      </c>
      <c r="AN68" s="298">
        <f t="shared" si="125"/>
        <v>100000</v>
      </c>
      <c r="AO68" s="299">
        <f t="shared" si="126"/>
        <v>102000</v>
      </c>
      <c r="AP68" s="262">
        <f t="shared" si="156"/>
        <v>2000</v>
      </c>
      <c r="AQ68" s="298">
        <f t="shared" si="127"/>
        <v>0</v>
      </c>
      <c r="AR68" s="299">
        <f t="shared" si="128"/>
        <v>0</v>
      </c>
      <c r="AS68" s="262">
        <f t="shared" si="157"/>
        <v>0</v>
      </c>
      <c r="AT68" s="298">
        <f t="shared" si="129"/>
        <v>0</v>
      </c>
      <c r="AU68" s="299">
        <f t="shared" si="130"/>
        <v>0</v>
      </c>
      <c r="AV68" s="262">
        <f t="shared" si="131"/>
        <v>0</v>
      </c>
      <c r="AW68" s="298">
        <f t="shared" si="132"/>
        <v>0</v>
      </c>
      <c r="AX68" s="299">
        <f t="shared" si="133"/>
        <v>0</v>
      </c>
      <c r="AY68" s="262">
        <f t="shared" si="134"/>
        <v>0</v>
      </c>
      <c r="AZ68" s="298">
        <f t="shared" si="135"/>
        <v>0</v>
      </c>
      <c r="BA68" s="299">
        <f t="shared" si="136"/>
        <v>0</v>
      </c>
      <c r="BB68" s="262">
        <f t="shared" si="137"/>
        <v>0</v>
      </c>
      <c r="BC68" s="298">
        <f t="shared" si="138"/>
        <v>0</v>
      </c>
      <c r="BD68" s="299">
        <f t="shared" si="139"/>
        <v>0</v>
      </c>
      <c r="BE68" s="262">
        <f t="shared" si="158"/>
        <v>0</v>
      </c>
      <c r="BF68" s="298">
        <f t="shared" si="140"/>
        <v>0</v>
      </c>
      <c r="BG68" s="299">
        <f t="shared" si="141"/>
        <v>0</v>
      </c>
      <c r="BH68" s="262">
        <f t="shared" si="159"/>
        <v>0</v>
      </c>
      <c r="BI68" s="298">
        <f t="shared" si="142"/>
        <v>0</v>
      </c>
      <c r="BJ68" s="299">
        <f t="shared" si="143"/>
        <v>0</v>
      </c>
      <c r="BK68" s="262">
        <f t="shared" si="144"/>
        <v>0</v>
      </c>
      <c r="BL68" s="298">
        <f t="shared" si="145"/>
        <v>0</v>
      </c>
      <c r="BM68" s="299">
        <f t="shared" si="146"/>
        <v>0</v>
      </c>
      <c r="BN68" s="262">
        <f t="shared" si="147"/>
        <v>0</v>
      </c>
      <c r="BO68" s="298">
        <f t="shared" si="148"/>
        <v>0</v>
      </c>
      <c r="BP68" s="299">
        <f t="shared" si="149"/>
        <v>0</v>
      </c>
      <c r="BQ68" s="262">
        <f t="shared" si="150"/>
        <v>0</v>
      </c>
    </row>
    <row r="69" spans="1:70">
      <c r="A69" s="835"/>
      <c r="B69" s="837"/>
      <c r="C69" s="290" t="s">
        <v>28</v>
      </c>
      <c r="D69" s="291">
        <f t="shared" si="94"/>
        <v>104980</v>
      </c>
      <c r="E69" s="292">
        <f t="shared" si="95"/>
        <v>109217.538</v>
      </c>
      <c r="F69" s="293">
        <f t="shared" si="96"/>
        <v>4237.5380000000005</v>
      </c>
      <c r="G69" s="298">
        <f t="shared" si="97"/>
        <v>0</v>
      </c>
      <c r="H69" s="299">
        <f t="shared" si="98"/>
        <v>0</v>
      </c>
      <c r="I69" s="262">
        <f t="shared" si="151"/>
        <v>0</v>
      </c>
      <c r="J69" s="298">
        <f t="shared" si="99"/>
        <v>0</v>
      </c>
      <c r="K69" s="299">
        <f t="shared" si="100"/>
        <v>0</v>
      </c>
      <c r="L69" s="262">
        <f t="shared" si="152"/>
        <v>0</v>
      </c>
      <c r="M69" s="298">
        <f t="shared" si="101"/>
        <v>0</v>
      </c>
      <c r="N69" s="299">
        <f t="shared" si="102"/>
        <v>0</v>
      </c>
      <c r="O69" s="262">
        <f t="shared" si="153"/>
        <v>0</v>
      </c>
      <c r="P69" s="298">
        <f t="shared" si="103"/>
        <v>0</v>
      </c>
      <c r="Q69" s="299">
        <f t="shared" si="104"/>
        <v>0</v>
      </c>
      <c r="R69" s="262">
        <f t="shared" si="105"/>
        <v>0</v>
      </c>
      <c r="S69" s="298">
        <f t="shared" si="106"/>
        <v>0</v>
      </c>
      <c r="T69" s="299">
        <f t="shared" si="107"/>
        <v>0</v>
      </c>
      <c r="U69" s="262">
        <f t="shared" si="108"/>
        <v>0</v>
      </c>
      <c r="V69" s="298">
        <f t="shared" si="109"/>
        <v>4800</v>
      </c>
      <c r="W69" s="299">
        <f t="shared" si="110"/>
        <v>4993.92</v>
      </c>
      <c r="X69" s="262">
        <f t="shared" si="111"/>
        <v>193.92000000000007</v>
      </c>
      <c r="Y69" s="298">
        <f t="shared" si="112"/>
        <v>0</v>
      </c>
      <c r="Z69" s="299">
        <f t="shared" si="113"/>
        <v>0</v>
      </c>
      <c r="AA69" s="262">
        <f t="shared" si="154"/>
        <v>0</v>
      </c>
      <c r="AB69" s="298">
        <f t="shared" si="114"/>
        <v>0</v>
      </c>
      <c r="AC69" s="299">
        <f t="shared" si="115"/>
        <v>0</v>
      </c>
      <c r="AD69" s="262">
        <f t="shared" si="155"/>
        <v>0</v>
      </c>
      <c r="AE69" s="298">
        <f t="shared" si="116"/>
        <v>80</v>
      </c>
      <c r="AF69" s="299">
        <f t="shared" si="117"/>
        <v>81.608000000000004</v>
      </c>
      <c r="AG69" s="262">
        <f t="shared" si="118"/>
        <v>1.6080000000000041</v>
      </c>
      <c r="AH69" s="298">
        <f t="shared" si="119"/>
        <v>100</v>
      </c>
      <c r="AI69" s="299">
        <f t="shared" si="120"/>
        <v>102.01</v>
      </c>
      <c r="AJ69" s="262">
        <f t="shared" si="121"/>
        <v>2.0100000000000051</v>
      </c>
      <c r="AK69" s="298">
        <f t="shared" si="122"/>
        <v>0</v>
      </c>
      <c r="AL69" s="299">
        <f t="shared" si="123"/>
        <v>0</v>
      </c>
      <c r="AM69" s="262">
        <f t="shared" si="124"/>
        <v>0</v>
      </c>
      <c r="AN69" s="298">
        <f t="shared" si="125"/>
        <v>100000</v>
      </c>
      <c r="AO69" s="299">
        <f t="shared" si="126"/>
        <v>104040</v>
      </c>
      <c r="AP69" s="262">
        <f t="shared" si="156"/>
        <v>4040</v>
      </c>
      <c r="AQ69" s="298">
        <f t="shared" si="127"/>
        <v>0</v>
      </c>
      <c r="AR69" s="299">
        <f t="shared" si="128"/>
        <v>0</v>
      </c>
      <c r="AS69" s="262">
        <f t="shared" si="157"/>
        <v>0</v>
      </c>
      <c r="AT69" s="298">
        <f t="shared" si="129"/>
        <v>0</v>
      </c>
      <c r="AU69" s="299">
        <f t="shared" si="130"/>
        <v>0</v>
      </c>
      <c r="AV69" s="262">
        <f t="shared" si="131"/>
        <v>0</v>
      </c>
      <c r="AW69" s="298">
        <f t="shared" si="132"/>
        <v>0</v>
      </c>
      <c r="AX69" s="299">
        <f t="shared" si="133"/>
        <v>0</v>
      </c>
      <c r="AY69" s="262">
        <f t="shared" si="134"/>
        <v>0</v>
      </c>
      <c r="AZ69" s="298">
        <f t="shared" si="135"/>
        <v>0</v>
      </c>
      <c r="BA69" s="299">
        <f t="shared" si="136"/>
        <v>0</v>
      </c>
      <c r="BB69" s="262">
        <f t="shared" si="137"/>
        <v>0</v>
      </c>
      <c r="BC69" s="298">
        <f t="shared" si="138"/>
        <v>0</v>
      </c>
      <c r="BD69" s="299">
        <f t="shared" si="139"/>
        <v>0</v>
      </c>
      <c r="BE69" s="262">
        <f t="shared" si="158"/>
        <v>0</v>
      </c>
      <c r="BF69" s="298">
        <f t="shared" si="140"/>
        <v>0</v>
      </c>
      <c r="BG69" s="299">
        <f t="shared" si="141"/>
        <v>0</v>
      </c>
      <c r="BH69" s="262">
        <f t="shared" si="159"/>
        <v>0</v>
      </c>
      <c r="BI69" s="298">
        <f t="shared" si="142"/>
        <v>0</v>
      </c>
      <c r="BJ69" s="299">
        <f t="shared" si="143"/>
        <v>0</v>
      </c>
      <c r="BK69" s="262">
        <f t="shared" si="144"/>
        <v>0</v>
      </c>
      <c r="BL69" s="298">
        <f t="shared" si="145"/>
        <v>0</v>
      </c>
      <c r="BM69" s="299">
        <f t="shared" si="146"/>
        <v>0</v>
      </c>
      <c r="BN69" s="262">
        <f t="shared" si="147"/>
        <v>0</v>
      </c>
      <c r="BO69" s="298">
        <f t="shared" si="148"/>
        <v>0</v>
      </c>
      <c r="BP69" s="299">
        <f t="shared" si="149"/>
        <v>0</v>
      </c>
      <c r="BQ69" s="262">
        <f t="shared" si="150"/>
        <v>0</v>
      </c>
    </row>
    <row r="70" spans="1:70">
      <c r="A70" s="835"/>
      <c r="B70" s="837"/>
      <c r="C70" s="290" t="s">
        <v>29</v>
      </c>
      <c r="D70" s="291">
        <f t="shared" si="94"/>
        <v>104980</v>
      </c>
      <c r="E70" s="292">
        <f t="shared" si="95"/>
        <v>111400.05258</v>
      </c>
      <c r="F70" s="293">
        <f t="shared" si="96"/>
        <v>6420.0525800000032</v>
      </c>
      <c r="G70" s="298">
        <f t="shared" si="97"/>
        <v>0</v>
      </c>
      <c r="H70" s="299">
        <f t="shared" si="98"/>
        <v>0</v>
      </c>
      <c r="I70" s="262">
        <f t="shared" si="151"/>
        <v>0</v>
      </c>
      <c r="J70" s="298">
        <f t="shared" si="99"/>
        <v>0</v>
      </c>
      <c r="K70" s="299">
        <f t="shared" si="100"/>
        <v>0</v>
      </c>
      <c r="L70" s="262">
        <f t="shared" si="152"/>
        <v>0</v>
      </c>
      <c r="M70" s="298">
        <f t="shared" si="101"/>
        <v>0</v>
      </c>
      <c r="N70" s="299">
        <f t="shared" si="102"/>
        <v>0</v>
      </c>
      <c r="O70" s="262">
        <f t="shared" si="153"/>
        <v>0</v>
      </c>
      <c r="P70" s="298">
        <f t="shared" si="103"/>
        <v>0</v>
      </c>
      <c r="Q70" s="299">
        <f t="shared" si="104"/>
        <v>0</v>
      </c>
      <c r="R70" s="262">
        <f t="shared" si="105"/>
        <v>0</v>
      </c>
      <c r="S70" s="298">
        <f t="shared" si="106"/>
        <v>0</v>
      </c>
      <c r="T70" s="299">
        <f t="shared" si="107"/>
        <v>0</v>
      </c>
      <c r="U70" s="262">
        <f t="shared" si="108"/>
        <v>0</v>
      </c>
      <c r="V70" s="298">
        <f t="shared" si="109"/>
        <v>4800</v>
      </c>
      <c r="W70" s="299">
        <f t="shared" si="110"/>
        <v>5093.7984000000006</v>
      </c>
      <c r="X70" s="262">
        <f t="shared" si="111"/>
        <v>293.79840000000058</v>
      </c>
      <c r="Y70" s="298">
        <f t="shared" si="112"/>
        <v>0</v>
      </c>
      <c r="Z70" s="299">
        <f t="shared" si="113"/>
        <v>0</v>
      </c>
      <c r="AA70" s="262">
        <f t="shared" si="154"/>
        <v>0</v>
      </c>
      <c r="AB70" s="298">
        <f t="shared" si="114"/>
        <v>0</v>
      </c>
      <c r="AC70" s="299">
        <f t="shared" si="115"/>
        <v>0</v>
      </c>
      <c r="AD70" s="262">
        <f t="shared" si="155"/>
        <v>0</v>
      </c>
      <c r="AE70" s="298">
        <f t="shared" si="116"/>
        <v>80</v>
      </c>
      <c r="AF70" s="299">
        <f t="shared" si="117"/>
        <v>82.424080000000004</v>
      </c>
      <c r="AG70" s="262">
        <f t="shared" si="118"/>
        <v>2.4240800000000036</v>
      </c>
      <c r="AH70" s="298">
        <f t="shared" si="119"/>
        <v>100</v>
      </c>
      <c r="AI70" s="299">
        <f t="shared" si="120"/>
        <v>103.0301</v>
      </c>
      <c r="AJ70" s="262">
        <f t="shared" si="121"/>
        <v>3.0301000000000045</v>
      </c>
      <c r="AK70" s="298">
        <f t="shared" si="122"/>
        <v>0</v>
      </c>
      <c r="AL70" s="299">
        <f t="shared" si="123"/>
        <v>0</v>
      </c>
      <c r="AM70" s="262">
        <f t="shared" si="124"/>
        <v>0</v>
      </c>
      <c r="AN70" s="298">
        <f t="shared" si="125"/>
        <v>100000</v>
      </c>
      <c r="AO70" s="299">
        <f t="shared" si="126"/>
        <v>106120.8</v>
      </c>
      <c r="AP70" s="262">
        <f t="shared" si="156"/>
        <v>6120.8000000000029</v>
      </c>
      <c r="AQ70" s="298">
        <f t="shared" si="127"/>
        <v>0</v>
      </c>
      <c r="AR70" s="299">
        <f t="shared" si="128"/>
        <v>0</v>
      </c>
      <c r="AS70" s="262">
        <f t="shared" si="157"/>
        <v>0</v>
      </c>
      <c r="AT70" s="298">
        <f t="shared" si="129"/>
        <v>0</v>
      </c>
      <c r="AU70" s="299">
        <f t="shared" si="130"/>
        <v>0</v>
      </c>
      <c r="AV70" s="262">
        <f t="shared" si="131"/>
        <v>0</v>
      </c>
      <c r="AW70" s="298">
        <f t="shared" si="132"/>
        <v>0</v>
      </c>
      <c r="AX70" s="299">
        <f t="shared" si="133"/>
        <v>0</v>
      </c>
      <c r="AY70" s="262">
        <f t="shared" si="134"/>
        <v>0</v>
      </c>
      <c r="AZ70" s="298">
        <f t="shared" si="135"/>
        <v>0</v>
      </c>
      <c r="BA70" s="299">
        <f t="shared" si="136"/>
        <v>0</v>
      </c>
      <c r="BB70" s="262">
        <f t="shared" si="137"/>
        <v>0</v>
      </c>
      <c r="BC70" s="298">
        <f t="shared" si="138"/>
        <v>0</v>
      </c>
      <c r="BD70" s="299">
        <f t="shared" si="139"/>
        <v>0</v>
      </c>
      <c r="BE70" s="262">
        <f t="shared" si="158"/>
        <v>0</v>
      </c>
      <c r="BF70" s="298">
        <f t="shared" si="140"/>
        <v>0</v>
      </c>
      <c r="BG70" s="299">
        <f t="shared" si="141"/>
        <v>0</v>
      </c>
      <c r="BH70" s="262">
        <f t="shared" si="159"/>
        <v>0</v>
      </c>
      <c r="BI70" s="298">
        <f t="shared" si="142"/>
        <v>0</v>
      </c>
      <c r="BJ70" s="299">
        <f t="shared" si="143"/>
        <v>0</v>
      </c>
      <c r="BK70" s="262">
        <f t="shared" si="144"/>
        <v>0</v>
      </c>
      <c r="BL70" s="298">
        <f t="shared" si="145"/>
        <v>0</v>
      </c>
      <c r="BM70" s="299">
        <f t="shared" si="146"/>
        <v>0</v>
      </c>
      <c r="BN70" s="262">
        <f t="shared" si="147"/>
        <v>0</v>
      </c>
      <c r="BO70" s="298">
        <f t="shared" si="148"/>
        <v>0</v>
      </c>
      <c r="BP70" s="299">
        <f t="shared" si="149"/>
        <v>0</v>
      </c>
      <c r="BQ70" s="262">
        <f t="shared" si="150"/>
        <v>0</v>
      </c>
    </row>
    <row r="71" spans="1:70">
      <c r="A71" s="835"/>
      <c r="B71" s="837"/>
      <c r="C71" s="290" t="s">
        <v>30</v>
      </c>
      <c r="D71" s="291">
        <f t="shared" si="94"/>
        <v>104980</v>
      </c>
      <c r="E71" s="292">
        <f t="shared" si="95"/>
        <v>113626.19908980001</v>
      </c>
      <c r="F71" s="293">
        <f t="shared" si="96"/>
        <v>8646.1990898000004</v>
      </c>
      <c r="G71" s="298">
        <f t="shared" si="97"/>
        <v>0</v>
      </c>
      <c r="H71" s="299">
        <f t="shared" si="98"/>
        <v>0</v>
      </c>
      <c r="I71" s="262">
        <f t="shared" si="151"/>
        <v>0</v>
      </c>
      <c r="J71" s="298">
        <f t="shared" si="99"/>
        <v>0</v>
      </c>
      <c r="K71" s="299">
        <f t="shared" si="100"/>
        <v>0</v>
      </c>
      <c r="L71" s="262">
        <f t="shared" si="152"/>
        <v>0</v>
      </c>
      <c r="M71" s="298">
        <f t="shared" si="101"/>
        <v>0</v>
      </c>
      <c r="N71" s="299">
        <f t="shared" si="102"/>
        <v>0</v>
      </c>
      <c r="O71" s="262">
        <f t="shared" si="153"/>
        <v>0</v>
      </c>
      <c r="P71" s="298">
        <f t="shared" si="103"/>
        <v>0</v>
      </c>
      <c r="Q71" s="299">
        <f t="shared" si="104"/>
        <v>0</v>
      </c>
      <c r="R71" s="262">
        <f t="shared" si="105"/>
        <v>0</v>
      </c>
      <c r="S71" s="298">
        <f t="shared" si="106"/>
        <v>0</v>
      </c>
      <c r="T71" s="299">
        <f t="shared" si="107"/>
        <v>0</v>
      </c>
      <c r="U71" s="262">
        <f t="shared" si="108"/>
        <v>0</v>
      </c>
      <c r="V71" s="298">
        <f t="shared" si="109"/>
        <v>4800</v>
      </c>
      <c r="W71" s="299">
        <f t="shared" si="110"/>
        <v>5195.6743680000009</v>
      </c>
      <c r="X71" s="262">
        <f t="shared" si="111"/>
        <v>395.67436800000087</v>
      </c>
      <c r="Y71" s="298">
        <f t="shared" si="112"/>
        <v>0</v>
      </c>
      <c r="Z71" s="299">
        <f t="shared" si="113"/>
        <v>0</v>
      </c>
      <c r="AA71" s="262">
        <f t="shared" si="154"/>
        <v>0</v>
      </c>
      <c r="AB71" s="298">
        <f t="shared" si="114"/>
        <v>0</v>
      </c>
      <c r="AC71" s="299">
        <f t="shared" si="115"/>
        <v>0</v>
      </c>
      <c r="AD71" s="262">
        <f t="shared" si="155"/>
        <v>0</v>
      </c>
      <c r="AE71" s="298">
        <f t="shared" si="116"/>
        <v>80</v>
      </c>
      <c r="AF71" s="299">
        <f t="shared" si="117"/>
        <v>83.248320800000002</v>
      </c>
      <c r="AG71" s="262">
        <f t="shared" si="118"/>
        <v>3.2483208000000019</v>
      </c>
      <c r="AH71" s="298">
        <f t="shared" si="119"/>
        <v>100</v>
      </c>
      <c r="AI71" s="299">
        <f t="shared" si="120"/>
        <v>104.060401</v>
      </c>
      <c r="AJ71" s="262">
        <f t="shared" si="121"/>
        <v>4.0604009999999988</v>
      </c>
      <c r="AK71" s="298">
        <f t="shared" si="122"/>
        <v>0</v>
      </c>
      <c r="AL71" s="299">
        <f t="shared" si="123"/>
        <v>0</v>
      </c>
      <c r="AM71" s="262">
        <f t="shared" si="124"/>
        <v>0</v>
      </c>
      <c r="AN71" s="298">
        <f t="shared" si="125"/>
        <v>100000</v>
      </c>
      <c r="AO71" s="299">
        <f t="shared" si="126"/>
        <v>108243.216</v>
      </c>
      <c r="AP71" s="262">
        <f t="shared" si="156"/>
        <v>8243.2160000000003</v>
      </c>
      <c r="AQ71" s="298">
        <f t="shared" si="127"/>
        <v>0</v>
      </c>
      <c r="AR71" s="299">
        <f t="shared" si="128"/>
        <v>0</v>
      </c>
      <c r="AS71" s="262">
        <f t="shared" si="157"/>
        <v>0</v>
      </c>
      <c r="AT71" s="298">
        <f t="shared" si="129"/>
        <v>0</v>
      </c>
      <c r="AU71" s="299">
        <f t="shared" si="130"/>
        <v>0</v>
      </c>
      <c r="AV71" s="262">
        <f t="shared" si="131"/>
        <v>0</v>
      </c>
      <c r="AW71" s="298">
        <f t="shared" si="132"/>
        <v>0</v>
      </c>
      <c r="AX71" s="299">
        <f t="shared" si="133"/>
        <v>0</v>
      </c>
      <c r="AY71" s="262">
        <f t="shared" si="134"/>
        <v>0</v>
      </c>
      <c r="AZ71" s="298">
        <f t="shared" si="135"/>
        <v>0</v>
      </c>
      <c r="BA71" s="299">
        <f t="shared" si="136"/>
        <v>0</v>
      </c>
      <c r="BB71" s="262">
        <f t="shared" si="137"/>
        <v>0</v>
      </c>
      <c r="BC71" s="298">
        <f t="shared" si="138"/>
        <v>0</v>
      </c>
      <c r="BD71" s="299">
        <f t="shared" si="139"/>
        <v>0</v>
      </c>
      <c r="BE71" s="262">
        <f t="shared" si="158"/>
        <v>0</v>
      </c>
      <c r="BF71" s="298">
        <f t="shared" si="140"/>
        <v>0</v>
      </c>
      <c r="BG71" s="299">
        <f t="shared" si="141"/>
        <v>0</v>
      </c>
      <c r="BH71" s="262">
        <f t="shared" si="159"/>
        <v>0</v>
      </c>
      <c r="BI71" s="298">
        <f t="shared" si="142"/>
        <v>0</v>
      </c>
      <c r="BJ71" s="299">
        <f t="shared" si="143"/>
        <v>0</v>
      </c>
      <c r="BK71" s="262">
        <f t="shared" si="144"/>
        <v>0</v>
      </c>
      <c r="BL71" s="298">
        <f t="shared" si="145"/>
        <v>0</v>
      </c>
      <c r="BM71" s="299">
        <f t="shared" si="146"/>
        <v>0</v>
      </c>
      <c r="BN71" s="262">
        <f t="shared" si="147"/>
        <v>0</v>
      </c>
      <c r="BO71" s="298">
        <f t="shared" si="148"/>
        <v>0</v>
      </c>
      <c r="BP71" s="299">
        <f t="shared" si="149"/>
        <v>0</v>
      </c>
      <c r="BQ71" s="262">
        <f t="shared" si="150"/>
        <v>0</v>
      </c>
    </row>
    <row r="72" spans="1:70">
      <c r="A72" s="835"/>
      <c r="B72" s="837"/>
      <c r="C72" s="290" t="s">
        <v>31</v>
      </c>
      <c r="D72" s="291">
        <f t="shared" si="94"/>
        <v>104980</v>
      </c>
      <c r="E72" s="292">
        <f t="shared" si="95"/>
        <v>115896.84998437802</v>
      </c>
      <c r="F72" s="293">
        <f t="shared" si="96"/>
        <v>10916.84998437801</v>
      </c>
      <c r="G72" s="298">
        <f t="shared" si="97"/>
        <v>0</v>
      </c>
      <c r="H72" s="299">
        <f t="shared" si="98"/>
        <v>0</v>
      </c>
      <c r="I72" s="262">
        <f t="shared" si="151"/>
        <v>0</v>
      </c>
      <c r="J72" s="298">
        <f t="shared" si="99"/>
        <v>0</v>
      </c>
      <c r="K72" s="299">
        <f t="shared" si="100"/>
        <v>0</v>
      </c>
      <c r="L72" s="262">
        <f t="shared" si="152"/>
        <v>0</v>
      </c>
      <c r="M72" s="298">
        <f t="shared" si="101"/>
        <v>0</v>
      </c>
      <c r="N72" s="299">
        <f t="shared" si="102"/>
        <v>0</v>
      </c>
      <c r="O72" s="262">
        <f t="shared" si="153"/>
        <v>0</v>
      </c>
      <c r="P72" s="298">
        <f t="shared" si="103"/>
        <v>0</v>
      </c>
      <c r="Q72" s="299">
        <f t="shared" si="104"/>
        <v>0</v>
      </c>
      <c r="R72" s="262">
        <f t="shared" si="105"/>
        <v>0</v>
      </c>
      <c r="S72" s="298">
        <f t="shared" si="106"/>
        <v>0</v>
      </c>
      <c r="T72" s="299">
        <f t="shared" si="107"/>
        <v>0</v>
      </c>
      <c r="U72" s="262">
        <f t="shared" si="108"/>
        <v>0</v>
      </c>
      <c r="V72" s="298">
        <f t="shared" si="109"/>
        <v>4800</v>
      </c>
      <c r="W72" s="299">
        <f t="shared" si="110"/>
        <v>5299.5878553600014</v>
      </c>
      <c r="X72" s="262">
        <f t="shared" si="111"/>
        <v>499.58785536000141</v>
      </c>
      <c r="Y72" s="298">
        <f t="shared" si="112"/>
        <v>0</v>
      </c>
      <c r="Z72" s="299">
        <f t="shared" si="113"/>
        <v>0</v>
      </c>
      <c r="AA72" s="262">
        <f t="shared" si="154"/>
        <v>0</v>
      </c>
      <c r="AB72" s="298">
        <f t="shared" si="114"/>
        <v>0</v>
      </c>
      <c r="AC72" s="299">
        <f t="shared" si="115"/>
        <v>0</v>
      </c>
      <c r="AD72" s="262">
        <f t="shared" si="155"/>
        <v>0</v>
      </c>
      <c r="AE72" s="298">
        <f t="shared" si="116"/>
        <v>80</v>
      </c>
      <c r="AF72" s="299">
        <f t="shared" si="117"/>
        <v>84.080804008000001</v>
      </c>
      <c r="AG72" s="262">
        <f t="shared" si="118"/>
        <v>4.0808040080000012</v>
      </c>
      <c r="AH72" s="298">
        <f t="shared" si="119"/>
        <v>100</v>
      </c>
      <c r="AI72" s="299">
        <f t="shared" si="120"/>
        <v>105.10100500999999</v>
      </c>
      <c r="AJ72" s="262">
        <f t="shared" si="121"/>
        <v>5.1010050099999944</v>
      </c>
      <c r="AK72" s="298">
        <f t="shared" si="122"/>
        <v>0</v>
      </c>
      <c r="AL72" s="299">
        <f t="shared" si="123"/>
        <v>0</v>
      </c>
      <c r="AM72" s="262">
        <f t="shared" si="124"/>
        <v>0</v>
      </c>
      <c r="AN72" s="298">
        <f t="shared" si="125"/>
        <v>100000</v>
      </c>
      <c r="AO72" s="299">
        <f t="shared" si="126"/>
        <v>110408.08032000001</v>
      </c>
      <c r="AP72" s="262">
        <f t="shared" si="156"/>
        <v>10408.080320000008</v>
      </c>
      <c r="AQ72" s="298">
        <f t="shared" si="127"/>
        <v>0</v>
      </c>
      <c r="AR72" s="299">
        <f t="shared" si="128"/>
        <v>0</v>
      </c>
      <c r="AS72" s="262">
        <f t="shared" si="157"/>
        <v>0</v>
      </c>
      <c r="AT72" s="298">
        <f t="shared" si="129"/>
        <v>0</v>
      </c>
      <c r="AU72" s="299">
        <f t="shared" si="130"/>
        <v>0</v>
      </c>
      <c r="AV72" s="262">
        <f t="shared" si="131"/>
        <v>0</v>
      </c>
      <c r="AW72" s="298">
        <f t="shared" si="132"/>
        <v>0</v>
      </c>
      <c r="AX72" s="299">
        <f t="shared" si="133"/>
        <v>0</v>
      </c>
      <c r="AY72" s="262">
        <f t="shared" si="134"/>
        <v>0</v>
      </c>
      <c r="AZ72" s="298">
        <f t="shared" si="135"/>
        <v>0</v>
      </c>
      <c r="BA72" s="299">
        <f t="shared" si="136"/>
        <v>0</v>
      </c>
      <c r="BB72" s="262">
        <f t="shared" si="137"/>
        <v>0</v>
      </c>
      <c r="BC72" s="298">
        <f t="shared" si="138"/>
        <v>0</v>
      </c>
      <c r="BD72" s="299">
        <f t="shared" si="139"/>
        <v>0</v>
      </c>
      <c r="BE72" s="262">
        <f t="shared" si="158"/>
        <v>0</v>
      </c>
      <c r="BF72" s="298">
        <f t="shared" si="140"/>
        <v>0</v>
      </c>
      <c r="BG72" s="299">
        <f t="shared" si="141"/>
        <v>0</v>
      </c>
      <c r="BH72" s="262">
        <f t="shared" si="159"/>
        <v>0</v>
      </c>
      <c r="BI72" s="298">
        <f t="shared" si="142"/>
        <v>0</v>
      </c>
      <c r="BJ72" s="299">
        <f t="shared" si="143"/>
        <v>0</v>
      </c>
      <c r="BK72" s="262">
        <f t="shared" si="144"/>
        <v>0</v>
      </c>
      <c r="BL72" s="298">
        <f t="shared" si="145"/>
        <v>0</v>
      </c>
      <c r="BM72" s="299">
        <f t="shared" si="146"/>
        <v>0</v>
      </c>
      <c r="BN72" s="262">
        <f t="shared" si="147"/>
        <v>0</v>
      </c>
      <c r="BO72" s="298">
        <f t="shared" si="148"/>
        <v>0</v>
      </c>
      <c r="BP72" s="299">
        <f t="shared" si="149"/>
        <v>0</v>
      </c>
      <c r="BQ72" s="262">
        <f t="shared" si="150"/>
        <v>0</v>
      </c>
    </row>
    <row r="73" spans="1:70">
      <c r="A73" s="835"/>
      <c r="B73" s="837"/>
      <c r="C73" s="290" t="s">
        <v>32</v>
      </c>
      <c r="D73" s="291">
        <f t="shared" si="94"/>
        <v>104980</v>
      </c>
      <c r="E73" s="292">
        <f t="shared" si="95"/>
        <v>118212.89516597538</v>
      </c>
      <c r="F73" s="293">
        <f t="shared" si="96"/>
        <v>13232.895165975387</v>
      </c>
      <c r="G73" s="298">
        <f t="shared" si="97"/>
        <v>0</v>
      </c>
      <c r="H73" s="299">
        <f t="shared" si="98"/>
        <v>0</v>
      </c>
      <c r="I73" s="262">
        <f t="shared" si="151"/>
        <v>0</v>
      </c>
      <c r="J73" s="298">
        <f t="shared" si="99"/>
        <v>0</v>
      </c>
      <c r="K73" s="299">
        <f t="shared" si="100"/>
        <v>0</v>
      </c>
      <c r="L73" s="262">
        <f t="shared" si="152"/>
        <v>0</v>
      </c>
      <c r="M73" s="298">
        <f t="shared" si="101"/>
        <v>0</v>
      </c>
      <c r="N73" s="299">
        <f t="shared" si="102"/>
        <v>0</v>
      </c>
      <c r="O73" s="262">
        <f t="shared" si="153"/>
        <v>0</v>
      </c>
      <c r="P73" s="298">
        <f t="shared" si="103"/>
        <v>0</v>
      </c>
      <c r="Q73" s="299">
        <f t="shared" si="104"/>
        <v>0</v>
      </c>
      <c r="R73" s="262">
        <f t="shared" si="105"/>
        <v>0</v>
      </c>
      <c r="S73" s="298">
        <f t="shared" si="106"/>
        <v>0</v>
      </c>
      <c r="T73" s="299">
        <f t="shared" si="107"/>
        <v>0</v>
      </c>
      <c r="U73" s="262">
        <f t="shared" si="108"/>
        <v>0</v>
      </c>
      <c r="V73" s="298">
        <f t="shared" si="109"/>
        <v>4800</v>
      </c>
      <c r="W73" s="299">
        <f t="shared" si="110"/>
        <v>5405.5796124672015</v>
      </c>
      <c r="X73" s="262">
        <f t="shared" si="111"/>
        <v>605.57961246720151</v>
      </c>
      <c r="Y73" s="298">
        <f t="shared" si="112"/>
        <v>0</v>
      </c>
      <c r="Z73" s="299">
        <f t="shared" si="113"/>
        <v>0</v>
      </c>
      <c r="AA73" s="262">
        <f t="shared" si="154"/>
        <v>0</v>
      </c>
      <c r="AB73" s="298">
        <f t="shared" si="114"/>
        <v>0</v>
      </c>
      <c r="AC73" s="299">
        <f t="shared" si="115"/>
        <v>0</v>
      </c>
      <c r="AD73" s="262">
        <f t="shared" si="155"/>
        <v>0</v>
      </c>
      <c r="AE73" s="298">
        <f t="shared" si="116"/>
        <v>80</v>
      </c>
      <c r="AF73" s="299">
        <f t="shared" si="117"/>
        <v>84.921612048080007</v>
      </c>
      <c r="AG73" s="262">
        <f t="shared" si="118"/>
        <v>4.9216120480800072</v>
      </c>
      <c r="AH73" s="298">
        <f t="shared" si="119"/>
        <v>100</v>
      </c>
      <c r="AI73" s="299">
        <f t="shared" si="120"/>
        <v>106.1520150601</v>
      </c>
      <c r="AJ73" s="262">
        <f t="shared" si="121"/>
        <v>6.1520150600999983</v>
      </c>
      <c r="AK73" s="298">
        <f t="shared" si="122"/>
        <v>0</v>
      </c>
      <c r="AL73" s="299">
        <f t="shared" si="123"/>
        <v>0</v>
      </c>
      <c r="AM73" s="262">
        <f t="shared" si="124"/>
        <v>0</v>
      </c>
      <c r="AN73" s="298">
        <f t="shared" si="125"/>
        <v>100000</v>
      </c>
      <c r="AO73" s="299">
        <f t="shared" si="126"/>
        <v>112616.24192640001</v>
      </c>
      <c r="AP73" s="262">
        <f t="shared" si="156"/>
        <v>12616.241926400005</v>
      </c>
      <c r="AQ73" s="298">
        <f t="shared" si="127"/>
        <v>0</v>
      </c>
      <c r="AR73" s="299">
        <f t="shared" si="128"/>
        <v>0</v>
      </c>
      <c r="AS73" s="262">
        <f t="shared" si="157"/>
        <v>0</v>
      </c>
      <c r="AT73" s="298">
        <f t="shared" si="129"/>
        <v>0</v>
      </c>
      <c r="AU73" s="299">
        <f t="shared" si="130"/>
        <v>0</v>
      </c>
      <c r="AV73" s="262">
        <f t="shared" si="131"/>
        <v>0</v>
      </c>
      <c r="AW73" s="298">
        <f t="shared" si="132"/>
        <v>0</v>
      </c>
      <c r="AX73" s="299">
        <f t="shared" si="133"/>
        <v>0</v>
      </c>
      <c r="AY73" s="262">
        <f t="shared" si="134"/>
        <v>0</v>
      </c>
      <c r="AZ73" s="298">
        <f t="shared" si="135"/>
        <v>0</v>
      </c>
      <c r="BA73" s="299">
        <f t="shared" si="136"/>
        <v>0</v>
      </c>
      <c r="BB73" s="262">
        <f t="shared" si="137"/>
        <v>0</v>
      </c>
      <c r="BC73" s="298">
        <f t="shared" si="138"/>
        <v>0</v>
      </c>
      <c r="BD73" s="299">
        <f t="shared" si="139"/>
        <v>0</v>
      </c>
      <c r="BE73" s="262">
        <f t="shared" si="158"/>
        <v>0</v>
      </c>
      <c r="BF73" s="298">
        <f t="shared" si="140"/>
        <v>0</v>
      </c>
      <c r="BG73" s="299">
        <f t="shared" si="141"/>
        <v>0</v>
      </c>
      <c r="BH73" s="262">
        <f t="shared" si="159"/>
        <v>0</v>
      </c>
      <c r="BI73" s="298">
        <f t="shared" si="142"/>
        <v>0</v>
      </c>
      <c r="BJ73" s="299">
        <f t="shared" si="143"/>
        <v>0</v>
      </c>
      <c r="BK73" s="262">
        <f t="shared" si="144"/>
        <v>0</v>
      </c>
      <c r="BL73" s="298">
        <f t="shared" si="145"/>
        <v>0</v>
      </c>
      <c r="BM73" s="299">
        <f t="shared" si="146"/>
        <v>0</v>
      </c>
      <c r="BN73" s="262">
        <f t="shared" si="147"/>
        <v>0</v>
      </c>
      <c r="BO73" s="298">
        <f t="shared" si="148"/>
        <v>0</v>
      </c>
      <c r="BP73" s="299">
        <f t="shared" si="149"/>
        <v>0</v>
      </c>
      <c r="BQ73" s="262">
        <f t="shared" si="150"/>
        <v>0</v>
      </c>
    </row>
    <row r="74" spans="1:70">
      <c r="A74" s="835"/>
      <c r="B74" s="837"/>
      <c r="C74" s="290" t="s">
        <v>33</v>
      </c>
      <c r="D74" s="291">
        <f t="shared" si="94"/>
        <v>104980</v>
      </c>
      <c r="E74" s="292">
        <f t="shared" si="95"/>
        <v>120575.24233302381</v>
      </c>
      <c r="F74" s="293">
        <f t="shared" si="96"/>
        <v>15595.242333023816</v>
      </c>
      <c r="G74" s="298">
        <f t="shared" si="97"/>
        <v>0</v>
      </c>
      <c r="H74" s="299">
        <f t="shared" si="98"/>
        <v>0</v>
      </c>
      <c r="I74" s="262">
        <f t="shared" si="151"/>
        <v>0</v>
      </c>
      <c r="J74" s="298">
        <f t="shared" si="99"/>
        <v>0</v>
      </c>
      <c r="K74" s="299">
        <f t="shared" si="100"/>
        <v>0</v>
      </c>
      <c r="L74" s="262">
        <f t="shared" si="152"/>
        <v>0</v>
      </c>
      <c r="M74" s="298">
        <f t="shared" si="101"/>
        <v>0</v>
      </c>
      <c r="N74" s="299">
        <f t="shared" si="102"/>
        <v>0</v>
      </c>
      <c r="O74" s="262">
        <f t="shared" si="153"/>
        <v>0</v>
      </c>
      <c r="P74" s="298">
        <f t="shared" si="103"/>
        <v>0</v>
      </c>
      <c r="Q74" s="299">
        <f t="shared" si="104"/>
        <v>0</v>
      </c>
      <c r="R74" s="262">
        <f t="shared" si="105"/>
        <v>0</v>
      </c>
      <c r="S74" s="298">
        <f t="shared" si="106"/>
        <v>0</v>
      </c>
      <c r="T74" s="299">
        <f t="shared" si="107"/>
        <v>0</v>
      </c>
      <c r="U74" s="262">
        <f t="shared" si="108"/>
        <v>0</v>
      </c>
      <c r="V74" s="298">
        <f t="shared" si="109"/>
        <v>4800</v>
      </c>
      <c r="W74" s="299">
        <f t="shared" si="110"/>
        <v>5513.6912047165461</v>
      </c>
      <c r="X74" s="262">
        <f t="shared" si="111"/>
        <v>713.69120471654605</v>
      </c>
      <c r="Y74" s="298">
        <f t="shared" si="112"/>
        <v>0</v>
      </c>
      <c r="Z74" s="299">
        <f t="shared" si="113"/>
        <v>0</v>
      </c>
      <c r="AA74" s="262">
        <f t="shared" si="154"/>
        <v>0</v>
      </c>
      <c r="AB74" s="298">
        <f t="shared" si="114"/>
        <v>0</v>
      </c>
      <c r="AC74" s="299">
        <f t="shared" si="115"/>
        <v>0</v>
      </c>
      <c r="AD74" s="262">
        <f t="shared" si="155"/>
        <v>0</v>
      </c>
      <c r="AE74" s="298">
        <f t="shared" si="116"/>
        <v>80</v>
      </c>
      <c r="AF74" s="299">
        <f t="shared" si="117"/>
        <v>85.770828168560811</v>
      </c>
      <c r="AG74" s="262">
        <f t="shared" si="118"/>
        <v>5.7708281685608114</v>
      </c>
      <c r="AH74" s="298">
        <f t="shared" si="119"/>
        <v>100</v>
      </c>
      <c r="AI74" s="299">
        <f t="shared" si="120"/>
        <v>107.213535210701</v>
      </c>
      <c r="AJ74" s="262">
        <f t="shared" si="121"/>
        <v>7.2135352107009965</v>
      </c>
      <c r="AK74" s="298">
        <f t="shared" si="122"/>
        <v>0</v>
      </c>
      <c r="AL74" s="299">
        <f t="shared" si="123"/>
        <v>0</v>
      </c>
      <c r="AM74" s="262">
        <f t="shared" si="124"/>
        <v>0</v>
      </c>
      <c r="AN74" s="298">
        <f t="shared" si="125"/>
        <v>100000</v>
      </c>
      <c r="AO74" s="299">
        <f t="shared" si="126"/>
        <v>114868.56676492801</v>
      </c>
      <c r="AP74" s="262">
        <f t="shared" si="156"/>
        <v>14868.566764928008</v>
      </c>
      <c r="AQ74" s="298">
        <f t="shared" si="127"/>
        <v>0</v>
      </c>
      <c r="AR74" s="299">
        <f t="shared" si="128"/>
        <v>0</v>
      </c>
      <c r="AS74" s="262">
        <f t="shared" si="157"/>
        <v>0</v>
      </c>
      <c r="AT74" s="298">
        <f t="shared" si="129"/>
        <v>0</v>
      </c>
      <c r="AU74" s="299">
        <f t="shared" si="130"/>
        <v>0</v>
      </c>
      <c r="AV74" s="262">
        <f t="shared" si="131"/>
        <v>0</v>
      </c>
      <c r="AW74" s="298">
        <f t="shared" si="132"/>
        <v>0</v>
      </c>
      <c r="AX74" s="299">
        <f t="shared" si="133"/>
        <v>0</v>
      </c>
      <c r="AY74" s="262">
        <f t="shared" si="134"/>
        <v>0</v>
      </c>
      <c r="AZ74" s="298">
        <f t="shared" si="135"/>
        <v>0</v>
      </c>
      <c r="BA74" s="299">
        <f t="shared" si="136"/>
        <v>0</v>
      </c>
      <c r="BB74" s="262">
        <f t="shared" si="137"/>
        <v>0</v>
      </c>
      <c r="BC74" s="298">
        <f t="shared" si="138"/>
        <v>0</v>
      </c>
      <c r="BD74" s="299">
        <f t="shared" si="139"/>
        <v>0</v>
      </c>
      <c r="BE74" s="262">
        <f t="shared" si="158"/>
        <v>0</v>
      </c>
      <c r="BF74" s="298">
        <f t="shared" si="140"/>
        <v>0</v>
      </c>
      <c r="BG74" s="299">
        <f t="shared" si="141"/>
        <v>0</v>
      </c>
      <c r="BH74" s="262">
        <f t="shared" si="159"/>
        <v>0</v>
      </c>
      <c r="BI74" s="298">
        <f t="shared" si="142"/>
        <v>0</v>
      </c>
      <c r="BJ74" s="299">
        <f t="shared" si="143"/>
        <v>0</v>
      </c>
      <c r="BK74" s="262">
        <f t="shared" si="144"/>
        <v>0</v>
      </c>
      <c r="BL74" s="298">
        <f t="shared" si="145"/>
        <v>0</v>
      </c>
      <c r="BM74" s="299">
        <f t="shared" si="146"/>
        <v>0</v>
      </c>
      <c r="BN74" s="262">
        <f t="shared" si="147"/>
        <v>0</v>
      </c>
      <c r="BO74" s="298">
        <f t="shared" si="148"/>
        <v>0</v>
      </c>
      <c r="BP74" s="299">
        <f t="shared" si="149"/>
        <v>0</v>
      </c>
      <c r="BQ74" s="262">
        <f t="shared" si="150"/>
        <v>0</v>
      </c>
    </row>
    <row r="75" spans="1:70" ht="15.75" thickBot="1">
      <c r="A75" s="836"/>
      <c r="B75" s="838"/>
      <c r="C75" s="300" t="s">
        <v>34</v>
      </c>
      <c r="D75" s="301">
        <f t="shared" si="94"/>
        <v>104980</v>
      </c>
      <c r="E75" s="302">
        <f t="shared" si="95"/>
        <v>122984.8173360505</v>
      </c>
      <c r="F75" s="303">
        <f t="shared" si="96"/>
        <v>18004.817336050502</v>
      </c>
      <c r="G75" s="304">
        <f t="shared" si="97"/>
        <v>0</v>
      </c>
      <c r="H75" s="305">
        <f t="shared" si="98"/>
        <v>0</v>
      </c>
      <c r="I75" s="267">
        <f t="shared" si="151"/>
        <v>0</v>
      </c>
      <c r="J75" s="304">
        <f t="shared" si="99"/>
        <v>0</v>
      </c>
      <c r="K75" s="305">
        <f t="shared" si="100"/>
        <v>0</v>
      </c>
      <c r="L75" s="267">
        <f t="shared" si="152"/>
        <v>0</v>
      </c>
      <c r="M75" s="304">
        <f t="shared" si="101"/>
        <v>0</v>
      </c>
      <c r="N75" s="305">
        <f t="shared" si="102"/>
        <v>0</v>
      </c>
      <c r="O75" s="267">
        <f t="shared" si="153"/>
        <v>0</v>
      </c>
      <c r="P75" s="304">
        <f t="shared" si="103"/>
        <v>0</v>
      </c>
      <c r="Q75" s="305">
        <f t="shared" si="104"/>
        <v>0</v>
      </c>
      <c r="R75" s="267">
        <f t="shared" si="105"/>
        <v>0</v>
      </c>
      <c r="S75" s="304">
        <f t="shared" si="106"/>
        <v>0</v>
      </c>
      <c r="T75" s="305">
        <f t="shared" si="107"/>
        <v>0</v>
      </c>
      <c r="U75" s="267">
        <f t="shared" si="108"/>
        <v>0</v>
      </c>
      <c r="V75" s="304">
        <f t="shared" si="109"/>
        <v>4800</v>
      </c>
      <c r="W75" s="305">
        <f t="shared" si="110"/>
        <v>5623.9650288108769</v>
      </c>
      <c r="X75" s="267">
        <f t="shared" si="111"/>
        <v>823.9650288108769</v>
      </c>
      <c r="Y75" s="304">
        <f t="shared" si="112"/>
        <v>0</v>
      </c>
      <c r="Z75" s="305">
        <f t="shared" si="113"/>
        <v>0</v>
      </c>
      <c r="AA75" s="267">
        <f t="shared" si="154"/>
        <v>0</v>
      </c>
      <c r="AB75" s="304">
        <f t="shared" si="114"/>
        <v>0</v>
      </c>
      <c r="AC75" s="305">
        <f t="shared" si="115"/>
        <v>0</v>
      </c>
      <c r="AD75" s="267">
        <f t="shared" si="155"/>
        <v>0</v>
      </c>
      <c r="AE75" s="304">
        <f t="shared" si="116"/>
        <v>80</v>
      </c>
      <c r="AF75" s="305">
        <f t="shared" si="117"/>
        <v>86.628536450246415</v>
      </c>
      <c r="AG75" s="267">
        <f t="shared" si="118"/>
        <v>6.6285364502464148</v>
      </c>
      <c r="AH75" s="304">
        <f t="shared" si="119"/>
        <v>100</v>
      </c>
      <c r="AI75" s="305">
        <f t="shared" si="120"/>
        <v>108.28567056280801</v>
      </c>
      <c r="AJ75" s="267">
        <f t="shared" si="121"/>
        <v>8.2856705628080078</v>
      </c>
      <c r="AK75" s="304">
        <f t="shared" si="122"/>
        <v>0</v>
      </c>
      <c r="AL75" s="305">
        <f t="shared" si="123"/>
        <v>0</v>
      </c>
      <c r="AM75" s="267">
        <f t="shared" si="124"/>
        <v>0</v>
      </c>
      <c r="AN75" s="304">
        <f t="shared" si="125"/>
        <v>100000</v>
      </c>
      <c r="AO75" s="305">
        <f t="shared" si="126"/>
        <v>117165.93810022657</v>
      </c>
      <c r="AP75" s="267">
        <f t="shared" si="156"/>
        <v>17165.938100226573</v>
      </c>
      <c r="AQ75" s="304">
        <f t="shared" si="127"/>
        <v>0</v>
      </c>
      <c r="AR75" s="305">
        <f t="shared" si="128"/>
        <v>0</v>
      </c>
      <c r="AS75" s="267">
        <f t="shared" si="157"/>
        <v>0</v>
      </c>
      <c r="AT75" s="304">
        <f t="shared" si="129"/>
        <v>0</v>
      </c>
      <c r="AU75" s="305">
        <f t="shared" si="130"/>
        <v>0</v>
      </c>
      <c r="AV75" s="267">
        <f t="shared" si="131"/>
        <v>0</v>
      </c>
      <c r="AW75" s="304">
        <f t="shared" si="132"/>
        <v>0</v>
      </c>
      <c r="AX75" s="305">
        <f t="shared" si="133"/>
        <v>0</v>
      </c>
      <c r="AY75" s="267">
        <f t="shared" si="134"/>
        <v>0</v>
      </c>
      <c r="AZ75" s="304">
        <f t="shared" si="135"/>
        <v>0</v>
      </c>
      <c r="BA75" s="305">
        <f t="shared" si="136"/>
        <v>0</v>
      </c>
      <c r="BB75" s="267">
        <f t="shared" si="137"/>
        <v>0</v>
      </c>
      <c r="BC75" s="304">
        <f t="shared" si="138"/>
        <v>0</v>
      </c>
      <c r="BD75" s="305">
        <f t="shared" si="139"/>
        <v>0</v>
      </c>
      <c r="BE75" s="267">
        <f t="shared" si="158"/>
        <v>0</v>
      </c>
      <c r="BF75" s="304">
        <f t="shared" si="140"/>
        <v>0</v>
      </c>
      <c r="BG75" s="305">
        <f t="shared" si="141"/>
        <v>0</v>
      </c>
      <c r="BH75" s="267">
        <f t="shared" si="159"/>
        <v>0</v>
      </c>
      <c r="BI75" s="304">
        <f t="shared" si="142"/>
        <v>0</v>
      </c>
      <c r="BJ75" s="305">
        <f t="shared" si="143"/>
        <v>0</v>
      </c>
      <c r="BK75" s="267">
        <f t="shared" si="144"/>
        <v>0</v>
      </c>
      <c r="BL75" s="304">
        <f t="shared" si="145"/>
        <v>0</v>
      </c>
      <c r="BM75" s="305">
        <f t="shared" si="146"/>
        <v>0</v>
      </c>
      <c r="BN75" s="267">
        <f t="shared" si="147"/>
        <v>0</v>
      </c>
      <c r="BO75" s="304">
        <f t="shared" si="148"/>
        <v>0</v>
      </c>
      <c r="BP75" s="305">
        <f t="shared" si="149"/>
        <v>0</v>
      </c>
      <c r="BQ75" s="267">
        <f t="shared" si="150"/>
        <v>0</v>
      </c>
    </row>
    <row r="76" spans="1:70">
      <c r="A76" s="835" t="s">
        <v>147</v>
      </c>
      <c r="B76" s="837" t="s">
        <v>13</v>
      </c>
      <c r="C76" s="290" t="s">
        <v>25</v>
      </c>
      <c r="D76" s="291">
        <f t="shared" ref="D76:D95" si="160">SUM(G76,J76,M76,P76,S76,V76,Y76,AB76,AE76,AH76,AK76,AN76,AQ76,AT76,AW76,AZ76,AZ76,BC76,BF76,BI76,BL76,BO76)</f>
        <v>2664133.3843371649</v>
      </c>
      <c r="E76" s="292">
        <f t="shared" ref="E76:E135" si="161">SUM(H76,K76,N76,Q76,T76,W76,Z76,AC76,AF76,AI76,AL76,AO76,AR76,AU76,AX76,BA76,BA76,BD76,BG76,BJ76,BM76,BP76)</f>
        <v>2664133.3843371649</v>
      </c>
      <c r="F76" s="293">
        <f t="shared" ref="F76:F105" si="162">SUM(I76,L76,O76,R76,U76,X76,AA76,AD76,AG76,AJ76,AM76,AP76,AS76,AV76,AY76,BB76,BB76,BE76,BH76,BK76,BN76,BQ76)</f>
        <v>0</v>
      </c>
      <c r="G76" s="306">
        <f>G5*G35*Faktory!$D$8</f>
        <v>0</v>
      </c>
      <c r="H76" s="307">
        <f>((H66*G35)-(H66*((G35-H35)*(1+$BR$35))))*Faktory!$D$8</f>
        <v>0</v>
      </c>
      <c r="I76" s="257">
        <f>H76-G76</f>
        <v>0</v>
      </c>
      <c r="J76" s="306">
        <f>J5*J35*Faktory!$D$8</f>
        <v>0</v>
      </c>
      <c r="K76" s="307">
        <f>((K66*J35)-(K66*((J35-K35)*(1+$BR$35))))*Faktory!$D$8</f>
        <v>0</v>
      </c>
      <c r="L76" s="257">
        <f>K76-J76</f>
        <v>0</v>
      </c>
      <c r="M76" s="306">
        <f>M5*M35*Faktory!$D$8</f>
        <v>0</v>
      </c>
      <c r="N76" s="307">
        <f>((N66*M35)-(N66*((M35-N35)*(1+$BR$35))))*Faktory!$D$8</f>
        <v>0</v>
      </c>
      <c r="O76" s="257">
        <f>N76-M76</f>
        <v>0</v>
      </c>
      <c r="P76" s="306">
        <f>P5*P35*Faktory!$D$8</f>
        <v>0</v>
      </c>
      <c r="Q76" s="307">
        <f>((Q66*P35)-(Q66*((P35-Q35)*(1+$BR$35))))*Faktory!$D$8</f>
        <v>0</v>
      </c>
      <c r="R76" s="257">
        <f>Q76-P76</f>
        <v>0</v>
      </c>
      <c r="S76" s="306">
        <f>S5*S35*Faktory!$D$8</f>
        <v>0</v>
      </c>
      <c r="T76" s="307">
        <f>((T66*S35)-(T66*((S35-T35)*(1+$BR$35))))*Faktory!$D$8</f>
        <v>0</v>
      </c>
      <c r="U76" s="257">
        <f>T76-S76</f>
        <v>0</v>
      </c>
      <c r="V76" s="306">
        <f>V5*V35*Faktory!$D$8</f>
        <v>1505706.5489655174</v>
      </c>
      <c r="W76" s="307">
        <f>((W66*V35)-(W66*((V35-W35)*(1+$BR$35))))*Faktory!$D$8</f>
        <v>1505706.5489655174</v>
      </c>
      <c r="X76" s="257">
        <f>W76-V76</f>
        <v>0</v>
      </c>
      <c r="Y76" s="306">
        <f>Y5*Y35*Faktory!$D$8</f>
        <v>0</v>
      </c>
      <c r="Z76" s="307">
        <f>((Z66*Y35)-(Z66*((Y35-Z35)*(1+$BR$35))))*Faktory!$D$8</f>
        <v>0</v>
      </c>
      <c r="AA76" s="257">
        <f>Z76-Y76</f>
        <v>0</v>
      </c>
      <c r="AB76" s="306">
        <f>AB5*AB35*Faktory!$D$8</f>
        <v>0</v>
      </c>
      <c r="AC76" s="307">
        <f>((AC66*AB35)-(AC66*((AB35-AC35)*(1+$BR$35))))*Faktory!$D$8</f>
        <v>0</v>
      </c>
      <c r="AD76" s="257">
        <f>AC76-AB76</f>
        <v>0</v>
      </c>
      <c r="AE76" s="306">
        <f>AE5*AE35*Faktory!$D$8</f>
        <v>214092.64993103451</v>
      </c>
      <c r="AF76" s="307">
        <f>((AF66*AE35)-(AF66*((AE35-AF35)*(1+$BR$35))))*Faktory!$D$8</f>
        <v>214092.64993103451</v>
      </c>
      <c r="AG76" s="257">
        <f>AF76-AE76</f>
        <v>0</v>
      </c>
      <c r="AH76" s="306">
        <f>AH5*AH35*Faktory!$D$8</f>
        <v>209125.90957854409</v>
      </c>
      <c r="AI76" s="307">
        <f>((AI66*AH35)-(AI66*((AH35-AI35)*(1+$BR$35))))*Faktory!$D$8</f>
        <v>209125.90957854409</v>
      </c>
      <c r="AJ76" s="257">
        <f>AI76-AH76</f>
        <v>0</v>
      </c>
      <c r="AK76" s="306">
        <f>AK5*AK35*Faktory!$D$8</f>
        <v>0</v>
      </c>
      <c r="AL76" s="307">
        <f>((AL66*AK35)-(AL66*((AK35-AL35)*(1+$BR$35))))*Faktory!$D$8</f>
        <v>0</v>
      </c>
      <c r="AM76" s="257">
        <f>AL76-AK76</f>
        <v>0</v>
      </c>
      <c r="AN76" s="306">
        <f>AN5*AN35*Faktory!$D$8</f>
        <v>735208.27586206899</v>
      </c>
      <c r="AO76" s="307">
        <f>((AO66*AN35)-(AO66*((AN35-AO35)*(1+$BR$35))))*Faktory!$D$8</f>
        <v>735208.27586206899</v>
      </c>
      <c r="AP76" s="257">
        <f>AO76-AN76</f>
        <v>0</v>
      </c>
      <c r="AQ76" s="306">
        <f>AQ5*AQ35*Faktory!$D$8</f>
        <v>0</v>
      </c>
      <c r="AR76" s="307">
        <f>((AR66*AQ35)-(AR66*((AQ35-AR35)*(1+$BR$35))))*Faktory!$D$8</f>
        <v>0</v>
      </c>
      <c r="AS76" s="257">
        <f>AR76-AQ76</f>
        <v>0</v>
      </c>
      <c r="AT76" s="306">
        <f>AT5*AT35*Faktory!$D$8</f>
        <v>0</v>
      </c>
      <c r="AU76" s="307">
        <f>((AU66*AT35)-(AU66*((AT35-AU35)*(1+$BR$35))))*Faktory!$D$8</f>
        <v>0</v>
      </c>
      <c r="AV76" s="257">
        <f>AU76-AT76</f>
        <v>0</v>
      </c>
      <c r="AW76" s="306">
        <f>AW5*AW35*Faktory!$D$8</f>
        <v>0</v>
      </c>
      <c r="AX76" s="307">
        <f>((AX66*AW35)-(AX66*((AW35-AX35)*(1+$BR$35))))*Faktory!$D$8</f>
        <v>0</v>
      </c>
      <c r="AY76" s="257">
        <f>AX76-AW76</f>
        <v>0</v>
      </c>
      <c r="AZ76" s="306">
        <f>AZ5*AZ35*Faktory!$D$8</f>
        <v>0</v>
      </c>
      <c r="BA76" s="307">
        <f>((BA66*AZ35)-(BA66*((AZ35-BA35)*(1+$BR$35))))*Faktory!$D$8</f>
        <v>0</v>
      </c>
      <c r="BB76" s="257">
        <f>BA76-AZ76</f>
        <v>0</v>
      </c>
      <c r="BC76" s="306">
        <f>BC5*BC35*Faktory!$D$8</f>
        <v>0</v>
      </c>
      <c r="BD76" s="307">
        <f>((BD66*BC35)-(BD66*((BC35-BD35)*(1+$BR$35))))*Faktory!$D$8</f>
        <v>0</v>
      </c>
      <c r="BE76" s="257">
        <f>BD76-BC76</f>
        <v>0</v>
      </c>
      <c r="BF76" s="306">
        <f>BF5*BF35*Faktory!$D$8</f>
        <v>0</v>
      </c>
      <c r="BG76" s="307">
        <f>((BG66*BF35)-(BG66*((BF35-BG35)*(1+$BR$35))))*Faktory!$D$8</f>
        <v>0</v>
      </c>
      <c r="BH76" s="257">
        <f>BG76-BF76</f>
        <v>0</v>
      </c>
      <c r="BI76" s="306">
        <f>BI5*BI35*Faktory!$D$8</f>
        <v>0</v>
      </c>
      <c r="BJ76" s="307">
        <f>((BJ66*BI35)-(BJ66*((BI35-BJ35)*(1+$BR$35))))*Faktory!$D$8</f>
        <v>0</v>
      </c>
      <c r="BK76" s="257">
        <f>BJ76-BI76</f>
        <v>0</v>
      </c>
      <c r="BL76" s="306">
        <f>BL5*BL35*Faktory!$D$8</f>
        <v>0</v>
      </c>
      <c r="BM76" s="307">
        <f>((BM66*BL35)-(BM66*((BL35-BM35)*(1+$BR$35))))*Faktory!$D$8</f>
        <v>0</v>
      </c>
      <c r="BN76" s="257">
        <f>BM76-BL76</f>
        <v>0</v>
      </c>
      <c r="BO76" s="306">
        <f>BO5*BO35*Faktory!$D$8</f>
        <v>0</v>
      </c>
      <c r="BP76" s="307">
        <f>((BP66*BO35)-(BP66*((BO35-BP35)*(1+$BR$35))))*Faktory!$D$8</f>
        <v>0</v>
      </c>
      <c r="BQ76" s="257">
        <f>BP76-BO76</f>
        <v>0</v>
      </c>
    </row>
    <row r="77" spans="1:70">
      <c r="A77" s="835"/>
      <c r="B77" s="837"/>
      <c r="C77" s="290" t="s">
        <v>26</v>
      </c>
      <c r="D77" s="291">
        <f t="shared" si="160"/>
        <v>2669622.9394636019</v>
      </c>
      <c r="E77" s="292">
        <f t="shared" si="161"/>
        <v>2669622.9394636019</v>
      </c>
      <c r="F77" s="293">
        <f t="shared" si="162"/>
        <v>0</v>
      </c>
      <c r="G77" s="298">
        <f>G6*G36*Faktory!$D$8</f>
        <v>0</v>
      </c>
      <c r="H77" s="299">
        <f>((H67*G36)-(H67*((G36-H36)*(1+$BR$35))))*Faktory!$D$8</f>
        <v>0</v>
      </c>
      <c r="I77" s="262">
        <f t="shared" ref="I77:I95" si="163">H77-G77</f>
        <v>0</v>
      </c>
      <c r="J77" s="298">
        <f>J6*J36*Faktory!$D$8</f>
        <v>0</v>
      </c>
      <c r="K77" s="299">
        <f>((K67*J36)-(K67*((J36-K36)*(1+$BR$35))))*Faktory!$D$8</f>
        <v>0</v>
      </c>
      <c r="L77" s="262">
        <f t="shared" ref="L77:L95" si="164">K77-J77</f>
        <v>0</v>
      </c>
      <c r="M77" s="298">
        <f>M6*M36*Faktory!$D$8</f>
        <v>0</v>
      </c>
      <c r="N77" s="299">
        <f>((N67*M36)-(N67*((M36-N36)*(1+$BR$35))))*Faktory!$D$8</f>
        <v>0</v>
      </c>
      <c r="O77" s="262">
        <f t="shared" ref="O77:O95" si="165">N77-M77</f>
        <v>0</v>
      </c>
      <c r="P77" s="298">
        <f>P6*P36*Faktory!$D$8</f>
        <v>0</v>
      </c>
      <c r="Q77" s="299">
        <f>((Q67*P36)-(Q67*((P36-Q36)*(1+$BR$35))))*Faktory!$D$8</f>
        <v>0</v>
      </c>
      <c r="R77" s="262">
        <f t="shared" ref="R77:R95" si="166">Q77-P77</f>
        <v>0</v>
      </c>
      <c r="S77" s="298">
        <f>S6*S36*Faktory!$D$8</f>
        <v>0</v>
      </c>
      <c r="T77" s="299">
        <f>((T67*S36)-(T67*((S36-T36)*(1+$BR$35))))*Faktory!$D$8</f>
        <v>0</v>
      </c>
      <c r="U77" s="262">
        <f t="shared" ref="U77:U95" si="167">T77-S77</f>
        <v>0</v>
      </c>
      <c r="V77" s="298">
        <f>V6*V36*Faktory!$D$8</f>
        <v>1505706.5489655174</v>
      </c>
      <c r="W77" s="299">
        <f>((W67*V36)-(W67*((V36-W36)*(1+$BR$35))))*Faktory!$D$8</f>
        <v>1505706.5489655174</v>
      </c>
      <c r="X77" s="262">
        <f t="shared" ref="X77:X95" si="168">W77-V77</f>
        <v>0</v>
      </c>
      <c r="Y77" s="298">
        <f>Y6*Y36*Faktory!$D$8</f>
        <v>0</v>
      </c>
      <c r="Z77" s="299">
        <f>((Z67*Y36)-(Z67*((Y36-Z36)*(1+$BR$35))))*Faktory!$D$8</f>
        <v>0</v>
      </c>
      <c r="AA77" s="262">
        <f t="shared" ref="AA77:AA95" si="169">Z77-Y77</f>
        <v>0</v>
      </c>
      <c r="AB77" s="298">
        <f>AB6*AB36*Faktory!$D$8</f>
        <v>0</v>
      </c>
      <c r="AC77" s="299">
        <f>((AC67*AB36)-(AC67*((AB36-AC36)*(1+$BR$35))))*Faktory!$D$8</f>
        <v>0</v>
      </c>
      <c r="AD77" s="262">
        <f t="shared" ref="AD77:AD95" si="170">AC77-AB77</f>
        <v>0</v>
      </c>
      <c r="AE77" s="298">
        <f>AE6*AE36*Faktory!$D$8</f>
        <v>219582.20505747129</v>
      </c>
      <c r="AF77" s="299">
        <f>((AF67*AE36)-(AF67*((AE36-AF36)*(1+$BR$35))))*Faktory!$D$8</f>
        <v>219582.20505747129</v>
      </c>
      <c r="AG77" s="262">
        <f t="shared" ref="AG77:AG95" si="171">AF77-AE77</f>
        <v>0</v>
      </c>
      <c r="AH77" s="298">
        <f>AH6*AH36*Faktory!$D$8</f>
        <v>209125.90957854409</v>
      </c>
      <c r="AI77" s="299">
        <f>((AI67*AH36)-(AI67*((AH36-AI36)*(1+$BR$35))))*Faktory!$D$8</f>
        <v>209125.90957854409</v>
      </c>
      <c r="AJ77" s="262">
        <f t="shared" ref="AJ77:AJ95" si="172">AI77-AH77</f>
        <v>0</v>
      </c>
      <c r="AK77" s="298">
        <f>AK6*AK36*Faktory!$D$8</f>
        <v>0</v>
      </c>
      <c r="AL77" s="299">
        <f>((AL67*AK36)-(AL67*((AK36-AL36)*(1+$BR$35))))*Faktory!$D$8</f>
        <v>0</v>
      </c>
      <c r="AM77" s="262">
        <f t="shared" ref="AM77:AM95" si="173">AL77-AK77</f>
        <v>0</v>
      </c>
      <c r="AN77" s="298">
        <f>AN6*AN36*Faktory!$D$8</f>
        <v>735208.27586206899</v>
      </c>
      <c r="AO77" s="299">
        <f>((AO67*AN36)-(AO67*((AN36-AO36)*(1+$BR$35))))*Faktory!$D$8</f>
        <v>735208.27586206899</v>
      </c>
      <c r="AP77" s="262">
        <f t="shared" ref="AP77:AP95" si="174">AO77-AN77</f>
        <v>0</v>
      </c>
      <c r="AQ77" s="298">
        <f>AQ6*AQ36*Faktory!$D$8</f>
        <v>0</v>
      </c>
      <c r="AR77" s="299">
        <f>((AR67*AQ36)-(AR67*((AQ36-AR36)*(1+$BR$35))))*Faktory!$D$8</f>
        <v>0</v>
      </c>
      <c r="AS77" s="262">
        <f t="shared" ref="AS77:AS95" si="175">AR77-AQ77</f>
        <v>0</v>
      </c>
      <c r="AT77" s="298">
        <f>AT6*AT36*Faktory!$D$8</f>
        <v>0</v>
      </c>
      <c r="AU77" s="299">
        <f>((AU67*AT36)-(AU67*((AT36-AU36)*(1+$BR$35))))*Faktory!$D$8</f>
        <v>0</v>
      </c>
      <c r="AV77" s="262">
        <f t="shared" ref="AV77:AV95" si="176">AU77-AT77</f>
        <v>0</v>
      </c>
      <c r="AW77" s="298">
        <f>AW6*AW36*Faktory!$D$8</f>
        <v>0</v>
      </c>
      <c r="AX77" s="299">
        <f>((AX67*AW36)-(AX67*((AW36-AX36)*(1+$BR$35))))*Faktory!$D$8</f>
        <v>0</v>
      </c>
      <c r="AY77" s="262">
        <f t="shared" ref="AY77:AY95" si="177">AX77-AW77</f>
        <v>0</v>
      </c>
      <c r="AZ77" s="298">
        <f>AZ6*AZ36*Faktory!$D$8</f>
        <v>0</v>
      </c>
      <c r="BA77" s="299">
        <f>((BA67*AZ36)-(BA67*((AZ36-BA36)*(1+$BR$35))))*Faktory!$D$8</f>
        <v>0</v>
      </c>
      <c r="BB77" s="262">
        <f t="shared" ref="BB77:BB95" si="178">BA77-AZ77</f>
        <v>0</v>
      </c>
      <c r="BC77" s="298">
        <f>BC6*BC36*Faktory!$D$8</f>
        <v>0</v>
      </c>
      <c r="BD77" s="299">
        <f>((BD67*BC36)-(BD67*((BC36-BD36)*(1+$BR$35))))*Faktory!$D$8</f>
        <v>0</v>
      </c>
      <c r="BE77" s="262">
        <f t="shared" ref="BE77:BE95" si="179">BD77-BC77</f>
        <v>0</v>
      </c>
      <c r="BF77" s="298">
        <f>BF6*BF36*Faktory!$D$8</f>
        <v>0</v>
      </c>
      <c r="BG77" s="299">
        <f>((BG67*BF36)-(BG67*((BF36-BG36)*(1+$BR$35))))*Faktory!$D$8</f>
        <v>0</v>
      </c>
      <c r="BH77" s="262">
        <f t="shared" ref="BH77:BH95" si="180">BG77-BF77</f>
        <v>0</v>
      </c>
      <c r="BI77" s="298">
        <f>BI6*BI36*Faktory!$D$8</f>
        <v>0</v>
      </c>
      <c r="BJ77" s="299">
        <f>((BJ67*BI36)-(BJ67*((BI36-BJ36)*(1+$BR$35))))*Faktory!$D$8</f>
        <v>0</v>
      </c>
      <c r="BK77" s="262">
        <f t="shared" ref="BK77:BK95" si="181">BJ77-BI77</f>
        <v>0</v>
      </c>
      <c r="BL77" s="298">
        <f>BL6*BL36*Faktory!$D$8</f>
        <v>0</v>
      </c>
      <c r="BM77" s="299">
        <f>((BM67*BL36)-(BM67*((BL36-BM36)*(1+$BR$35))))*Faktory!$D$8</f>
        <v>0</v>
      </c>
      <c r="BN77" s="262">
        <f t="shared" ref="BN77:BN95" si="182">BM77-BL77</f>
        <v>0</v>
      </c>
      <c r="BO77" s="298">
        <f>BO6*BO36*Faktory!$D$8</f>
        <v>0</v>
      </c>
      <c r="BP77" s="299">
        <f>((BP67*BO36)-(BP67*((BO36-BP36)*(1+$BR$35))))*Faktory!$D$8</f>
        <v>0</v>
      </c>
      <c r="BQ77" s="262">
        <f t="shared" ref="BQ77:BQ95" si="183">BP77-BO77</f>
        <v>0</v>
      </c>
    </row>
    <row r="78" spans="1:70">
      <c r="A78" s="835"/>
      <c r="B78" s="837"/>
      <c r="C78" s="290" t="s">
        <v>27</v>
      </c>
      <c r="D78" s="291">
        <f t="shared" si="160"/>
        <v>2669622.9394636019</v>
      </c>
      <c r="E78" s="292">
        <f t="shared" si="161"/>
        <v>1252363.5798804597</v>
      </c>
      <c r="F78" s="293">
        <f t="shared" si="162"/>
        <v>-1417259.359583142</v>
      </c>
      <c r="G78" s="298">
        <f>G7*G37*Faktory!$D$8</f>
        <v>0</v>
      </c>
      <c r="H78" s="299">
        <f>((H68*G37)-(H68*((G37-H37)*(1+$BR$35))))*Faktory!$D$8</f>
        <v>0</v>
      </c>
      <c r="I78" s="262">
        <f t="shared" si="163"/>
        <v>0</v>
      </c>
      <c r="J78" s="298">
        <f>J7*J37*Faktory!$D$8</f>
        <v>0</v>
      </c>
      <c r="K78" s="299">
        <f>((K68*J37)-(K68*((J37-K37)*(1+$BR$35))))*Faktory!$D$8</f>
        <v>0</v>
      </c>
      <c r="L78" s="262">
        <f t="shared" si="164"/>
        <v>0</v>
      </c>
      <c r="M78" s="298">
        <f>M7*M37*Faktory!$D$8</f>
        <v>0</v>
      </c>
      <c r="N78" s="299">
        <f>((N68*M37)-(N68*((M37-N37)*(1+$BR$35))))*Faktory!$D$8</f>
        <v>0</v>
      </c>
      <c r="O78" s="262">
        <f t="shared" si="165"/>
        <v>0</v>
      </c>
      <c r="P78" s="298">
        <f>P7*P37*Faktory!$D$8</f>
        <v>0</v>
      </c>
      <c r="Q78" s="299">
        <f>((Q68*P37)-(Q68*((P37-Q37)*(1+$BR$35))))*Faktory!$D$8</f>
        <v>0</v>
      </c>
      <c r="R78" s="262">
        <f t="shared" si="166"/>
        <v>0</v>
      </c>
      <c r="S78" s="298">
        <f>S7*S37*Faktory!$D$8</f>
        <v>0</v>
      </c>
      <c r="T78" s="299">
        <f>((T68*S37)-(T68*((S37-T37)*(1+$BR$35))))*Faktory!$D$8</f>
        <v>0</v>
      </c>
      <c r="U78" s="262">
        <f t="shared" si="167"/>
        <v>0</v>
      </c>
      <c r="V78" s="298">
        <f>V7*V37*Faktory!$D$8</f>
        <v>1505706.5489655174</v>
      </c>
      <c r="W78" s="299">
        <f>((W68*V37)-(W68*((V37-W37)*(1+$BR$35))))*Faktory!$D$8</f>
        <v>767910.33997241384</v>
      </c>
      <c r="X78" s="262">
        <f t="shared" si="168"/>
        <v>-737796.20899310359</v>
      </c>
      <c r="Y78" s="298">
        <f>Y7*Y37*Faktory!$D$8</f>
        <v>0</v>
      </c>
      <c r="Z78" s="299">
        <f>((Z68*Y37)-(Z68*((Y37-Z37)*(1+$BR$35))))*Faktory!$D$8</f>
        <v>0</v>
      </c>
      <c r="AA78" s="262">
        <f t="shared" si="169"/>
        <v>0</v>
      </c>
      <c r="AB78" s="298">
        <f>AB7*AB37*Faktory!$D$8</f>
        <v>0</v>
      </c>
      <c r="AC78" s="299">
        <f>((AC68*AB37)-(AC68*((AB37-AC37)*(1+$BR$35))))*Faktory!$D$8</f>
        <v>0</v>
      </c>
      <c r="AD78" s="262">
        <f t="shared" si="170"/>
        <v>0</v>
      </c>
      <c r="AE78" s="298">
        <f>AE7*AE37*Faktory!$D$8</f>
        <v>219582.20505747129</v>
      </c>
      <c r="AF78" s="299">
        <f>((AF68*AE37)-(AF68*((AE37-AF37)*(1+$BR$35))))*Faktory!$D$8</f>
        <v>105608.58433716476</v>
      </c>
      <c r="AG78" s="262">
        <f t="shared" si="171"/>
        <v>-113973.62072030653</v>
      </c>
      <c r="AH78" s="298">
        <f>AH7*AH37*Faktory!$D$8</f>
        <v>209125.90957854409</v>
      </c>
      <c r="AI78" s="299">
        <f>((AI68*AH37)-(AI68*((AH37-AI37)*(1+$BR$35))))*Faktory!$D$8</f>
        <v>112209.12085823755</v>
      </c>
      <c r="AJ78" s="262">
        <f t="shared" si="172"/>
        <v>-96916.788720306533</v>
      </c>
      <c r="AK78" s="298">
        <f>AK7*AK37*Faktory!$D$8</f>
        <v>0</v>
      </c>
      <c r="AL78" s="299">
        <f>((AL68*AK37)-(AL68*((AK37-AL37)*(1+$BR$35))))*Faktory!$D$8</f>
        <v>0</v>
      </c>
      <c r="AM78" s="262">
        <f t="shared" si="173"/>
        <v>0</v>
      </c>
      <c r="AN78" s="298">
        <f>AN7*AN37*Faktory!$D$8</f>
        <v>735208.27586206899</v>
      </c>
      <c r="AO78" s="299">
        <f>((AO68*AN37)-(AO68*((AN37-AO37)*(1+$BR$35))))*Faktory!$D$8</f>
        <v>266635.53471264371</v>
      </c>
      <c r="AP78" s="262">
        <f t="shared" si="174"/>
        <v>-468572.74114942527</v>
      </c>
      <c r="AQ78" s="298">
        <f>AQ7*AQ37*Faktory!$D$8</f>
        <v>0</v>
      </c>
      <c r="AR78" s="299">
        <f>((AR68*AQ37)-(AR68*((AQ37-AR37)*(1+$BR$35))))*Faktory!$D$8</f>
        <v>0</v>
      </c>
      <c r="AS78" s="262">
        <f t="shared" si="175"/>
        <v>0</v>
      </c>
      <c r="AT78" s="298">
        <f>AT7*AT37*Faktory!$D$8</f>
        <v>0</v>
      </c>
      <c r="AU78" s="299">
        <f>((AU68*AT37)-(AU68*((AT37-AU37)*(1+$BR$35))))*Faktory!$D$8</f>
        <v>0</v>
      </c>
      <c r="AV78" s="262">
        <f t="shared" si="176"/>
        <v>0</v>
      </c>
      <c r="AW78" s="298">
        <f>AW7*AW37*Faktory!$D$8</f>
        <v>0</v>
      </c>
      <c r="AX78" s="299">
        <f>((AX68*AW37)-(AX68*((AW37-AX37)*(1+$BR$35))))*Faktory!$D$8</f>
        <v>0</v>
      </c>
      <c r="AY78" s="262">
        <f t="shared" si="177"/>
        <v>0</v>
      </c>
      <c r="AZ78" s="298">
        <f>AZ7*AZ37*Faktory!$D$8</f>
        <v>0</v>
      </c>
      <c r="BA78" s="299">
        <f>((BA68*AZ37)-(BA68*((AZ37-BA37)*(1+$BR$35))))*Faktory!$D$8</f>
        <v>0</v>
      </c>
      <c r="BB78" s="262">
        <f t="shared" si="178"/>
        <v>0</v>
      </c>
      <c r="BC78" s="298">
        <f>BC7*BC37*Faktory!$D$8</f>
        <v>0</v>
      </c>
      <c r="BD78" s="299">
        <f>((BD68*BC37)-(BD68*((BC37-BD37)*(1+$BR$35))))*Faktory!$D$8</f>
        <v>0</v>
      </c>
      <c r="BE78" s="262">
        <f t="shared" si="179"/>
        <v>0</v>
      </c>
      <c r="BF78" s="298">
        <f>BF7*BF37*Faktory!$D$8</f>
        <v>0</v>
      </c>
      <c r="BG78" s="299">
        <f>((BG68*BF37)-(BG68*((BF37-BG37)*(1+$BR$35))))*Faktory!$D$8</f>
        <v>0</v>
      </c>
      <c r="BH78" s="262">
        <f t="shared" si="180"/>
        <v>0</v>
      </c>
      <c r="BI78" s="298">
        <f>BI7*BI37*Faktory!$D$8</f>
        <v>0</v>
      </c>
      <c r="BJ78" s="299">
        <f>((BJ68*BI37)-(BJ68*((BI37-BJ37)*(1+$BR$35))))*Faktory!$D$8</f>
        <v>0</v>
      </c>
      <c r="BK78" s="262">
        <f t="shared" si="181"/>
        <v>0</v>
      </c>
      <c r="BL78" s="298">
        <f>BL7*BL37*Faktory!$D$8</f>
        <v>0</v>
      </c>
      <c r="BM78" s="299">
        <f>((BM68*BL37)-(BM68*((BL37-BM37)*(1+$BR$35))))*Faktory!$D$8</f>
        <v>0</v>
      </c>
      <c r="BN78" s="262">
        <f t="shared" si="182"/>
        <v>0</v>
      </c>
      <c r="BO78" s="298">
        <f>BO7*BO37*Faktory!$D$8</f>
        <v>0</v>
      </c>
      <c r="BP78" s="299">
        <f>((BP68*BO37)-(BP68*((BO37-BP37)*(1+$BR$35))))*Faktory!$D$8</f>
        <v>0</v>
      </c>
      <c r="BQ78" s="262">
        <f t="shared" si="183"/>
        <v>0</v>
      </c>
    </row>
    <row r="79" spans="1:70">
      <c r="A79" s="835"/>
      <c r="B79" s="837"/>
      <c r="C79" s="290" t="s">
        <v>28</v>
      </c>
      <c r="D79" s="291">
        <f t="shared" si="160"/>
        <v>2669622.9394636019</v>
      </c>
      <c r="E79" s="292">
        <f t="shared" si="161"/>
        <v>1275232.6744261151</v>
      </c>
      <c r="F79" s="293">
        <f t="shared" si="162"/>
        <v>-1394390.2650374868</v>
      </c>
      <c r="G79" s="298">
        <f>G8*G38*Faktory!$D$8</f>
        <v>0</v>
      </c>
      <c r="H79" s="299">
        <f>((H69*G38)-(H69*((G38-H38)*(1+$BR$35))))*Faktory!$D$8</f>
        <v>0</v>
      </c>
      <c r="I79" s="262">
        <f t="shared" si="163"/>
        <v>0</v>
      </c>
      <c r="J79" s="298">
        <f>J8*J38*Faktory!$D$8</f>
        <v>0</v>
      </c>
      <c r="K79" s="299">
        <f>((K69*J38)-(K69*((J38-K38)*(1+$BR$35))))*Faktory!$D$8</f>
        <v>0</v>
      </c>
      <c r="L79" s="262">
        <f t="shared" si="164"/>
        <v>0</v>
      </c>
      <c r="M79" s="298">
        <f>M8*M38*Faktory!$D$8</f>
        <v>0</v>
      </c>
      <c r="N79" s="299">
        <f>((N69*M38)-(N69*((M38-N38)*(1+$BR$35))))*Faktory!$D$8</f>
        <v>0</v>
      </c>
      <c r="O79" s="262">
        <f t="shared" si="165"/>
        <v>0</v>
      </c>
      <c r="P79" s="298">
        <f>P8*P38*Faktory!$D$8</f>
        <v>0</v>
      </c>
      <c r="Q79" s="299">
        <f>((Q69*P38)-(Q69*((P38-Q38)*(1+$BR$35))))*Faktory!$D$8</f>
        <v>0</v>
      </c>
      <c r="R79" s="262">
        <f t="shared" si="166"/>
        <v>0</v>
      </c>
      <c r="S79" s="298">
        <f>S8*S38*Faktory!$D$8</f>
        <v>0</v>
      </c>
      <c r="T79" s="299">
        <f>((T69*S38)-(T69*((S38-T38)*(1+$BR$35))))*Faktory!$D$8</f>
        <v>0</v>
      </c>
      <c r="U79" s="262">
        <f t="shared" si="167"/>
        <v>0</v>
      </c>
      <c r="V79" s="298">
        <f>V8*V38*Faktory!$D$8</f>
        <v>1505706.5489655174</v>
      </c>
      <c r="W79" s="299">
        <f>((W69*V38)-(W69*((V38-W38)*(1+$BR$35))))*Faktory!$D$8</f>
        <v>783268.54677186219</v>
      </c>
      <c r="X79" s="262">
        <f t="shared" si="168"/>
        <v>-722438.00219365524</v>
      </c>
      <c r="Y79" s="298">
        <f>Y8*Y38*Faktory!$D$8</f>
        <v>0</v>
      </c>
      <c r="Z79" s="299">
        <f>((Z69*Y38)-(Z69*((Y38-Z38)*(1+$BR$35))))*Faktory!$D$8</f>
        <v>0</v>
      </c>
      <c r="AA79" s="262">
        <f t="shared" si="169"/>
        <v>0</v>
      </c>
      <c r="AB79" s="298">
        <f>AB8*AB38*Faktory!$D$8</f>
        <v>0</v>
      </c>
      <c r="AC79" s="299">
        <f>((AC69*AB38)-(AC69*((AB38-AC38)*(1+$BR$35))))*Faktory!$D$8</f>
        <v>0</v>
      </c>
      <c r="AD79" s="262">
        <f t="shared" si="170"/>
        <v>0</v>
      </c>
      <c r="AE79" s="298">
        <f>AE8*AE38*Faktory!$D$8</f>
        <v>219582.20505747129</v>
      </c>
      <c r="AF79" s="299">
        <f>((AF69*AE38)-(AF69*((AE38-AF38)*(1+$BR$35))))*Faktory!$D$8</f>
        <v>106664.6701805364</v>
      </c>
      <c r="AG79" s="262">
        <f t="shared" si="171"/>
        <v>-112917.53487693489</v>
      </c>
      <c r="AH79" s="298">
        <f>AH8*AH38*Faktory!$D$8</f>
        <v>209125.90957854409</v>
      </c>
      <c r="AI79" s="299">
        <f>((AI69*AH38)-(AI69*((AH38-AI38)*(1+$BR$35))))*Faktory!$D$8</f>
        <v>113331.21206681993</v>
      </c>
      <c r="AJ79" s="262">
        <f t="shared" si="172"/>
        <v>-95794.697511724153</v>
      </c>
      <c r="AK79" s="298">
        <f>AK8*AK38*Faktory!$D$8</f>
        <v>0</v>
      </c>
      <c r="AL79" s="299">
        <f>((AL69*AK38)-(AL69*((AK38-AL38)*(1+$BR$35))))*Faktory!$D$8</f>
        <v>0</v>
      </c>
      <c r="AM79" s="262">
        <f t="shared" si="173"/>
        <v>0</v>
      </c>
      <c r="AN79" s="298">
        <f>AN8*AN38*Faktory!$D$8</f>
        <v>735208.27586206899</v>
      </c>
      <c r="AO79" s="299">
        <f>((AO69*AN38)-(AO69*((AN38-AO38)*(1+$BR$35))))*Faktory!$D$8</f>
        <v>271968.24540689657</v>
      </c>
      <c r="AP79" s="262">
        <f t="shared" si="174"/>
        <v>-463240.03045517241</v>
      </c>
      <c r="AQ79" s="298">
        <f>AQ8*AQ38*Faktory!$D$8</f>
        <v>0</v>
      </c>
      <c r="AR79" s="299">
        <f>((AR69*AQ38)-(AR69*((AQ38-AR38)*(1+$BR$35))))*Faktory!$D$8</f>
        <v>0</v>
      </c>
      <c r="AS79" s="262">
        <f t="shared" si="175"/>
        <v>0</v>
      </c>
      <c r="AT79" s="298">
        <f>AT8*AT38*Faktory!$D$8</f>
        <v>0</v>
      </c>
      <c r="AU79" s="299">
        <f>((AU69*AT38)-(AU69*((AT38-AU38)*(1+$BR$35))))*Faktory!$D$8</f>
        <v>0</v>
      </c>
      <c r="AV79" s="262">
        <f t="shared" si="176"/>
        <v>0</v>
      </c>
      <c r="AW79" s="298">
        <f>AW8*AW38*Faktory!$D$8</f>
        <v>0</v>
      </c>
      <c r="AX79" s="299">
        <f>((AX69*AW38)-(AX69*((AW38-AX38)*(1+$BR$35))))*Faktory!$D$8</f>
        <v>0</v>
      </c>
      <c r="AY79" s="262">
        <f t="shared" si="177"/>
        <v>0</v>
      </c>
      <c r="AZ79" s="298">
        <f>AZ8*AZ38*Faktory!$D$8</f>
        <v>0</v>
      </c>
      <c r="BA79" s="299">
        <f>((BA69*AZ38)-(BA69*((AZ38-BA38)*(1+$BR$35))))*Faktory!$D$8</f>
        <v>0</v>
      </c>
      <c r="BB79" s="262">
        <f t="shared" si="178"/>
        <v>0</v>
      </c>
      <c r="BC79" s="298">
        <f>BC8*BC38*Faktory!$D$8</f>
        <v>0</v>
      </c>
      <c r="BD79" s="299">
        <f>((BD69*BC38)-(BD69*((BC38-BD38)*(1+$BR$35))))*Faktory!$D$8</f>
        <v>0</v>
      </c>
      <c r="BE79" s="262">
        <f t="shared" si="179"/>
        <v>0</v>
      </c>
      <c r="BF79" s="298">
        <f>BF8*BF38*Faktory!$D$8</f>
        <v>0</v>
      </c>
      <c r="BG79" s="299">
        <f>((BG69*BF38)-(BG69*((BF38-BG38)*(1+$BR$35))))*Faktory!$D$8</f>
        <v>0</v>
      </c>
      <c r="BH79" s="262">
        <f t="shared" si="180"/>
        <v>0</v>
      </c>
      <c r="BI79" s="298">
        <f>BI8*BI38*Faktory!$D$8</f>
        <v>0</v>
      </c>
      <c r="BJ79" s="299">
        <f>((BJ69*BI38)-(BJ69*((BI38-BJ38)*(1+$BR$35))))*Faktory!$D$8</f>
        <v>0</v>
      </c>
      <c r="BK79" s="262">
        <f t="shared" si="181"/>
        <v>0</v>
      </c>
      <c r="BL79" s="298">
        <f>BL8*BL38*Faktory!$D$8</f>
        <v>0</v>
      </c>
      <c r="BM79" s="299">
        <f>((BM69*BL38)-(BM69*((BL38-BM38)*(1+$BR$35))))*Faktory!$D$8</f>
        <v>0</v>
      </c>
      <c r="BN79" s="262">
        <f t="shared" si="182"/>
        <v>0</v>
      </c>
      <c r="BO79" s="298">
        <f>BO8*BO38*Faktory!$D$8</f>
        <v>0</v>
      </c>
      <c r="BP79" s="299">
        <f>((BP69*BO38)-(BP69*((BO38-BP38)*(1+$BR$35))))*Faktory!$D$8</f>
        <v>0</v>
      </c>
      <c r="BQ79" s="262">
        <f t="shared" si="183"/>
        <v>0</v>
      </c>
    </row>
    <row r="80" spans="1:70">
      <c r="A80" s="835"/>
      <c r="B80" s="837"/>
      <c r="C80" s="290" t="s">
        <v>29</v>
      </c>
      <c r="D80" s="291">
        <f t="shared" si="160"/>
        <v>2669622.9394636019</v>
      </c>
      <c r="E80" s="292">
        <f t="shared" si="161"/>
        <v>1298537.3690921641</v>
      </c>
      <c r="F80" s="293">
        <f t="shared" si="162"/>
        <v>-1371085.5703714378</v>
      </c>
      <c r="G80" s="298">
        <f>G9*G39*Faktory!$D$8</f>
        <v>0</v>
      </c>
      <c r="H80" s="299">
        <f>((H70*G39)-(H70*((G39-H39)*(1+$BR$35))))*Faktory!$D$8</f>
        <v>0</v>
      </c>
      <c r="I80" s="262">
        <f t="shared" si="163"/>
        <v>0</v>
      </c>
      <c r="J80" s="298">
        <f>J9*J39*Faktory!$D$8</f>
        <v>0</v>
      </c>
      <c r="K80" s="299">
        <f>((K70*J39)-(K70*((J39-K39)*(1+$BR$35))))*Faktory!$D$8</f>
        <v>0</v>
      </c>
      <c r="L80" s="262">
        <f t="shared" si="164"/>
        <v>0</v>
      </c>
      <c r="M80" s="298">
        <f>M9*M39*Faktory!$D$8</f>
        <v>0</v>
      </c>
      <c r="N80" s="299">
        <f>((N70*M39)-(N70*((M39-N39)*(1+$BR$35))))*Faktory!$D$8</f>
        <v>0</v>
      </c>
      <c r="O80" s="262">
        <f t="shared" si="165"/>
        <v>0</v>
      </c>
      <c r="P80" s="298">
        <f>P9*P39*Faktory!$D$8</f>
        <v>0</v>
      </c>
      <c r="Q80" s="299">
        <f>((Q70*P39)-(Q70*((P39-Q39)*(1+$BR$35))))*Faktory!$D$8</f>
        <v>0</v>
      </c>
      <c r="R80" s="262">
        <f t="shared" si="166"/>
        <v>0</v>
      </c>
      <c r="S80" s="298">
        <f>S9*S39*Faktory!$D$8</f>
        <v>0</v>
      </c>
      <c r="T80" s="299">
        <f>((T70*S39)-(T70*((S39-T39)*(1+$BR$35))))*Faktory!$D$8</f>
        <v>0</v>
      </c>
      <c r="U80" s="262">
        <f t="shared" si="167"/>
        <v>0</v>
      </c>
      <c r="V80" s="298">
        <f>V9*V39*Faktory!$D$8</f>
        <v>1505706.5489655174</v>
      </c>
      <c r="W80" s="299">
        <f>((W70*V39)-(W70*((V39-W39)*(1+$BR$35))))*Faktory!$D$8</f>
        <v>798933.91770729958</v>
      </c>
      <c r="X80" s="262">
        <f t="shared" si="168"/>
        <v>-706772.63125821785</v>
      </c>
      <c r="Y80" s="298">
        <f>Y9*Y39*Faktory!$D$8</f>
        <v>0</v>
      </c>
      <c r="Z80" s="299">
        <f>((Z70*Y39)-(Z70*((Y39-Z39)*(1+$BR$35))))*Faktory!$D$8</f>
        <v>0</v>
      </c>
      <c r="AA80" s="262">
        <f t="shared" si="169"/>
        <v>0</v>
      </c>
      <c r="AB80" s="298">
        <f>AB9*AB39*Faktory!$D$8</f>
        <v>0</v>
      </c>
      <c r="AC80" s="299">
        <f>((AC70*AB39)-(AC70*((AB39-AC39)*(1+$BR$35))))*Faktory!$D$8</f>
        <v>0</v>
      </c>
      <c r="AD80" s="262">
        <f t="shared" si="170"/>
        <v>0</v>
      </c>
      <c r="AE80" s="298">
        <f>AE9*AE39*Faktory!$D$8</f>
        <v>219582.20505747129</v>
      </c>
      <c r="AF80" s="299">
        <f>((AF70*AE39)-(AF70*((AE39-AF39)*(1+$BR$35))))*Faktory!$D$8</f>
        <v>107731.31688234179</v>
      </c>
      <c r="AG80" s="262">
        <f t="shared" si="171"/>
        <v>-111850.8881751295</v>
      </c>
      <c r="AH80" s="298">
        <f>AH9*AH39*Faktory!$D$8</f>
        <v>209125.90957854409</v>
      </c>
      <c r="AI80" s="299">
        <f>((AI70*AH39)-(AI70*((AH39-AI39)*(1+$BR$35))))*Faktory!$D$8</f>
        <v>114464.52418748812</v>
      </c>
      <c r="AJ80" s="262">
        <f t="shared" si="172"/>
        <v>-94661.38539105597</v>
      </c>
      <c r="AK80" s="298">
        <f>AK9*AK39*Faktory!$D$8</f>
        <v>0</v>
      </c>
      <c r="AL80" s="299">
        <f>((AL70*AK39)-(AL70*((AK39-AL39)*(1+$BR$35))))*Faktory!$D$8</f>
        <v>0</v>
      </c>
      <c r="AM80" s="262">
        <f t="shared" si="173"/>
        <v>0</v>
      </c>
      <c r="AN80" s="298">
        <f>AN9*AN39*Faktory!$D$8</f>
        <v>735208.27586206899</v>
      </c>
      <c r="AO80" s="299">
        <f>((AO70*AN39)-(AO70*((AN39-AO39)*(1+$BR$35))))*Faktory!$D$8</f>
        <v>277407.61031503457</v>
      </c>
      <c r="AP80" s="262">
        <f t="shared" si="174"/>
        <v>-457800.66554703441</v>
      </c>
      <c r="AQ80" s="298">
        <f>AQ9*AQ39*Faktory!$D$8</f>
        <v>0</v>
      </c>
      <c r="AR80" s="299">
        <f>((AR70*AQ39)-(AR70*((AQ39-AR39)*(1+$BR$35))))*Faktory!$D$8</f>
        <v>0</v>
      </c>
      <c r="AS80" s="262">
        <f t="shared" si="175"/>
        <v>0</v>
      </c>
      <c r="AT80" s="298">
        <f>AT9*AT39*Faktory!$D$8</f>
        <v>0</v>
      </c>
      <c r="AU80" s="299">
        <f>((AU70*AT39)-(AU70*((AT39-AU39)*(1+$BR$35))))*Faktory!$D$8</f>
        <v>0</v>
      </c>
      <c r="AV80" s="262">
        <f t="shared" si="176"/>
        <v>0</v>
      </c>
      <c r="AW80" s="298">
        <f>AW9*AW39*Faktory!$D$8</f>
        <v>0</v>
      </c>
      <c r="AX80" s="299">
        <f>((AX70*AW39)-(AX70*((AW39-AX39)*(1+$BR$35))))*Faktory!$D$8</f>
        <v>0</v>
      </c>
      <c r="AY80" s="262">
        <f t="shared" si="177"/>
        <v>0</v>
      </c>
      <c r="AZ80" s="298">
        <f>AZ9*AZ39*Faktory!$D$8</f>
        <v>0</v>
      </c>
      <c r="BA80" s="299">
        <f>((BA70*AZ39)-(BA70*((AZ39-BA39)*(1+$BR$35))))*Faktory!$D$8</f>
        <v>0</v>
      </c>
      <c r="BB80" s="262">
        <f t="shared" si="178"/>
        <v>0</v>
      </c>
      <c r="BC80" s="298">
        <f>BC9*BC39*Faktory!$D$8</f>
        <v>0</v>
      </c>
      <c r="BD80" s="299">
        <f>((BD70*BC39)-(BD70*((BC39-BD39)*(1+$BR$35))))*Faktory!$D$8</f>
        <v>0</v>
      </c>
      <c r="BE80" s="262">
        <f t="shared" si="179"/>
        <v>0</v>
      </c>
      <c r="BF80" s="298">
        <f>BF9*BF39*Faktory!$D$8</f>
        <v>0</v>
      </c>
      <c r="BG80" s="299">
        <f>((BG70*BF39)-(BG70*((BF39-BG39)*(1+$BR$35))))*Faktory!$D$8</f>
        <v>0</v>
      </c>
      <c r="BH80" s="262">
        <f t="shared" si="180"/>
        <v>0</v>
      </c>
      <c r="BI80" s="298">
        <f>BI9*BI39*Faktory!$D$8</f>
        <v>0</v>
      </c>
      <c r="BJ80" s="299">
        <f>((BJ70*BI39)-(BJ70*((BI39-BJ39)*(1+$BR$35))))*Faktory!$D$8</f>
        <v>0</v>
      </c>
      <c r="BK80" s="262">
        <f t="shared" si="181"/>
        <v>0</v>
      </c>
      <c r="BL80" s="298">
        <f>BL9*BL39*Faktory!$D$8</f>
        <v>0</v>
      </c>
      <c r="BM80" s="299">
        <f>((BM70*BL39)-(BM70*((BL39-BM39)*(1+$BR$35))))*Faktory!$D$8</f>
        <v>0</v>
      </c>
      <c r="BN80" s="262">
        <f t="shared" si="182"/>
        <v>0</v>
      </c>
      <c r="BO80" s="298">
        <f>BO9*BO39*Faktory!$D$8</f>
        <v>0</v>
      </c>
      <c r="BP80" s="299">
        <f>((BP70*BO39)-(BP70*((BO39-BP39)*(1+$BR$35))))*Faktory!$D$8</f>
        <v>0</v>
      </c>
      <c r="BQ80" s="262">
        <f t="shared" si="183"/>
        <v>0</v>
      </c>
    </row>
    <row r="81" spans="1:69">
      <c r="A81" s="835"/>
      <c r="B81" s="837"/>
      <c r="C81" s="290" t="s">
        <v>30</v>
      </c>
      <c r="D81" s="291">
        <f t="shared" si="160"/>
        <v>2669622.9394636019</v>
      </c>
      <c r="E81" s="292">
        <f t="shared" si="161"/>
        <v>1322286.1580633088</v>
      </c>
      <c r="F81" s="293">
        <f t="shared" si="162"/>
        <v>-1347336.7814002929</v>
      </c>
      <c r="G81" s="298">
        <f>G10*G40*Faktory!$D$8</f>
        <v>0</v>
      </c>
      <c r="H81" s="299">
        <f>((H71*G40)-(H71*((G40-H40)*(1+$BR$35))))*Faktory!$D$8</f>
        <v>0</v>
      </c>
      <c r="I81" s="262">
        <f t="shared" si="163"/>
        <v>0</v>
      </c>
      <c r="J81" s="298">
        <f>J10*J40*Faktory!$D$8</f>
        <v>0</v>
      </c>
      <c r="K81" s="299">
        <f>((K71*J40)-(K71*((J40-K40)*(1+$BR$35))))*Faktory!$D$8</f>
        <v>0</v>
      </c>
      <c r="L81" s="262">
        <f t="shared" si="164"/>
        <v>0</v>
      </c>
      <c r="M81" s="298">
        <f>M10*M40*Faktory!$D$8</f>
        <v>0</v>
      </c>
      <c r="N81" s="299">
        <f>((N71*M40)-(N71*((M40-N40)*(1+$BR$35))))*Faktory!$D$8</f>
        <v>0</v>
      </c>
      <c r="O81" s="262">
        <f t="shared" si="165"/>
        <v>0</v>
      </c>
      <c r="P81" s="298">
        <f>P10*P40*Faktory!$D$8</f>
        <v>0</v>
      </c>
      <c r="Q81" s="299">
        <f>((Q71*P40)-(Q71*((P40-Q40)*(1+$BR$35))))*Faktory!$D$8</f>
        <v>0</v>
      </c>
      <c r="R81" s="262">
        <f t="shared" si="166"/>
        <v>0</v>
      </c>
      <c r="S81" s="298">
        <f>S10*S40*Faktory!$D$8</f>
        <v>0</v>
      </c>
      <c r="T81" s="299">
        <f>((T71*S40)-(T71*((S40-T40)*(1+$BR$35))))*Faktory!$D$8</f>
        <v>0</v>
      </c>
      <c r="U81" s="262">
        <f t="shared" si="167"/>
        <v>0</v>
      </c>
      <c r="V81" s="298">
        <f>V10*V40*Faktory!$D$8</f>
        <v>1505706.5489655174</v>
      </c>
      <c r="W81" s="299">
        <f>((W71*V40)-(W71*((V40-W40)*(1+$BR$35))))*Faktory!$D$8</f>
        <v>814912.59606144554</v>
      </c>
      <c r="X81" s="262">
        <f t="shared" si="168"/>
        <v>-690793.95290407189</v>
      </c>
      <c r="Y81" s="298">
        <f>Y10*Y40*Faktory!$D$8</f>
        <v>0</v>
      </c>
      <c r="Z81" s="299">
        <f>((Z71*Y40)-(Z71*((Y40-Z40)*(1+$BR$35))))*Faktory!$D$8</f>
        <v>0</v>
      </c>
      <c r="AA81" s="262">
        <f t="shared" si="169"/>
        <v>0</v>
      </c>
      <c r="AB81" s="298">
        <f>AB10*AB40*Faktory!$D$8</f>
        <v>0</v>
      </c>
      <c r="AC81" s="299">
        <f>((AC71*AB40)-(AC71*((AB40-AC40)*(1+$BR$35))))*Faktory!$D$8</f>
        <v>0</v>
      </c>
      <c r="AD81" s="262">
        <f t="shared" si="170"/>
        <v>0</v>
      </c>
      <c r="AE81" s="298">
        <f>AE10*AE40*Faktory!$D$8</f>
        <v>219582.20505747129</v>
      </c>
      <c r="AF81" s="299">
        <f>((AF71*AE40)-(AF71*((AE40-AF40)*(1+$BR$35))))*Faktory!$D$8</f>
        <v>108808.63005116522</v>
      </c>
      <c r="AG81" s="262">
        <f t="shared" si="171"/>
        <v>-110773.57500630607</v>
      </c>
      <c r="AH81" s="298">
        <f>AH10*AH40*Faktory!$D$8</f>
        <v>209125.90957854409</v>
      </c>
      <c r="AI81" s="299">
        <f>((AI71*AH40)-(AI71*((AH40-AI40)*(1+$BR$35))))*Faktory!$D$8</f>
        <v>115609.16942936303</v>
      </c>
      <c r="AJ81" s="262">
        <f t="shared" si="172"/>
        <v>-93516.74014918106</v>
      </c>
      <c r="AK81" s="298">
        <f>AK10*AK40*Faktory!$D$8</f>
        <v>0</v>
      </c>
      <c r="AL81" s="299">
        <f>((AL71*AK40)-(AL71*((AK40-AL40)*(1+$BR$35))))*Faktory!$D$8</f>
        <v>0</v>
      </c>
      <c r="AM81" s="262">
        <f t="shared" si="173"/>
        <v>0</v>
      </c>
      <c r="AN81" s="298">
        <f>AN10*AN40*Faktory!$D$8</f>
        <v>735208.27586206899</v>
      </c>
      <c r="AO81" s="299">
        <f>((AO71*AN40)-(AO71*((AN40-AO40)*(1+$BR$35))))*Faktory!$D$8</f>
        <v>282955.76252133516</v>
      </c>
      <c r="AP81" s="262">
        <f t="shared" si="174"/>
        <v>-452252.51334073383</v>
      </c>
      <c r="AQ81" s="298">
        <f>AQ10*AQ40*Faktory!$D$8</f>
        <v>0</v>
      </c>
      <c r="AR81" s="299">
        <f>((AR71*AQ40)-(AR71*((AQ40-AR40)*(1+$BR$35))))*Faktory!$D$8</f>
        <v>0</v>
      </c>
      <c r="AS81" s="262">
        <f t="shared" si="175"/>
        <v>0</v>
      </c>
      <c r="AT81" s="298">
        <f>AT10*AT40*Faktory!$D$8</f>
        <v>0</v>
      </c>
      <c r="AU81" s="299">
        <f>((AU71*AT40)-(AU71*((AT40-AU40)*(1+$BR$35))))*Faktory!$D$8</f>
        <v>0</v>
      </c>
      <c r="AV81" s="262">
        <f t="shared" si="176"/>
        <v>0</v>
      </c>
      <c r="AW81" s="298">
        <f>AW10*AW40*Faktory!$D$8</f>
        <v>0</v>
      </c>
      <c r="AX81" s="299">
        <f>((AX71*AW40)-(AX71*((AW40-AX40)*(1+$BR$35))))*Faktory!$D$8</f>
        <v>0</v>
      </c>
      <c r="AY81" s="262">
        <f t="shared" si="177"/>
        <v>0</v>
      </c>
      <c r="AZ81" s="298">
        <f>AZ10*AZ40*Faktory!$D$8</f>
        <v>0</v>
      </c>
      <c r="BA81" s="299">
        <f>((BA71*AZ40)-(BA71*((AZ40-BA40)*(1+$BR$35))))*Faktory!$D$8</f>
        <v>0</v>
      </c>
      <c r="BB81" s="262">
        <f t="shared" si="178"/>
        <v>0</v>
      </c>
      <c r="BC81" s="298">
        <f>BC10*BC40*Faktory!$D$8</f>
        <v>0</v>
      </c>
      <c r="BD81" s="299">
        <f>((BD71*BC40)-(BD71*((BC40-BD40)*(1+$BR$35))))*Faktory!$D$8</f>
        <v>0</v>
      </c>
      <c r="BE81" s="262">
        <f t="shared" si="179"/>
        <v>0</v>
      </c>
      <c r="BF81" s="298">
        <f>BF10*BF40*Faktory!$D$8</f>
        <v>0</v>
      </c>
      <c r="BG81" s="299">
        <f>((BG71*BF40)-(BG71*((BF40-BG40)*(1+$BR$35))))*Faktory!$D$8</f>
        <v>0</v>
      </c>
      <c r="BH81" s="262">
        <f t="shared" si="180"/>
        <v>0</v>
      </c>
      <c r="BI81" s="298">
        <f>BI10*BI40*Faktory!$D$8</f>
        <v>0</v>
      </c>
      <c r="BJ81" s="299">
        <f>((BJ71*BI40)-(BJ71*((BI40-BJ40)*(1+$BR$35))))*Faktory!$D$8</f>
        <v>0</v>
      </c>
      <c r="BK81" s="262">
        <f t="shared" si="181"/>
        <v>0</v>
      </c>
      <c r="BL81" s="298">
        <f>BL10*BL40*Faktory!$D$8</f>
        <v>0</v>
      </c>
      <c r="BM81" s="299">
        <f>((BM71*BL40)-(BM71*((BL40-BM40)*(1+$BR$35))))*Faktory!$D$8</f>
        <v>0</v>
      </c>
      <c r="BN81" s="262">
        <f t="shared" si="182"/>
        <v>0</v>
      </c>
      <c r="BO81" s="298">
        <f>BO10*BO40*Faktory!$D$8</f>
        <v>0</v>
      </c>
      <c r="BP81" s="299">
        <f>((BP71*BO40)-(BP71*((BO40-BP40)*(1+$BR$35))))*Faktory!$D$8</f>
        <v>0</v>
      </c>
      <c r="BQ81" s="262">
        <f t="shared" si="183"/>
        <v>0</v>
      </c>
    </row>
    <row r="82" spans="1:69">
      <c r="A82" s="835"/>
      <c r="B82" s="837"/>
      <c r="C82" s="290" t="s">
        <v>31</v>
      </c>
      <c r="D82" s="291">
        <f t="shared" si="160"/>
        <v>2669622.9394636019</v>
      </c>
      <c r="E82" s="292">
        <f t="shared" si="161"/>
        <v>1346487.7032297698</v>
      </c>
      <c r="F82" s="293">
        <f t="shared" si="162"/>
        <v>-1323135.2362338318</v>
      </c>
      <c r="G82" s="298">
        <f>G11*G41*Faktory!$D$8</f>
        <v>0</v>
      </c>
      <c r="H82" s="299">
        <f>((H72*G41)-(H72*((G41-H41)*(1+$BR$35))))*Faktory!$D$8</f>
        <v>0</v>
      </c>
      <c r="I82" s="262">
        <f t="shared" si="163"/>
        <v>0</v>
      </c>
      <c r="J82" s="298">
        <f>J11*J41*Faktory!$D$8</f>
        <v>0</v>
      </c>
      <c r="K82" s="299">
        <f>((K72*J41)-(K72*((J41-K41)*(1+$BR$35))))*Faktory!$D$8</f>
        <v>0</v>
      </c>
      <c r="L82" s="262">
        <f t="shared" si="164"/>
        <v>0</v>
      </c>
      <c r="M82" s="298">
        <f>M11*M41*Faktory!$D$8</f>
        <v>0</v>
      </c>
      <c r="N82" s="299">
        <f>((N72*M41)-(N72*((M41-N41)*(1+$BR$35))))*Faktory!$D$8</f>
        <v>0</v>
      </c>
      <c r="O82" s="262">
        <f t="shared" si="165"/>
        <v>0</v>
      </c>
      <c r="P82" s="298">
        <f>P11*P41*Faktory!$D$8</f>
        <v>0</v>
      </c>
      <c r="Q82" s="299">
        <f>((Q72*P41)-(Q72*((P41-Q41)*(1+$BR$35))))*Faktory!$D$8</f>
        <v>0</v>
      </c>
      <c r="R82" s="262">
        <f t="shared" si="166"/>
        <v>0</v>
      </c>
      <c r="S82" s="298">
        <f>S11*S41*Faktory!$D$8</f>
        <v>0</v>
      </c>
      <c r="T82" s="299">
        <f>((T72*S41)-(T72*((S41-T41)*(1+$BR$35))))*Faktory!$D$8</f>
        <v>0</v>
      </c>
      <c r="U82" s="262">
        <f t="shared" si="167"/>
        <v>0</v>
      </c>
      <c r="V82" s="298">
        <f>V11*V41*Faktory!$D$8</f>
        <v>1505706.5489655174</v>
      </c>
      <c r="W82" s="299">
        <f>((W72*V41)-(W72*((V41-W41)*(1+$BR$35))))*Faktory!$D$8</f>
        <v>831210.84798267449</v>
      </c>
      <c r="X82" s="262">
        <f t="shared" si="168"/>
        <v>-674495.70098284294</v>
      </c>
      <c r="Y82" s="298">
        <f>Y11*Y41*Faktory!$D$8</f>
        <v>0</v>
      </c>
      <c r="Z82" s="299">
        <f>((Z72*Y41)-(Z72*((Y41-Z41)*(1+$BR$35))))*Faktory!$D$8</f>
        <v>0</v>
      </c>
      <c r="AA82" s="262">
        <f t="shared" si="169"/>
        <v>0</v>
      </c>
      <c r="AB82" s="298">
        <f>AB11*AB41*Faktory!$D$8</f>
        <v>0</v>
      </c>
      <c r="AC82" s="299">
        <f>((AC72*AB41)-(AC72*((AB41-AC41)*(1+$BR$35))))*Faktory!$D$8</f>
        <v>0</v>
      </c>
      <c r="AD82" s="262">
        <f t="shared" si="170"/>
        <v>0</v>
      </c>
      <c r="AE82" s="298">
        <f>AE11*AE41*Faktory!$D$8</f>
        <v>219582.20505747129</v>
      </c>
      <c r="AF82" s="299">
        <f>((AF72*AE41)-(AF72*((AE41-AF41)*(1+$BR$35))))*Faktory!$D$8</f>
        <v>109896.71635167686</v>
      </c>
      <c r="AG82" s="262">
        <f t="shared" si="171"/>
        <v>-109685.48870579443</v>
      </c>
      <c r="AH82" s="298">
        <f>AH11*AH41*Faktory!$D$8</f>
        <v>209125.90957854409</v>
      </c>
      <c r="AI82" s="299">
        <f>((AI72*AH41)-(AI72*((AH41-AI41)*(1+$BR$35))))*Faktory!$D$8</f>
        <v>116765.26112365664</v>
      </c>
      <c r="AJ82" s="262">
        <f t="shared" si="172"/>
        <v>-92360.648454887443</v>
      </c>
      <c r="AK82" s="298">
        <f>AK11*AK41*Faktory!$D$8</f>
        <v>0</v>
      </c>
      <c r="AL82" s="299">
        <f>((AL72*AK41)-(AL72*((AK41-AL41)*(1+$BR$35))))*Faktory!$D$8</f>
        <v>0</v>
      </c>
      <c r="AM82" s="262">
        <f t="shared" si="173"/>
        <v>0</v>
      </c>
      <c r="AN82" s="298">
        <f>AN11*AN41*Faktory!$D$8</f>
        <v>735208.27586206899</v>
      </c>
      <c r="AO82" s="299">
        <f>((AO72*AN41)-(AO72*((AN41-AO41)*(1+$BR$35))))*Faktory!$D$8</f>
        <v>288614.87777176191</v>
      </c>
      <c r="AP82" s="262">
        <f t="shared" si="174"/>
        <v>-446593.39809030708</v>
      </c>
      <c r="AQ82" s="298">
        <f>AQ11*AQ41*Faktory!$D$8</f>
        <v>0</v>
      </c>
      <c r="AR82" s="299">
        <f>((AR72*AQ41)-(AR72*((AQ41-AR41)*(1+$BR$35))))*Faktory!$D$8</f>
        <v>0</v>
      </c>
      <c r="AS82" s="262">
        <f t="shared" si="175"/>
        <v>0</v>
      </c>
      <c r="AT82" s="298">
        <f>AT11*AT41*Faktory!$D$8</f>
        <v>0</v>
      </c>
      <c r="AU82" s="299">
        <f>((AU72*AT41)-(AU72*((AT41-AU41)*(1+$BR$35))))*Faktory!$D$8</f>
        <v>0</v>
      </c>
      <c r="AV82" s="262">
        <f t="shared" si="176"/>
        <v>0</v>
      </c>
      <c r="AW82" s="298">
        <f>AW11*AW41*Faktory!$D$8</f>
        <v>0</v>
      </c>
      <c r="AX82" s="299">
        <f>((AX72*AW41)-(AX72*((AW41-AX41)*(1+$BR$35))))*Faktory!$D$8</f>
        <v>0</v>
      </c>
      <c r="AY82" s="262">
        <f t="shared" si="177"/>
        <v>0</v>
      </c>
      <c r="AZ82" s="298">
        <f>AZ11*AZ41*Faktory!$D$8</f>
        <v>0</v>
      </c>
      <c r="BA82" s="299">
        <f>((BA72*AZ41)-(BA72*((AZ41-BA41)*(1+$BR$35))))*Faktory!$D$8</f>
        <v>0</v>
      </c>
      <c r="BB82" s="262">
        <f t="shared" si="178"/>
        <v>0</v>
      </c>
      <c r="BC82" s="298">
        <f>BC11*BC41*Faktory!$D$8</f>
        <v>0</v>
      </c>
      <c r="BD82" s="299">
        <f>((BD72*BC41)-(BD72*((BC41-BD41)*(1+$BR$35))))*Faktory!$D$8</f>
        <v>0</v>
      </c>
      <c r="BE82" s="262">
        <f t="shared" si="179"/>
        <v>0</v>
      </c>
      <c r="BF82" s="298">
        <f>BF11*BF41*Faktory!$D$8</f>
        <v>0</v>
      </c>
      <c r="BG82" s="299">
        <f>((BG72*BF41)-(BG72*((BF41-BG41)*(1+$BR$35))))*Faktory!$D$8</f>
        <v>0</v>
      </c>
      <c r="BH82" s="262">
        <f t="shared" si="180"/>
        <v>0</v>
      </c>
      <c r="BI82" s="298">
        <f>BI11*BI41*Faktory!$D$8</f>
        <v>0</v>
      </c>
      <c r="BJ82" s="299">
        <f>((BJ72*BI41)-(BJ72*((BI41-BJ41)*(1+$BR$35))))*Faktory!$D$8</f>
        <v>0</v>
      </c>
      <c r="BK82" s="262">
        <f t="shared" si="181"/>
        <v>0</v>
      </c>
      <c r="BL82" s="298">
        <f>BL11*BL41*Faktory!$D$8</f>
        <v>0</v>
      </c>
      <c r="BM82" s="299">
        <f>((BM72*BL41)-(BM72*((BL41-BM41)*(1+$BR$35))))*Faktory!$D$8</f>
        <v>0</v>
      </c>
      <c r="BN82" s="262">
        <f t="shared" si="182"/>
        <v>0</v>
      </c>
      <c r="BO82" s="298">
        <f>BO11*BO41*Faktory!$D$8</f>
        <v>0</v>
      </c>
      <c r="BP82" s="299">
        <f>((BP72*BO41)-(BP72*((BO41-BP41)*(1+$BR$35))))*Faktory!$D$8</f>
        <v>0</v>
      </c>
      <c r="BQ82" s="262">
        <f t="shared" si="183"/>
        <v>0</v>
      </c>
    </row>
    <row r="83" spans="1:69">
      <c r="A83" s="835"/>
      <c r="B83" s="837"/>
      <c r="C83" s="290" t="s">
        <v>32</v>
      </c>
      <c r="D83" s="291">
        <f t="shared" si="160"/>
        <v>2669622.9394636019</v>
      </c>
      <c r="E83" s="292">
        <f t="shared" si="161"/>
        <v>1371150.8375196122</v>
      </c>
      <c r="F83" s="293">
        <f t="shared" si="162"/>
        <v>-1298472.1019439897</v>
      </c>
      <c r="G83" s="298">
        <f>G12*G42*Faktory!$D$8</f>
        <v>0</v>
      </c>
      <c r="H83" s="299">
        <f>((H73*G42)-(H73*((G42-H42)*(1+$BR$35))))*Faktory!$D$8</f>
        <v>0</v>
      </c>
      <c r="I83" s="262">
        <f t="shared" si="163"/>
        <v>0</v>
      </c>
      <c r="J83" s="298">
        <f>J12*J42*Faktory!$D$8</f>
        <v>0</v>
      </c>
      <c r="K83" s="299">
        <f>((K73*J42)-(K73*((J42-K42)*(1+$BR$35))))*Faktory!$D$8</f>
        <v>0</v>
      </c>
      <c r="L83" s="262">
        <f t="shared" si="164"/>
        <v>0</v>
      </c>
      <c r="M83" s="298">
        <f>M12*M42*Faktory!$D$8</f>
        <v>0</v>
      </c>
      <c r="N83" s="299">
        <f>((N73*M42)-(N73*((M42-N42)*(1+$BR$35))))*Faktory!$D$8</f>
        <v>0</v>
      </c>
      <c r="O83" s="262">
        <f t="shared" si="165"/>
        <v>0</v>
      </c>
      <c r="P83" s="298">
        <f>P12*P42*Faktory!$D$8</f>
        <v>0</v>
      </c>
      <c r="Q83" s="299">
        <f>((Q73*P42)-(Q73*((P42-Q42)*(1+$BR$35))))*Faktory!$D$8</f>
        <v>0</v>
      </c>
      <c r="R83" s="262">
        <f t="shared" si="166"/>
        <v>0</v>
      </c>
      <c r="S83" s="298">
        <f>S12*S42*Faktory!$D$8</f>
        <v>0</v>
      </c>
      <c r="T83" s="299">
        <f>((T73*S42)-(T73*((S42-T42)*(1+$BR$35))))*Faktory!$D$8</f>
        <v>0</v>
      </c>
      <c r="U83" s="262">
        <f t="shared" si="167"/>
        <v>0</v>
      </c>
      <c r="V83" s="298">
        <f>V12*V42*Faktory!$D$8</f>
        <v>1505706.5489655174</v>
      </c>
      <c r="W83" s="299">
        <f>((W73*V42)-(W73*((V42-W42)*(1+$BR$35))))*Faktory!$D$8</f>
        <v>847835.06494232803</v>
      </c>
      <c r="X83" s="262">
        <f t="shared" si="168"/>
        <v>-657871.4840231894</v>
      </c>
      <c r="Y83" s="298">
        <f>Y12*Y42*Faktory!$D$8</f>
        <v>0</v>
      </c>
      <c r="Z83" s="299">
        <f>((Z73*Y42)-(Z73*((Y42-Z42)*(1+$BR$35))))*Faktory!$D$8</f>
        <v>0</v>
      </c>
      <c r="AA83" s="262">
        <f t="shared" si="169"/>
        <v>0</v>
      </c>
      <c r="AB83" s="298">
        <f>AB12*AB42*Faktory!$D$8</f>
        <v>0</v>
      </c>
      <c r="AC83" s="299">
        <f>((AC73*AB42)-(AC73*((AB42-AC42)*(1+$BR$35))))*Faktory!$D$8</f>
        <v>0</v>
      </c>
      <c r="AD83" s="262">
        <f t="shared" si="170"/>
        <v>0</v>
      </c>
      <c r="AE83" s="298">
        <f>AE12*AE42*Faktory!$D$8</f>
        <v>219582.20505747129</v>
      </c>
      <c r="AF83" s="299">
        <f>((AF73*AE42)-(AF73*((AE42-AF42)*(1+$BR$35))))*Faktory!$D$8</f>
        <v>110995.68351519362</v>
      </c>
      <c r="AG83" s="262">
        <f t="shared" si="171"/>
        <v>-108586.52154227767</v>
      </c>
      <c r="AH83" s="298">
        <f>AH12*AH42*Faktory!$D$8</f>
        <v>209125.90957854409</v>
      </c>
      <c r="AI83" s="299">
        <f>((AI73*AH42)-(AI73*((AH42-AI42)*(1+$BR$35))))*Faktory!$D$8</f>
        <v>117932.91373489323</v>
      </c>
      <c r="AJ83" s="262">
        <f t="shared" si="172"/>
        <v>-91192.99584365086</v>
      </c>
      <c r="AK83" s="298">
        <f>AK12*AK42*Faktory!$D$8</f>
        <v>0</v>
      </c>
      <c r="AL83" s="299">
        <f>((AL73*AK42)-(AL73*((AK42-AL42)*(1+$BR$35))))*Faktory!$D$8</f>
        <v>0</v>
      </c>
      <c r="AM83" s="262">
        <f t="shared" si="173"/>
        <v>0</v>
      </c>
      <c r="AN83" s="298">
        <f>AN12*AN42*Faktory!$D$8</f>
        <v>735208.27586206899</v>
      </c>
      <c r="AO83" s="299">
        <f>((AO73*AN42)-(AO73*((AN42-AO42)*(1+$BR$35))))*Faktory!$D$8</f>
        <v>294387.17532719712</v>
      </c>
      <c r="AP83" s="262">
        <f t="shared" si="174"/>
        <v>-440821.10053487186</v>
      </c>
      <c r="AQ83" s="298">
        <f>AQ12*AQ42*Faktory!$D$8</f>
        <v>0</v>
      </c>
      <c r="AR83" s="299">
        <f>((AR73*AQ42)-(AR73*((AQ42-AR42)*(1+$BR$35))))*Faktory!$D$8</f>
        <v>0</v>
      </c>
      <c r="AS83" s="262">
        <f t="shared" si="175"/>
        <v>0</v>
      </c>
      <c r="AT83" s="298">
        <f>AT12*AT42*Faktory!$D$8</f>
        <v>0</v>
      </c>
      <c r="AU83" s="299">
        <f>((AU73*AT42)-(AU73*((AT42-AU42)*(1+$BR$35))))*Faktory!$D$8</f>
        <v>0</v>
      </c>
      <c r="AV83" s="262">
        <f t="shared" si="176"/>
        <v>0</v>
      </c>
      <c r="AW83" s="298">
        <f>AW12*AW42*Faktory!$D$8</f>
        <v>0</v>
      </c>
      <c r="AX83" s="299">
        <f>((AX73*AW42)-(AX73*((AW42-AX42)*(1+$BR$35))))*Faktory!$D$8</f>
        <v>0</v>
      </c>
      <c r="AY83" s="262">
        <f t="shared" si="177"/>
        <v>0</v>
      </c>
      <c r="AZ83" s="298">
        <f>AZ12*AZ42*Faktory!$D$8</f>
        <v>0</v>
      </c>
      <c r="BA83" s="299">
        <f>((BA73*AZ42)-(BA73*((AZ42-BA42)*(1+$BR$35))))*Faktory!$D$8</f>
        <v>0</v>
      </c>
      <c r="BB83" s="262">
        <f t="shared" si="178"/>
        <v>0</v>
      </c>
      <c r="BC83" s="298">
        <f>BC12*BC42*Faktory!$D$8</f>
        <v>0</v>
      </c>
      <c r="BD83" s="299">
        <f>((BD73*BC42)-(BD73*((BC42-BD42)*(1+$BR$35))))*Faktory!$D$8</f>
        <v>0</v>
      </c>
      <c r="BE83" s="262">
        <f t="shared" si="179"/>
        <v>0</v>
      </c>
      <c r="BF83" s="298">
        <f>BF12*BF42*Faktory!$D$8</f>
        <v>0</v>
      </c>
      <c r="BG83" s="299">
        <f>((BG73*BF42)-(BG73*((BF42-BG42)*(1+$BR$35))))*Faktory!$D$8</f>
        <v>0</v>
      </c>
      <c r="BH83" s="262">
        <f t="shared" si="180"/>
        <v>0</v>
      </c>
      <c r="BI83" s="298">
        <f>BI12*BI42*Faktory!$D$8</f>
        <v>0</v>
      </c>
      <c r="BJ83" s="299">
        <f>((BJ73*BI42)-(BJ73*((BI42-BJ42)*(1+$BR$35))))*Faktory!$D$8</f>
        <v>0</v>
      </c>
      <c r="BK83" s="262">
        <f t="shared" si="181"/>
        <v>0</v>
      </c>
      <c r="BL83" s="298">
        <f>BL12*BL42*Faktory!$D$8</f>
        <v>0</v>
      </c>
      <c r="BM83" s="299">
        <f>((BM73*BL42)-(BM73*((BL42-BM42)*(1+$BR$35))))*Faktory!$D$8</f>
        <v>0</v>
      </c>
      <c r="BN83" s="262">
        <f t="shared" si="182"/>
        <v>0</v>
      </c>
      <c r="BO83" s="298">
        <f>BO12*BO42*Faktory!$D$8</f>
        <v>0</v>
      </c>
      <c r="BP83" s="299">
        <f>((BP73*BO42)-(BP73*((BO42-BP42)*(1+$BR$35))))*Faktory!$D$8</f>
        <v>0</v>
      </c>
      <c r="BQ83" s="262">
        <f t="shared" si="183"/>
        <v>0</v>
      </c>
    </row>
    <row r="84" spans="1:69">
      <c r="A84" s="835"/>
      <c r="B84" s="837"/>
      <c r="C84" s="290" t="s">
        <v>33</v>
      </c>
      <c r="D84" s="291">
        <f t="shared" si="160"/>
        <v>2669622.9394636019</v>
      </c>
      <c r="E84" s="292">
        <f t="shared" si="161"/>
        <v>1396284.5682975035</v>
      </c>
      <c r="F84" s="293">
        <f t="shared" si="162"/>
        <v>-1273338.3711660984</v>
      </c>
      <c r="G84" s="298">
        <f>G13*G43*Faktory!$D$8</f>
        <v>0</v>
      </c>
      <c r="H84" s="299">
        <f>((H74*G43)-(H74*((G43-H43)*(1+$BR$35))))*Faktory!$D$8</f>
        <v>0</v>
      </c>
      <c r="I84" s="262">
        <f t="shared" si="163"/>
        <v>0</v>
      </c>
      <c r="J84" s="298">
        <f>J13*J43*Faktory!$D$8</f>
        <v>0</v>
      </c>
      <c r="K84" s="299">
        <f>((K74*J43)-(K74*((J43-K43)*(1+$BR$35))))*Faktory!$D$8</f>
        <v>0</v>
      </c>
      <c r="L84" s="262">
        <f t="shared" si="164"/>
        <v>0</v>
      </c>
      <c r="M84" s="298">
        <f>M13*M43*Faktory!$D$8</f>
        <v>0</v>
      </c>
      <c r="N84" s="299">
        <f>((N74*M43)-(N74*((M43-N43)*(1+$BR$35))))*Faktory!$D$8</f>
        <v>0</v>
      </c>
      <c r="O84" s="262">
        <f t="shared" si="165"/>
        <v>0</v>
      </c>
      <c r="P84" s="298">
        <f>P13*P43*Faktory!$D$8</f>
        <v>0</v>
      </c>
      <c r="Q84" s="299">
        <f>((Q74*P43)-(Q74*((P43-Q43)*(1+$BR$35))))*Faktory!$D$8</f>
        <v>0</v>
      </c>
      <c r="R84" s="262">
        <f t="shared" si="166"/>
        <v>0</v>
      </c>
      <c r="S84" s="298">
        <f>S13*S43*Faktory!$D$8</f>
        <v>0</v>
      </c>
      <c r="T84" s="299">
        <f>((T74*S43)-(T74*((S43-T43)*(1+$BR$35))))*Faktory!$D$8</f>
        <v>0</v>
      </c>
      <c r="U84" s="262">
        <f t="shared" si="167"/>
        <v>0</v>
      </c>
      <c r="V84" s="298">
        <f>V13*V43*Faktory!$D$8</f>
        <v>1505706.5489655174</v>
      </c>
      <c r="W84" s="299">
        <f>((W74*V43)-(W74*((V43-W43)*(1+$BR$35))))*Faktory!$D$8</f>
        <v>864791.76624117466</v>
      </c>
      <c r="X84" s="262">
        <f t="shared" si="168"/>
        <v>-640914.78272434277</v>
      </c>
      <c r="Y84" s="298">
        <f>Y13*Y43*Faktory!$D$8</f>
        <v>0</v>
      </c>
      <c r="Z84" s="299">
        <f>((Z74*Y43)-(Z74*((Y43-Z43)*(1+$BR$35))))*Faktory!$D$8</f>
        <v>0</v>
      </c>
      <c r="AA84" s="262">
        <f t="shared" si="169"/>
        <v>0</v>
      </c>
      <c r="AB84" s="298">
        <f>AB13*AB43*Faktory!$D$8</f>
        <v>0</v>
      </c>
      <c r="AC84" s="299">
        <f>((AC74*AB43)-(AC74*((AB43-AC43)*(1+$BR$35))))*Faktory!$D$8</f>
        <v>0</v>
      </c>
      <c r="AD84" s="262">
        <f t="shared" si="170"/>
        <v>0</v>
      </c>
      <c r="AE84" s="298">
        <f>AE13*AE43*Faktory!$D$8</f>
        <v>219582.20505747129</v>
      </c>
      <c r="AF84" s="299">
        <f>((AF74*AE43)-(AF74*((AE43-AF43)*(1+$BR$35))))*Faktory!$D$8</f>
        <v>112105.64035034555</v>
      </c>
      <c r="AG84" s="262">
        <f t="shared" si="171"/>
        <v>-107476.56470712574</v>
      </c>
      <c r="AH84" s="298">
        <f>AH13*AH43*Faktory!$D$8</f>
        <v>209125.90957854409</v>
      </c>
      <c r="AI84" s="299">
        <f>((AI74*AH43)-(AI74*((AH43-AI43)*(1+$BR$35))))*Faktory!$D$8</f>
        <v>119112.24287224216</v>
      </c>
      <c r="AJ84" s="262">
        <f t="shared" si="172"/>
        <v>-90013.666706301927</v>
      </c>
      <c r="AK84" s="298">
        <f>AK13*AK43*Faktory!$D$8</f>
        <v>0</v>
      </c>
      <c r="AL84" s="299">
        <f>((AL74*AK43)-(AL74*((AK43-AL43)*(1+$BR$35))))*Faktory!$D$8</f>
        <v>0</v>
      </c>
      <c r="AM84" s="262">
        <f t="shared" si="173"/>
        <v>0</v>
      </c>
      <c r="AN84" s="298">
        <f>AN13*AN43*Faktory!$D$8</f>
        <v>735208.27586206899</v>
      </c>
      <c r="AO84" s="299">
        <f>((AO74*AN43)-(AO74*((AN43-AO43)*(1+$BR$35))))*Faktory!$D$8</f>
        <v>300274.91883374116</v>
      </c>
      <c r="AP84" s="262">
        <f t="shared" si="174"/>
        <v>-434933.35702832782</v>
      </c>
      <c r="AQ84" s="298">
        <f>AQ13*AQ43*Faktory!$D$8</f>
        <v>0</v>
      </c>
      <c r="AR84" s="299">
        <f>((AR74*AQ43)-(AR74*((AQ43-AR43)*(1+$BR$35))))*Faktory!$D$8</f>
        <v>0</v>
      </c>
      <c r="AS84" s="262">
        <f t="shared" si="175"/>
        <v>0</v>
      </c>
      <c r="AT84" s="298">
        <f>AT13*AT43*Faktory!$D$8</f>
        <v>0</v>
      </c>
      <c r="AU84" s="299">
        <f>((AU74*AT43)-(AU74*((AT43-AU43)*(1+$BR$35))))*Faktory!$D$8</f>
        <v>0</v>
      </c>
      <c r="AV84" s="262">
        <f t="shared" si="176"/>
        <v>0</v>
      </c>
      <c r="AW84" s="298">
        <f>AW13*AW43*Faktory!$D$8</f>
        <v>0</v>
      </c>
      <c r="AX84" s="299">
        <f>((AX74*AW43)-(AX74*((AW43-AX43)*(1+$BR$35))))*Faktory!$D$8</f>
        <v>0</v>
      </c>
      <c r="AY84" s="262">
        <f t="shared" si="177"/>
        <v>0</v>
      </c>
      <c r="AZ84" s="298">
        <f>AZ13*AZ43*Faktory!$D$8</f>
        <v>0</v>
      </c>
      <c r="BA84" s="299">
        <f>((BA74*AZ43)-(BA74*((AZ43-BA43)*(1+$BR$35))))*Faktory!$D$8</f>
        <v>0</v>
      </c>
      <c r="BB84" s="262">
        <f t="shared" si="178"/>
        <v>0</v>
      </c>
      <c r="BC84" s="298">
        <f>BC13*BC43*Faktory!$D$8</f>
        <v>0</v>
      </c>
      <c r="BD84" s="299">
        <f>((BD74*BC43)-(BD74*((BC43-BD43)*(1+$BR$35))))*Faktory!$D$8</f>
        <v>0</v>
      </c>
      <c r="BE84" s="262">
        <f t="shared" si="179"/>
        <v>0</v>
      </c>
      <c r="BF84" s="298">
        <f>BF13*BF43*Faktory!$D$8</f>
        <v>0</v>
      </c>
      <c r="BG84" s="299">
        <f>((BG74*BF43)-(BG74*((BF43-BG43)*(1+$BR$35))))*Faktory!$D$8</f>
        <v>0</v>
      </c>
      <c r="BH84" s="262">
        <f t="shared" si="180"/>
        <v>0</v>
      </c>
      <c r="BI84" s="298">
        <f>BI13*BI43*Faktory!$D$8</f>
        <v>0</v>
      </c>
      <c r="BJ84" s="299">
        <f>((BJ74*BI43)-(BJ74*((BI43-BJ43)*(1+$BR$35))))*Faktory!$D$8</f>
        <v>0</v>
      </c>
      <c r="BK84" s="262">
        <f t="shared" si="181"/>
        <v>0</v>
      </c>
      <c r="BL84" s="298">
        <f>BL13*BL43*Faktory!$D$8</f>
        <v>0</v>
      </c>
      <c r="BM84" s="299">
        <f>((BM74*BL43)-(BM74*((BL43-BM43)*(1+$BR$35))))*Faktory!$D$8</f>
        <v>0</v>
      </c>
      <c r="BN84" s="262">
        <f t="shared" si="182"/>
        <v>0</v>
      </c>
      <c r="BO84" s="298">
        <f>BO13*BO43*Faktory!$D$8</f>
        <v>0</v>
      </c>
      <c r="BP84" s="299">
        <f>((BP74*BO43)-(BP74*((BO43-BP43)*(1+$BR$35))))*Faktory!$D$8</f>
        <v>0</v>
      </c>
      <c r="BQ84" s="262">
        <f t="shared" si="183"/>
        <v>0</v>
      </c>
    </row>
    <row r="85" spans="1:69" ht="15.75" thickBot="1">
      <c r="A85" s="836"/>
      <c r="B85" s="838"/>
      <c r="C85" s="300" t="s">
        <v>34</v>
      </c>
      <c r="D85" s="301">
        <f t="shared" si="160"/>
        <v>2669622.9394636019</v>
      </c>
      <c r="E85" s="302">
        <f t="shared" si="161"/>
        <v>1421898.0808312281</v>
      </c>
      <c r="F85" s="303">
        <f t="shared" si="162"/>
        <v>-1247724.8586323739</v>
      </c>
      <c r="G85" s="304">
        <f>G14*G44*Faktory!$D$8</f>
        <v>0</v>
      </c>
      <c r="H85" s="305">
        <f>((H75*G44)-(H75*((G44-H44)*(1+$BR$35))))*Faktory!$D$8</f>
        <v>0</v>
      </c>
      <c r="I85" s="267">
        <f t="shared" si="163"/>
        <v>0</v>
      </c>
      <c r="J85" s="304">
        <f>J14*J44*Faktory!$D$8</f>
        <v>0</v>
      </c>
      <c r="K85" s="305">
        <f>((K75*J44)-(K75*((J44-K44)*(1+$BR$35))))*Faktory!$D$8</f>
        <v>0</v>
      </c>
      <c r="L85" s="267">
        <f t="shared" si="164"/>
        <v>0</v>
      </c>
      <c r="M85" s="304">
        <f>M14*M44*Faktory!$D$8</f>
        <v>0</v>
      </c>
      <c r="N85" s="305">
        <f>((N75*M44)-(N75*((M44-N44)*(1+$BR$35))))*Faktory!$D$8</f>
        <v>0</v>
      </c>
      <c r="O85" s="267">
        <f t="shared" si="165"/>
        <v>0</v>
      </c>
      <c r="P85" s="304">
        <f>P14*P44*Faktory!$D$8</f>
        <v>0</v>
      </c>
      <c r="Q85" s="305">
        <f>((Q75*P44)-(Q75*((P44-Q44)*(1+$BR$35))))*Faktory!$D$8</f>
        <v>0</v>
      </c>
      <c r="R85" s="267">
        <f t="shared" si="166"/>
        <v>0</v>
      </c>
      <c r="S85" s="304">
        <f>S14*S44*Faktory!$D$8</f>
        <v>0</v>
      </c>
      <c r="T85" s="305">
        <f>((T75*S44)-(T75*((S44-T44)*(1+$BR$35))))*Faktory!$D$8</f>
        <v>0</v>
      </c>
      <c r="U85" s="267">
        <f t="shared" si="167"/>
        <v>0</v>
      </c>
      <c r="V85" s="304">
        <f>V14*V44*Faktory!$D$8</f>
        <v>1505706.5489655174</v>
      </c>
      <c r="W85" s="305">
        <f>((W75*V44)-(W75*((V44-W44)*(1+$BR$35))))*Faktory!$D$8</f>
        <v>882087.60156599828</v>
      </c>
      <c r="X85" s="267">
        <f t="shared" si="168"/>
        <v>-623618.94739951915</v>
      </c>
      <c r="Y85" s="304">
        <f>Y14*Y44*Faktory!$D$8</f>
        <v>0</v>
      </c>
      <c r="Z85" s="305">
        <f>((Z75*Y44)-(Z75*((Y44-Z44)*(1+$BR$35))))*Faktory!$D$8</f>
        <v>0</v>
      </c>
      <c r="AA85" s="267">
        <f t="shared" si="169"/>
        <v>0</v>
      </c>
      <c r="AB85" s="304">
        <f>AB14*AB44*Faktory!$D$8</f>
        <v>0</v>
      </c>
      <c r="AC85" s="305">
        <f>((AC75*AB44)-(AC75*((AB44-AC44)*(1+$BR$35))))*Faktory!$D$8</f>
        <v>0</v>
      </c>
      <c r="AD85" s="267">
        <f t="shared" si="170"/>
        <v>0</v>
      </c>
      <c r="AE85" s="304">
        <f>AE14*AE44*Faktory!$D$8</f>
        <v>219582.20505747129</v>
      </c>
      <c r="AF85" s="305">
        <f>((AF75*AE44)-(AF75*((AE44-AF44)*(1+$BR$35))))*Faktory!$D$8</f>
        <v>113226.69675384903</v>
      </c>
      <c r="AG85" s="267">
        <f t="shared" si="171"/>
        <v>-106355.50830362226</v>
      </c>
      <c r="AH85" s="304">
        <f>AH14*AH44*Faktory!$D$8</f>
        <v>209125.90957854409</v>
      </c>
      <c r="AI85" s="305">
        <f>((AI75*AH44)-(AI75*((AH44-AI44)*(1+$BR$35))))*Faktory!$D$8</f>
        <v>120303.36530096458</v>
      </c>
      <c r="AJ85" s="267">
        <f t="shared" si="172"/>
        <v>-88822.544277579509</v>
      </c>
      <c r="AK85" s="304">
        <f>AK14*AK44*Faktory!$D$8</f>
        <v>0</v>
      </c>
      <c r="AL85" s="305">
        <f>((AL75*AK44)-(AL75*((AK44-AL44)*(1+$BR$35))))*Faktory!$D$8</f>
        <v>0</v>
      </c>
      <c r="AM85" s="267">
        <f t="shared" si="173"/>
        <v>0</v>
      </c>
      <c r="AN85" s="304">
        <f>AN14*AN44*Faktory!$D$8</f>
        <v>735208.27586206899</v>
      </c>
      <c r="AO85" s="305">
        <f>((AO75*AN44)-(AO75*((AN44-AO44)*(1+$BR$35))))*Faktory!$D$8</f>
        <v>306280.41721041611</v>
      </c>
      <c r="AP85" s="267">
        <f t="shared" si="174"/>
        <v>-428927.85865165287</v>
      </c>
      <c r="AQ85" s="304">
        <f>AQ14*AQ44*Faktory!$D$8</f>
        <v>0</v>
      </c>
      <c r="AR85" s="305">
        <f>((AR75*AQ44)-(AR75*((AQ44-AR44)*(1+$BR$35))))*Faktory!$D$8</f>
        <v>0</v>
      </c>
      <c r="AS85" s="267">
        <f t="shared" si="175"/>
        <v>0</v>
      </c>
      <c r="AT85" s="304">
        <f>AT14*AT44*Faktory!$D$8</f>
        <v>0</v>
      </c>
      <c r="AU85" s="305">
        <f>((AU75*AT44)-(AU75*((AT44-AU44)*(1+$BR$35))))*Faktory!$D$8</f>
        <v>0</v>
      </c>
      <c r="AV85" s="267">
        <f t="shared" si="176"/>
        <v>0</v>
      </c>
      <c r="AW85" s="304">
        <f>AW14*AW44*Faktory!$D$8</f>
        <v>0</v>
      </c>
      <c r="AX85" s="305">
        <f>((AX75*AW44)-(AX75*((AW44-AX44)*(1+$BR$35))))*Faktory!$D$8</f>
        <v>0</v>
      </c>
      <c r="AY85" s="267">
        <f t="shared" si="177"/>
        <v>0</v>
      </c>
      <c r="AZ85" s="304">
        <f>AZ14*AZ44*Faktory!$D$8</f>
        <v>0</v>
      </c>
      <c r="BA85" s="305">
        <f>((BA75*AZ44)-(BA75*((AZ44-BA44)*(1+$BR$35))))*Faktory!$D$8</f>
        <v>0</v>
      </c>
      <c r="BB85" s="267">
        <f t="shared" si="178"/>
        <v>0</v>
      </c>
      <c r="BC85" s="304">
        <f>BC14*BC44*Faktory!$D$8</f>
        <v>0</v>
      </c>
      <c r="BD85" s="305">
        <f>((BD75*BC44)-(BD75*((BC44-BD44)*(1+$BR$35))))*Faktory!$D$8</f>
        <v>0</v>
      </c>
      <c r="BE85" s="267">
        <f t="shared" si="179"/>
        <v>0</v>
      </c>
      <c r="BF85" s="304">
        <f>BF14*BF44*Faktory!$D$8</f>
        <v>0</v>
      </c>
      <c r="BG85" s="305">
        <f>((BG75*BF44)-(BG75*((BF44-BG44)*(1+$BR$35))))*Faktory!$D$8</f>
        <v>0</v>
      </c>
      <c r="BH85" s="267">
        <f t="shared" si="180"/>
        <v>0</v>
      </c>
      <c r="BI85" s="304">
        <f>BI14*BI44*Faktory!$D$8</f>
        <v>0</v>
      </c>
      <c r="BJ85" s="305">
        <f>((BJ75*BI44)-(BJ75*((BI44-BJ44)*(1+$BR$35))))*Faktory!$D$8</f>
        <v>0</v>
      </c>
      <c r="BK85" s="267">
        <f t="shared" si="181"/>
        <v>0</v>
      </c>
      <c r="BL85" s="304">
        <f>BL14*BL44*Faktory!$D$8</f>
        <v>0</v>
      </c>
      <c r="BM85" s="305">
        <f>((BM75*BL44)-(BM75*((BL44-BM44)*(1+$BR$35))))*Faktory!$D$8</f>
        <v>0</v>
      </c>
      <c r="BN85" s="267">
        <f t="shared" si="182"/>
        <v>0</v>
      </c>
      <c r="BO85" s="304">
        <f>BO14*BO44*Faktory!$D$8</f>
        <v>0</v>
      </c>
      <c r="BP85" s="305">
        <f>((BP75*BO44)-(BP75*((BO44-BP44)*(1+$BR$35))))*Faktory!$D$8</f>
        <v>0</v>
      </c>
      <c r="BQ85" s="267">
        <f t="shared" si="183"/>
        <v>0</v>
      </c>
    </row>
    <row r="86" spans="1:69">
      <c r="A86" s="835" t="s">
        <v>142</v>
      </c>
      <c r="B86" s="837" t="s">
        <v>143</v>
      </c>
      <c r="C86" s="290" t="s">
        <v>25</v>
      </c>
      <c r="D86" s="291">
        <f t="shared" si="160"/>
        <v>107.84656084656085</v>
      </c>
      <c r="E86" s="292">
        <f t="shared" si="161"/>
        <v>107.84656084656085</v>
      </c>
      <c r="F86" s="293">
        <f t="shared" si="162"/>
        <v>0</v>
      </c>
      <c r="G86" s="308">
        <f t="shared" ref="G86:H95" si="184">(G5*G35)/12/21/7.5</f>
        <v>0</v>
      </c>
      <c r="H86" s="309">
        <f t="shared" si="184"/>
        <v>0</v>
      </c>
      <c r="I86" s="310">
        <f t="shared" si="163"/>
        <v>0</v>
      </c>
      <c r="J86" s="308">
        <f t="shared" ref="J86:K86" si="185">(J5*J35)/12/21/7.5</f>
        <v>0</v>
      </c>
      <c r="K86" s="309">
        <f t="shared" si="185"/>
        <v>0</v>
      </c>
      <c r="L86" s="310">
        <f t="shared" si="164"/>
        <v>0</v>
      </c>
      <c r="M86" s="308">
        <f t="shared" ref="M86:N86" si="186">(M5*M35)/12/21/7.5</f>
        <v>0</v>
      </c>
      <c r="N86" s="309">
        <f t="shared" si="186"/>
        <v>0</v>
      </c>
      <c r="O86" s="310">
        <f t="shared" si="165"/>
        <v>0</v>
      </c>
      <c r="P86" s="308">
        <f t="shared" ref="P86:Q86" si="187">(P5*P35)/12/21/7.5</f>
        <v>0</v>
      </c>
      <c r="Q86" s="309">
        <f t="shared" si="187"/>
        <v>0</v>
      </c>
      <c r="R86" s="310">
        <f t="shared" si="166"/>
        <v>0</v>
      </c>
      <c r="S86" s="308">
        <f t="shared" ref="S86:T86" si="188">(S5*S35)/12/21/7.5</f>
        <v>0</v>
      </c>
      <c r="T86" s="309">
        <f t="shared" si="188"/>
        <v>0</v>
      </c>
      <c r="U86" s="310">
        <f t="shared" si="167"/>
        <v>0</v>
      </c>
      <c r="V86" s="308">
        <f t="shared" ref="V86:W86" si="189">(V5*V35)/12/21/7.5</f>
        <v>60.952380952380956</v>
      </c>
      <c r="W86" s="309">
        <f t="shared" si="189"/>
        <v>60.952380952380956</v>
      </c>
      <c r="X86" s="310">
        <f t="shared" si="168"/>
        <v>0</v>
      </c>
      <c r="Y86" s="308">
        <f t="shared" ref="Y86:Z86" si="190">(Y5*Y35)/12/21/7.5</f>
        <v>0</v>
      </c>
      <c r="Z86" s="309">
        <f t="shared" si="190"/>
        <v>0</v>
      </c>
      <c r="AA86" s="310">
        <f t="shared" si="169"/>
        <v>0</v>
      </c>
      <c r="AB86" s="308">
        <f t="shared" ref="AB86:AC86" si="191">(AB5*AB35)/12/21/7.5</f>
        <v>0</v>
      </c>
      <c r="AC86" s="309">
        <f t="shared" si="191"/>
        <v>0</v>
      </c>
      <c r="AD86" s="310">
        <f t="shared" si="170"/>
        <v>0</v>
      </c>
      <c r="AE86" s="308">
        <f t="shared" ref="AE86:AF86" si="192">(AE5*AE35)/12/21/7.5</f>
        <v>8.6666666666666661</v>
      </c>
      <c r="AF86" s="309">
        <f t="shared" si="192"/>
        <v>8.6666666666666661</v>
      </c>
      <c r="AG86" s="310">
        <f t="shared" si="171"/>
        <v>0</v>
      </c>
      <c r="AH86" s="308">
        <f t="shared" ref="AH86:AI86" si="193">(AH5*AH35)/12/21/7.5</f>
        <v>8.4656084656084651</v>
      </c>
      <c r="AI86" s="309">
        <f t="shared" si="193"/>
        <v>8.4656084656084651</v>
      </c>
      <c r="AJ86" s="310">
        <f t="shared" si="172"/>
        <v>0</v>
      </c>
      <c r="AK86" s="308">
        <f t="shared" ref="AK86:AL86" si="194">(AK5*AK35)/12/21/7.5</f>
        <v>0</v>
      </c>
      <c r="AL86" s="309">
        <f t="shared" si="194"/>
        <v>0</v>
      </c>
      <c r="AM86" s="310">
        <f t="shared" si="173"/>
        <v>0</v>
      </c>
      <c r="AN86" s="308">
        <f t="shared" ref="AN86:AO86" si="195">(AN5*AN35)/12/21/7.5</f>
        <v>29.761904761904763</v>
      </c>
      <c r="AO86" s="309">
        <f t="shared" si="195"/>
        <v>29.761904761904763</v>
      </c>
      <c r="AP86" s="310">
        <f t="shared" si="174"/>
        <v>0</v>
      </c>
      <c r="AQ86" s="308">
        <f t="shared" ref="AQ86:AR86" si="196">(AQ5*AQ35)/12/21/7.5</f>
        <v>0</v>
      </c>
      <c r="AR86" s="309">
        <f t="shared" si="196"/>
        <v>0</v>
      </c>
      <c r="AS86" s="310">
        <f t="shared" si="175"/>
        <v>0</v>
      </c>
      <c r="AT86" s="308">
        <f t="shared" ref="AT86:AU86" si="197">(AT5*AT35)/12/21/7.5</f>
        <v>0</v>
      </c>
      <c r="AU86" s="309">
        <f t="shared" si="197"/>
        <v>0</v>
      </c>
      <c r="AV86" s="310">
        <f t="shared" si="176"/>
        <v>0</v>
      </c>
      <c r="AW86" s="308">
        <f t="shared" ref="AW86:AX86" si="198">(AW5*AW35)/12/21/7.5</f>
        <v>0</v>
      </c>
      <c r="AX86" s="309">
        <f t="shared" si="198"/>
        <v>0</v>
      </c>
      <c r="AY86" s="310">
        <f t="shared" si="177"/>
        <v>0</v>
      </c>
      <c r="AZ86" s="308">
        <f t="shared" ref="AZ86:BA86" si="199">(AZ5*AZ35)/12/21/7.5</f>
        <v>0</v>
      </c>
      <c r="BA86" s="309">
        <f t="shared" si="199"/>
        <v>0</v>
      </c>
      <c r="BB86" s="310">
        <f t="shared" si="178"/>
        <v>0</v>
      </c>
      <c r="BC86" s="308">
        <f t="shared" ref="BC86:BD86" si="200">(BC5*BC35)/12/21/7.5</f>
        <v>0</v>
      </c>
      <c r="BD86" s="309">
        <f t="shared" si="200"/>
        <v>0</v>
      </c>
      <c r="BE86" s="310">
        <f t="shared" si="179"/>
        <v>0</v>
      </c>
      <c r="BF86" s="308">
        <f t="shared" ref="BF86:BG86" si="201">(BF5*BF35)/12/21/7.5</f>
        <v>0</v>
      </c>
      <c r="BG86" s="309">
        <f t="shared" si="201"/>
        <v>0</v>
      </c>
      <c r="BH86" s="310">
        <f t="shared" si="180"/>
        <v>0</v>
      </c>
      <c r="BI86" s="308">
        <f t="shared" ref="BI86:BJ95" si="202">(BI5*BI35)/12/21/7.5</f>
        <v>0</v>
      </c>
      <c r="BJ86" s="309">
        <f t="shared" si="202"/>
        <v>0</v>
      </c>
      <c r="BK86" s="310">
        <f t="shared" si="181"/>
        <v>0</v>
      </c>
      <c r="BL86" s="308">
        <f t="shared" ref="BL86:BM95" si="203">(BL5*BL35)/12/21/7.5</f>
        <v>0</v>
      </c>
      <c r="BM86" s="309">
        <f t="shared" si="203"/>
        <v>0</v>
      </c>
      <c r="BN86" s="310">
        <f t="shared" si="182"/>
        <v>0</v>
      </c>
      <c r="BO86" s="308">
        <f t="shared" ref="BO86:BP95" si="204">(BO5*BO35)/12/21/7.5</f>
        <v>0</v>
      </c>
      <c r="BP86" s="309">
        <f t="shared" si="204"/>
        <v>0</v>
      </c>
      <c r="BQ86" s="310">
        <f t="shared" si="183"/>
        <v>0</v>
      </c>
    </row>
    <row r="87" spans="1:69">
      <c r="A87" s="835"/>
      <c r="B87" s="837"/>
      <c r="C87" s="290" t="s">
        <v>26</v>
      </c>
      <c r="D87" s="291">
        <f t="shared" si="160"/>
        <v>108.06878306878308</v>
      </c>
      <c r="E87" s="292">
        <f t="shared" si="161"/>
        <v>108.06878306878308</v>
      </c>
      <c r="F87" s="293">
        <f t="shared" si="162"/>
        <v>0</v>
      </c>
      <c r="G87" s="311">
        <f t="shared" si="184"/>
        <v>0</v>
      </c>
      <c r="H87" s="312">
        <f t="shared" si="184"/>
        <v>0</v>
      </c>
      <c r="I87" s="313">
        <f t="shared" si="163"/>
        <v>0</v>
      </c>
      <c r="J87" s="311">
        <f t="shared" ref="J87:K87" si="205">(J6*J36)/12/21/7.5</f>
        <v>0</v>
      </c>
      <c r="K87" s="312">
        <f t="shared" si="205"/>
        <v>0</v>
      </c>
      <c r="L87" s="313">
        <f t="shared" si="164"/>
        <v>0</v>
      </c>
      <c r="M87" s="311">
        <f t="shared" ref="M87:N87" si="206">(M6*M36)/12/21/7.5</f>
        <v>0</v>
      </c>
      <c r="N87" s="312">
        <f t="shared" si="206"/>
        <v>0</v>
      </c>
      <c r="O87" s="313">
        <f t="shared" si="165"/>
        <v>0</v>
      </c>
      <c r="P87" s="311">
        <f t="shared" ref="P87:Q87" si="207">(P6*P36)/12/21/7.5</f>
        <v>0</v>
      </c>
      <c r="Q87" s="312">
        <f t="shared" si="207"/>
        <v>0</v>
      </c>
      <c r="R87" s="313">
        <f t="shared" si="166"/>
        <v>0</v>
      </c>
      <c r="S87" s="311">
        <f t="shared" ref="S87:T87" si="208">(S6*S36)/12/21/7.5</f>
        <v>0</v>
      </c>
      <c r="T87" s="312">
        <f t="shared" si="208"/>
        <v>0</v>
      </c>
      <c r="U87" s="313">
        <f t="shared" si="167"/>
        <v>0</v>
      </c>
      <c r="V87" s="311">
        <f t="shared" ref="V87:W87" si="209">(V6*V36)/12/21/7.5</f>
        <v>60.952380952380956</v>
      </c>
      <c r="W87" s="312">
        <f t="shared" si="209"/>
        <v>60.952380952380956</v>
      </c>
      <c r="X87" s="313">
        <f t="shared" si="168"/>
        <v>0</v>
      </c>
      <c r="Y87" s="311">
        <f t="shared" ref="Y87:Z87" si="210">(Y6*Y36)/12/21/7.5</f>
        <v>0</v>
      </c>
      <c r="Z87" s="312">
        <f t="shared" si="210"/>
        <v>0</v>
      </c>
      <c r="AA87" s="313">
        <f t="shared" si="169"/>
        <v>0</v>
      </c>
      <c r="AB87" s="311">
        <f t="shared" ref="AB87:AC87" si="211">(AB6*AB36)/12/21/7.5</f>
        <v>0</v>
      </c>
      <c r="AC87" s="312">
        <f t="shared" si="211"/>
        <v>0</v>
      </c>
      <c r="AD87" s="313">
        <f t="shared" si="170"/>
        <v>0</v>
      </c>
      <c r="AE87" s="311">
        <f t="shared" ref="AE87:AF87" si="212">(AE6*AE36)/12/21/7.5</f>
        <v>8.8888888888888893</v>
      </c>
      <c r="AF87" s="312">
        <f t="shared" si="212"/>
        <v>8.8888888888888893</v>
      </c>
      <c r="AG87" s="313">
        <f t="shared" si="171"/>
        <v>0</v>
      </c>
      <c r="AH87" s="311">
        <f t="shared" ref="AH87:AI87" si="213">(AH6*AH36)/12/21/7.5</f>
        <v>8.4656084656084651</v>
      </c>
      <c r="AI87" s="312">
        <f t="shared" si="213"/>
        <v>8.4656084656084651</v>
      </c>
      <c r="AJ87" s="313">
        <f t="shared" si="172"/>
        <v>0</v>
      </c>
      <c r="AK87" s="311">
        <f t="shared" ref="AK87:AL87" si="214">(AK6*AK36)/12/21/7.5</f>
        <v>0</v>
      </c>
      <c r="AL87" s="312">
        <f t="shared" si="214"/>
        <v>0</v>
      </c>
      <c r="AM87" s="313">
        <f t="shared" si="173"/>
        <v>0</v>
      </c>
      <c r="AN87" s="311">
        <f t="shared" ref="AN87:AO87" si="215">(AN6*AN36)/12/21/7.5</f>
        <v>29.761904761904763</v>
      </c>
      <c r="AO87" s="312">
        <f t="shared" si="215"/>
        <v>29.761904761904763</v>
      </c>
      <c r="AP87" s="313">
        <f t="shared" si="174"/>
        <v>0</v>
      </c>
      <c r="AQ87" s="311">
        <f t="shared" ref="AQ87:AR87" si="216">(AQ6*AQ36)/12/21/7.5</f>
        <v>0</v>
      </c>
      <c r="AR87" s="312">
        <f t="shared" si="216"/>
        <v>0</v>
      </c>
      <c r="AS87" s="313">
        <f t="shared" si="175"/>
        <v>0</v>
      </c>
      <c r="AT87" s="311">
        <f t="shared" ref="AT87:AU87" si="217">(AT6*AT36)/12/21/7.5</f>
        <v>0</v>
      </c>
      <c r="AU87" s="312">
        <f t="shared" si="217"/>
        <v>0</v>
      </c>
      <c r="AV87" s="313">
        <f t="shared" si="176"/>
        <v>0</v>
      </c>
      <c r="AW87" s="311">
        <f t="shared" ref="AW87:AX87" si="218">(AW6*AW36)/12/21/7.5</f>
        <v>0</v>
      </c>
      <c r="AX87" s="312">
        <f t="shared" si="218"/>
        <v>0</v>
      </c>
      <c r="AY87" s="313">
        <f t="shared" si="177"/>
        <v>0</v>
      </c>
      <c r="AZ87" s="311">
        <f t="shared" ref="AZ87:BA87" si="219">(AZ6*AZ36)/12/21/7.5</f>
        <v>0</v>
      </c>
      <c r="BA87" s="312">
        <f t="shared" si="219"/>
        <v>0</v>
      </c>
      <c r="BB87" s="313">
        <f t="shared" si="178"/>
        <v>0</v>
      </c>
      <c r="BC87" s="311">
        <f t="shared" ref="BC87:BD87" si="220">(BC6*BC36)/12/21/7.5</f>
        <v>0</v>
      </c>
      <c r="BD87" s="312">
        <f t="shared" si="220"/>
        <v>0</v>
      </c>
      <c r="BE87" s="313">
        <f t="shared" si="179"/>
        <v>0</v>
      </c>
      <c r="BF87" s="311">
        <f t="shared" ref="BF87:BG87" si="221">(BF6*BF36)/12/21/7.5</f>
        <v>0</v>
      </c>
      <c r="BG87" s="312">
        <f t="shared" si="221"/>
        <v>0</v>
      </c>
      <c r="BH87" s="313">
        <f t="shared" si="180"/>
        <v>0</v>
      </c>
      <c r="BI87" s="311">
        <f t="shared" si="202"/>
        <v>0</v>
      </c>
      <c r="BJ87" s="312">
        <f t="shared" si="202"/>
        <v>0</v>
      </c>
      <c r="BK87" s="313">
        <f t="shared" si="181"/>
        <v>0</v>
      </c>
      <c r="BL87" s="311">
        <f t="shared" si="203"/>
        <v>0</v>
      </c>
      <c r="BM87" s="312">
        <f t="shared" si="203"/>
        <v>0</v>
      </c>
      <c r="BN87" s="313">
        <f t="shared" si="182"/>
        <v>0</v>
      </c>
      <c r="BO87" s="311">
        <f t="shared" si="204"/>
        <v>0</v>
      </c>
      <c r="BP87" s="312">
        <f t="shared" si="204"/>
        <v>0</v>
      </c>
      <c r="BQ87" s="313">
        <f t="shared" si="183"/>
        <v>0</v>
      </c>
    </row>
    <row r="88" spans="1:69">
      <c r="A88" s="835"/>
      <c r="B88" s="837"/>
      <c r="C88" s="290" t="s">
        <v>27</v>
      </c>
      <c r="D88" s="291">
        <f t="shared" si="160"/>
        <v>108.06878306878308</v>
      </c>
      <c r="E88" s="667">
        <f t="shared" si="161"/>
        <v>50.696825396825396</v>
      </c>
      <c r="F88" s="293">
        <f t="shared" si="162"/>
        <v>-57.371957671957674</v>
      </c>
      <c r="G88" s="311">
        <f t="shared" si="184"/>
        <v>0</v>
      </c>
      <c r="H88" s="312">
        <f t="shared" si="184"/>
        <v>0</v>
      </c>
      <c r="I88" s="313">
        <f t="shared" si="163"/>
        <v>0</v>
      </c>
      <c r="J88" s="311">
        <f t="shared" ref="J88:K88" si="222">(J7*J37)/12/21/7.5</f>
        <v>0</v>
      </c>
      <c r="K88" s="312">
        <f t="shared" si="222"/>
        <v>0</v>
      </c>
      <c r="L88" s="313">
        <f t="shared" si="164"/>
        <v>0</v>
      </c>
      <c r="M88" s="311">
        <f t="shared" ref="M88:N88" si="223">(M7*M37)/12/21/7.5</f>
        <v>0</v>
      </c>
      <c r="N88" s="312">
        <f t="shared" si="223"/>
        <v>0</v>
      </c>
      <c r="O88" s="313">
        <f t="shared" si="165"/>
        <v>0</v>
      </c>
      <c r="P88" s="311">
        <f t="shared" ref="P88:Q88" si="224">(P7*P37)/12/21/7.5</f>
        <v>0</v>
      </c>
      <c r="Q88" s="312">
        <f t="shared" si="224"/>
        <v>0</v>
      </c>
      <c r="R88" s="313">
        <f t="shared" si="166"/>
        <v>0</v>
      </c>
      <c r="S88" s="311">
        <f t="shared" ref="S88:T88" si="225">(S7*S37)/12/21/7.5</f>
        <v>0</v>
      </c>
      <c r="T88" s="312">
        <f t="shared" si="225"/>
        <v>0</v>
      </c>
      <c r="U88" s="313">
        <f t="shared" si="167"/>
        <v>0</v>
      </c>
      <c r="V88" s="311">
        <f t="shared" ref="V88:W88" si="226">(V7*V37)/12/21/7.5</f>
        <v>60.952380952380956</v>
      </c>
      <c r="W88" s="312">
        <f t="shared" si="226"/>
        <v>31.085714285714285</v>
      </c>
      <c r="X88" s="313">
        <f t="shared" si="168"/>
        <v>-29.866666666666671</v>
      </c>
      <c r="Y88" s="311">
        <f t="shared" ref="Y88:Z88" si="227">(Y7*Y37)/12/21/7.5</f>
        <v>0</v>
      </c>
      <c r="Z88" s="312">
        <f t="shared" si="227"/>
        <v>0</v>
      </c>
      <c r="AA88" s="313">
        <f t="shared" si="169"/>
        <v>0</v>
      </c>
      <c r="AB88" s="311">
        <f t="shared" ref="AB88:AC88" si="228">(AB7*AB37)/12/21/7.5</f>
        <v>0</v>
      </c>
      <c r="AC88" s="312">
        <f t="shared" si="228"/>
        <v>0</v>
      </c>
      <c r="AD88" s="313">
        <f t="shared" si="170"/>
        <v>0</v>
      </c>
      <c r="AE88" s="311">
        <f t="shared" ref="AE88:AF88" si="229">(AE7*AE37)/12/21/7.5</f>
        <v>8.8888888888888893</v>
      </c>
      <c r="AF88" s="312">
        <f t="shared" si="229"/>
        <v>4.2751322751322753</v>
      </c>
      <c r="AG88" s="313">
        <f t="shared" si="171"/>
        <v>-4.6137566137566139</v>
      </c>
      <c r="AH88" s="311">
        <f t="shared" ref="AH88:AI88" si="230">(AH7*AH37)/12/21/7.5</f>
        <v>8.4656084656084651</v>
      </c>
      <c r="AI88" s="312">
        <f t="shared" si="230"/>
        <v>4.5423280423280419</v>
      </c>
      <c r="AJ88" s="313">
        <f t="shared" si="172"/>
        <v>-3.9232804232804233</v>
      </c>
      <c r="AK88" s="311">
        <f t="shared" ref="AK88:AL88" si="231">(AK7*AK37)/12/21/7.5</f>
        <v>0</v>
      </c>
      <c r="AL88" s="312">
        <f t="shared" si="231"/>
        <v>0</v>
      </c>
      <c r="AM88" s="313">
        <f t="shared" si="173"/>
        <v>0</v>
      </c>
      <c r="AN88" s="311">
        <f t="shared" ref="AN88:AO88" si="232">(AN7*AN37)/12/21/7.5</f>
        <v>29.761904761904763</v>
      </c>
      <c r="AO88" s="312">
        <f t="shared" si="232"/>
        <v>10.793650793650793</v>
      </c>
      <c r="AP88" s="313">
        <f t="shared" si="174"/>
        <v>-18.968253968253968</v>
      </c>
      <c r="AQ88" s="311">
        <f t="shared" ref="AQ88:AR88" si="233">(AQ7*AQ37)/12/21/7.5</f>
        <v>0</v>
      </c>
      <c r="AR88" s="312">
        <f t="shared" si="233"/>
        <v>0</v>
      </c>
      <c r="AS88" s="313">
        <f t="shared" si="175"/>
        <v>0</v>
      </c>
      <c r="AT88" s="311">
        <f t="shared" ref="AT88:AU88" si="234">(AT7*AT37)/12/21/7.5</f>
        <v>0</v>
      </c>
      <c r="AU88" s="312">
        <f t="shared" si="234"/>
        <v>0</v>
      </c>
      <c r="AV88" s="313">
        <f t="shared" si="176"/>
        <v>0</v>
      </c>
      <c r="AW88" s="311">
        <f t="shared" ref="AW88:AX88" si="235">(AW7*AW37)/12/21/7.5</f>
        <v>0</v>
      </c>
      <c r="AX88" s="312">
        <f t="shared" si="235"/>
        <v>0</v>
      </c>
      <c r="AY88" s="313">
        <f t="shared" si="177"/>
        <v>0</v>
      </c>
      <c r="AZ88" s="311">
        <f t="shared" ref="AZ88:BA88" si="236">(AZ7*AZ37)/12/21/7.5</f>
        <v>0</v>
      </c>
      <c r="BA88" s="312">
        <f t="shared" si="236"/>
        <v>0</v>
      </c>
      <c r="BB88" s="313">
        <f t="shared" si="178"/>
        <v>0</v>
      </c>
      <c r="BC88" s="311">
        <f t="shared" ref="BC88:BD88" si="237">(BC7*BC37)/12/21/7.5</f>
        <v>0</v>
      </c>
      <c r="BD88" s="312">
        <f t="shared" si="237"/>
        <v>0</v>
      </c>
      <c r="BE88" s="313">
        <f t="shared" si="179"/>
        <v>0</v>
      </c>
      <c r="BF88" s="311">
        <f t="shared" ref="BF88:BG88" si="238">(BF7*BF37)/12/21/7.5</f>
        <v>0</v>
      </c>
      <c r="BG88" s="312">
        <f t="shared" si="238"/>
        <v>0</v>
      </c>
      <c r="BH88" s="313">
        <f t="shared" si="180"/>
        <v>0</v>
      </c>
      <c r="BI88" s="311">
        <f t="shared" si="202"/>
        <v>0</v>
      </c>
      <c r="BJ88" s="312">
        <f t="shared" si="202"/>
        <v>0</v>
      </c>
      <c r="BK88" s="313">
        <f t="shared" si="181"/>
        <v>0</v>
      </c>
      <c r="BL88" s="311">
        <f t="shared" si="203"/>
        <v>0</v>
      </c>
      <c r="BM88" s="312">
        <f t="shared" si="203"/>
        <v>0</v>
      </c>
      <c r="BN88" s="313">
        <f t="shared" si="182"/>
        <v>0</v>
      </c>
      <c r="BO88" s="311">
        <f t="shared" si="204"/>
        <v>0</v>
      </c>
      <c r="BP88" s="312">
        <f t="shared" si="204"/>
        <v>0</v>
      </c>
      <c r="BQ88" s="313">
        <f t="shared" si="183"/>
        <v>0</v>
      </c>
    </row>
    <row r="89" spans="1:69">
      <c r="A89" s="835"/>
      <c r="B89" s="837"/>
      <c r="C89" s="290" t="s">
        <v>28</v>
      </c>
      <c r="D89" s="291">
        <f t="shared" si="160"/>
        <v>108.06878306878308</v>
      </c>
      <c r="E89" s="667">
        <f t="shared" si="161"/>
        <v>51.622587301587302</v>
      </c>
      <c r="F89" s="293">
        <f t="shared" si="162"/>
        <v>-56.446195767195775</v>
      </c>
      <c r="G89" s="311">
        <f t="shared" si="184"/>
        <v>0</v>
      </c>
      <c r="H89" s="312">
        <f t="shared" si="184"/>
        <v>0</v>
      </c>
      <c r="I89" s="313">
        <f t="shared" si="163"/>
        <v>0</v>
      </c>
      <c r="J89" s="311">
        <f t="shared" ref="J89:K89" si="239">(J8*J38)/12/21/7.5</f>
        <v>0</v>
      </c>
      <c r="K89" s="312">
        <f t="shared" si="239"/>
        <v>0</v>
      </c>
      <c r="L89" s="313">
        <f t="shared" si="164"/>
        <v>0</v>
      </c>
      <c r="M89" s="311">
        <f t="shared" ref="M89:N89" si="240">(M8*M38)/12/21/7.5</f>
        <v>0</v>
      </c>
      <c r="N89" s="312">
        <f t="shared" si="240"/>
        <v>0</v>
      </c>
      <c r="O89" s="313">
        <f t="shared" si="165"/>
        <v>0</v>
      </c>
      <c r="P89" s="311">
        <f t="shared" ref="P89:Q89" si="241">(P8*P38)/12/21/7.5</f>
        <v>0</v>
      </c>
      <c r="Q89" s="312">
        <f t="shared" si="241"/>
        <v>0</v>
      </c>
      <c r="R89" s="313">
        <f t="shared" si="166"/>
        <v>0</v>
      </c>
      <c r="S89" s="311">
        <f t="shared" ref="S89:T89" si="242">(S8*S38)/12/21/7.5</f>
        <v>0</v>
      </c>
      <c r="T89" s="312">
        <f t="shared" si="242"/>
        <v>0</v>
      </c>
      <c r="U89" s="313">
        <f t="shared" si="167"/>
        <v>0</v>
      </c>
      <c r="V89" s="311">
        <f t="shared" ref="V89:W89" si="243">(V8*V38)/12/21/7.5</f>
        <v>60.952380952380956</v>
      </c>
      <c r="W89" s="312">
        <f t="shared" si="243"/>
        <v>31.707428571428572</v>
      </c>
      <c r="X89" s="313">
        <f t="shared" si="168"/>
        <v>-29.244952380952384</v>
      </c>
      <c r="Y89" s="311">
        <f t="shared" ref="Y89:Z89" si="244">(Y8*Y38)/12/21/7.5</f>
        <v>0</v>
      </c>
      <c r="Z89" s="312">
        <f t="shared" si="244"/>
        <v>0</v>
      </c>
      <c r="AA89" s="313">
        <f t="shared" si="169"/>
        <v>0</v>
      </c>
      <c r="AB89" s="311">
        <f t="shared" ref="AB89:AC89" si="245">(AB8*AB38)/12/21/7.5</f>
        <v>0</v>
      </c>
      <c r="AC89" s="312">
        <f t="shared" si="245"/>
        <v>0</v>
      </c>
      <c r="AD89" s="313">
        <f t="shared" si="170"/>
        <v>0</v>
      </c>
      <c r="AE89" s="311">
        <f t="shared" ref="AE89:AF89" si="246">(AE8*AE38)/12/21/7.5</f>
        <v>8.8888888888888893</v>
      </c>
      <c r="AF89" s="312">
        <f t="shared" si="246"/>
        <v>4.3178835978835979</v>
      </c>
      <c r="AG89" s="313">
        <f t="shared" si="171"/>
        <v>-4.5710052910052914</v>
      </c>
      <c r="AH89" s="311">
        <f t="shared" ref="AH89:AI89" si="247">(AH8*AH38)/12/21/7.5</f>
        <v>8.4656084656084651</v>
      </c>
      <c r="AI89" s="312">
        <f t="shared" si="247"/>
        <v>4.5877513227513225</v>
      </c>
      <c r="AJ89" s="313">
        <f t="shared" si="172"/>
        <v>-3.8778571428571427</v>
      </c>
      <c r="AK89" s="311">
        <f t="shared" ref="AK89:AL89" si="248">(AK8*AK38)/12/21/7.5</f>
        <v>0</v>
      </c>
      <c r="AL89" s="312">
        <f t="shared" si="248"/>
        <v>0</v>
      </c>
      <c r="AM89" s="313">
        <f t="shared" si="173"/>
        <v>0</v>
      </c>
      <c r="AN89" s="311">
        <f t="shared" ref="AN89:AO89" si="249">(AN8*AN38)/12/21/7.5</f>
        <v>29.761904761904763</v>
      </c>
      <c r="AO89" s="312">
        <f t="shared" si="249"/>
        <v>11.009523809523809</v>
      </c>
      <c r="AP89" s="313">
        <f t="shared" si="174"/>
        <v>-18.752380952380953</v>
      </c>
      <c r="AQ89" s="311">
        <f t="shared" ref="AQ89:AR89" si="250">(AQ8*AQ38)/12/21/7.5</f>
        <v>0</v>
      </c>
      <c r="AR89" s="312">
        <f t="shared" si="250"/>
        <v>0</v>
      </c>
      <c r="AS89" s="313">
        <f t="shared" si="175"/>
        <v>0</v>
      </c>
      <c r="AT89" s="311">
        <f t="shared" ref="AT89:AU89" si="251">(AT8*AT38)/12/21/7.5</f>
        <v>0</v>
      </c>
      <c r="AU89" s="312">
        <f t="shared" si="251"/>
        <v>0</v>
      </c>
      <c r="AV89" s="313">
        <f t="shared" si="176"/>
        <v>0</v>
      </c>
      <c r="AW89" s="311">
        <f t="shared" ref="AW89:AX89" si="252">(AW8*AW38)/12/21/7.5</f>
        <v>0</v>
      </c>
      <c r="AX89" s="312">
        <f t="shared" si="252"/>
        <v>0</v>
      </c>
      <c r="AY89" s="313">
        <f t="shared" si="177"/>
        <v>0</v>
      </c>
      <c r="AZ89" s="311">
        <f t="shared" ref="AZ89:BA89" si="253">(AZ8*AZ38)/12/21/7.5</f>
        <v>0</v>
      </c>
      <c r="BA89" s="312">
        <f t="shared" si="253"/>
        <v>0</v>
      </c>
      <c r="BB89" s="313">
        <f t="shared" si="178"/>
        <v>0</v>
      </c>
      <c r="BC89" s="311">
        <f t="shared" ref="BC89:BD89" si="254">(BC8*BC38)/12/21/7.5</f>
        <v>0</v>
      </c>
      <c r="BD89" s="312">
        <f t="shared" si="254"/>
        <v>0</v>
      </c>
      <c r="BE89" s="313">
        <f t="shared" si="179"/>
        <v>0</v>
      </c>
      <c r="BF89" s="311">
        <f t="shared" ref="BF89:BG89" si="255">(BF8*BF38)/12/21/7.5</f>
        <v>0</v>
      </c>
      <c r="BG89" s="312">
        <f t="shared" si="255"/>
        <v>0</v>
      </c>
      <c r="BH89" s="313">
        <f t="shared" si="180"/>
        <v>0</v>
      </c>
      <c r="BI89" s="311">
        <f t="shared" si="202"/>
        <v>0</v>
      </c>
      <c r="BJ89" s="312">
        <f t="shared" si="202"/>
        <v>0</v>
      </c>
      <c r="BK89" s="313">
        <f t="shared" si="181"/>
        <v>0</v>
      </c>
      <c r="BL89" s="311">
        <f t="shared" si="203"/>
        <v>0</v>
      </c>
      <c r="BM89" s="312">
        <f t="shared" si="203"/>
        <v>0</v>
      </c>
      <c r="BN89" s="313">
        <f t="shared" si="182"/>
        <v>0</v>
      </c>
      <c r="BO89" s="311">
        <f t="shared" si="204"/>
        <v>0</v>
      </c>
      <c r="BP89" s="312">
        <f t="shared" si="204"/>
        <v>0</v>
      </c>
      <c r="BQ89" s="313">
        <f t="shared" si="183"/>
        <v>0</v>
      </c>
    </row>
    <row r="90" spans="1:69">
      <c r="A90" s="835"/>
      <c r="B90" s="837"/>
      <c r="C90" s="290" t="s">
        <v>29</v>
      </c>
      <c r="D90" s="291">
        <f t="shared" si="160"/>
        <v>108.06878306878308</v>
      </c>
      <c r="E90" s="667">
        <f t="shared" si="161"/>
        <v>52.565982698412704</v>
      </c>
      <c r="F90" s="293">
        <f t="shared" si="162"/>
        <v>-55.502800370370366</v>
      </c>
      <c r="G90" s="311">
        <f t="shared" si="184"/>
        <v>0</v>
      </c>
      <c r="H90" s="312">
        <f t="shared" si="184"/>
        <v>0</v>
      </c>
      <c r="I90" s="313">
        <f t="shared" si="163"/>
        <v>0</v>
      </c>
      <c r="J90" s="311">
        <f t="shared" ref="J90:K90" si="256">(J9*J39)/12/21/7.5</f>
        <v>0</v>
      </c>
      <c r="K90" s="312">
        <f t="shared" si="256"/>
        <v>0</v>
      </c>
      <c r="L90" s="313">
        <f t="shared" si="164"/>
        <v>0</v>
      </c>
      <c r="M90" s="311">
        <f t="shared" ref="M90:N90" si="257">(M9*M39)/12/21/7.5</f>
        <v>0</v>
      </c>
      <c r="N90" s="312">
        <f t="shared" si="257"/>
        <v>0</v>
      </c>
      <c r="O90" s="313">
        <f t="shared" si="165"/>
        <v>0</v>
      </c>
      <c r="P90" s="311">
        <f t="shared" ref="P90:Q90" si="258">(P9*P39)/12/21/7.5</f>
        <v>0</v>
      </c>
      <c r="Q90" s="312">
        <f t="shared" si="258"/>
        <v>0</v>
      </c>
      <c r="R90" s="313">
        <f t="shared" si="166"/>
        <v>0</v>
      </c>
      <c r="S90" s="311">
        <f t="shared" ref="S90:T90" si="259">(S9*S39)/12/21/7.5</f>
        <v>0</v>
      </c>
      <c r="T90" s="312">
        <f t="shared" si="259"/>
        <v>0</v>
      </c>
      <c r="U90" s="313">
        <f t="shared" si="167"/>
        <v>0</v>
      </c>
      <c r="V90" s="311">
        <f t="shared" ref="V90:W90" si="260">(V9*V39)/12/21/7.5</f>
        <v>60.952380952380956</v>
      </c>
      <c r="W90" s="312">
        <f t="shared" si="260"/>
        <v>32.341577142857147</v>
      </c>
      <c r="X90" s="313">
        <f t="shared" si="168"/>
        <v>-28.610803809523809</v>
      </c>
      <c r="Y90" s="311">
        <f t="shared" ref="Y90:Z90" si="261">(Y9*Y39)/12/21/7.5</f>
        <v>0</v>
      </c>
      <c r="Z90" s="312">
        <f t="shared" si="261"/>
        <v>0</v>
      </c>
      <c r="AA90" s="313">
        <f t="shared" si="169"/>
        <v>0</v>
      </c>
      <c r="AB90" s="311">
        <f t="shared" ref="AB90:AC90" si="262">(AB9*AB39)/12/21/7.5</f>
        <v>0</v>
      </c>
      <c r="AC90" s="312">
        <f t="shared" si="262"/>
        <v>0</v>
      </c>
      <c r="AD90" s="313">
        <f t="shared" si="170"/>
        <v>0</v>
      </c>
      <c r="AE90" s="311">
        <f t="shared" ref="AE90:AF90" si="263">(AE9*AE39)/12/21/7.5</f>
        <v>8.8888888888888893</v>
      </c>
      <c r="AF90" s="312">
        <f t="shared" si="263"/>
        <v>4.3610624338624326</v>
      </c>
      <c r="AG90" s="313">
        <f t="shared" si="171"/>
        <v>-4.5278264550264566</v>
      </c>
      <c r="AH90" s="311">
        <f t="shared" ref="AH90:AI90" si="264">(AH9*AH39)/12/21/7.5</f>
        <v>8.4656084656084651</v>
      </c>
      <c r="AI90" s="312">
        <f t="shared" si="264"/>
        <v>4.6336288359788362</v>
      </c>
      <c r="AJ90" s="313">
        <f t="shared" si="172"/>
        <v>-3.8319796296296289</v>
      </c>
      <c r="AK90" s="311">
        <f t="shared" ref="AK90:AL90" si="265">(AK9*AK39)/12/21/7.5</f>
        <v>0</v>
      </c>
      <c r="AL90" s="312">
        <f t="shared" si="265"/>
        <v>0</v>
      </c>
      <c r="AM90" s="313">
        <f t="shared" si="173"/>
        <v>0</v>
      </c>
      <c r="AN90" s="311">
        <f t="shared" ref="AN90:AO90" si="266">(AN9*AN39)/12/21/7.5</f>
        <v>29.761904761904763</v>
      </c>
      <c r="AO90" s="312">
        <f t="shared" si="266"/>
        <v>11.229714285714287</v>
      </c>
      <c r="AP90" s="313">
        <f t="shared" si="174"/>
        <v>-18.532190476190475</v>
      </c>
      <c r="AQ90" s="311">
        <f t="shared" ref="AQ90:AR90" si="267">(AQ9*AQ39)/12/21/7.5</f>
        <v>0</v>
      </c>
      <c r="AR90" s="312">
        <f t="shared" si="267"/>
        <v>0</v>
      </c>
      <c r="AS90" s="313">
        <f t="shared" si="175"/>
        <v>0</v>
      </c>
      <c r="AT90" s="311">
        <f t="shared" ref="AT90:AU90" si="268">(AT9*AT39)/12/21/7.5</f>
        <v>0</v>
      </c>
      <c r="AU90" s="312">
        <f t="shared" si="268"/>
        <v>0</v>
      </c>
      <c r="AV90" s="313">
        <f t="shared" si="176"/>
        <v>0</v>
      </c>
      <c r="AW90" s="311">
        <f t="shared" ref="AW90:AX90" si="269">(AW9*AW39)/12/21/7.5</f>
        <v>0</v>
      </c>
      <c r="AX90" s="312">
        <f t="shared" si="269"/>
        <v>0</v>
      </c>
      <c r="AY90" s="313">
        <f t="shared" si="177"/>
        <v>0</v>
      </c>
      <c r="AZ90" s="311">
        <f t="shared" ref="AZ90:BA90" si="270">(AZ9*AZ39)/12/21/7.5</f>
        <v>0</v>
      </c>
      <c r="BA90" s="312">
        <f t="shared" si="270"/>
        <v>0</v>
      </c>
      <c r="BB90" s="313">
        <f t="shared" si="178"/>
        <v>0</v>
      </c>
      <c r="BC90" s="311">
        <f t="shared" ref="BC90:BD90" si="271">(BC9*BC39)/12/21/7.5</f>
        <v>0</v>
      </c>
      <c r="BD90" s="312">
        <f t="shared" si="271"/>
        <v>0</v>
      </c>
      <c r="BE90" s="313">
        <f t="shared" si="179"/>
        <v>0</v>
      </c>
      <c r="BF90" s="311">
        <f t="shared" ref="BF90:BG90" si="272">(BF9*BF39)/12/21/7.5</f>
        <v>0</v>
      </c>
      <c r="BG90" s="312">
        <f t="shared" si="272"/>
        <v>0</v>
      </c>
      <c r="BH90" s="313">
        <f t="shared" si="180"/>
        <v>0</v>
      </c>
      <c r="BI90" s="311">
        <f t="shared" si="202"/>
        <v>0</v>
      </c>
      <c r="BJ90" s="312">
        <f t="shared" si="202"/>
        <v>0</v>
      </c>
      <c r="BK90" s="313">
        <f t="shared" si="181"/>
        <v>0</v>
      </c>
      <c r="BL90" s="311">
        <f t="shared" si="203"/>
        <v>0</v>
      </c>
      <c r="BM90" s="312">
        <f t="shared" si="203"/>
        <v>0</v>
      </c>
      <c r="BN90" s="313">
        <f t="shared" si="182"/>
        <v>0</v>
      </c>
      <c r="BO90" s="311">
        <f t="shared" si="204"/>
        <v>0</v>
      </c>
      <c r="BP90" s="312">
        <f t="shared" si="204"/>
        <v>0</v>
      </c>
      <c r="BQ90" s="313">
        <f t="shared" si="183"/>
        <v>0</v>
      </c>
    </row>
    <row r="91" spans="1:69">
      <c r="A91" s="835"/>
      <c r="B91" s="837"/>
      <c r="C91" s="290" t="s">
        <v>30</v>
      </c>
      <c r="D91" s="291">
        <f t="shared" si="160"/>
        <v>108.06878306878308</v>
      </c>
      <c r="E91" s="667">
        <f t="shared" si="161"/>
        <v>53.527355439682538</v>
      </c>
      <c r="F91" s="293">
        <f t="shared" si="162"/>
        <v>-54.541427629100525</v>
      </c>
      <c r="G91" s="311">
        <f t="shared" si="184"/>
        <v>0</v>
      </c>
      <c r="H91" s="312">
        <f t="shared" si="184"/>
        <v>0</v>
      </c>
      <c r="I91" s="313">
        <f t="shared" si="163"/>
        <v>0</v>
      </c>
      <c r="J91" s="311">
        <f t="shared" ref="J91:K91" si="273">(J10*J40)/12/21/7.5</f>
        <v>0</v>
      </c>
      <c r="K91" s="312">
        <f t="shared" si="273"/>
        <v>0</v>
      </c>
      <c r="L91" s="313">
        <f t="shared" si="164"/>
        <v>0</v>
      </c>
      <c r="M91" s="311">
        <f t="shared" ref="M91:N91" si="274">(M10*M40)/12/21/7.5</f>
        <v>0</v>
      </c>
      <c r="N91" s="312">
        <f t="shared" si="274"/>
        <v>0</v>
      </c>
      <c r="O91" s="313">
        <f t="shared" si="165"/>
        <v>0</v>
      </c>
      <c r="P91" s="311">
        <f t="shared" ref="P91:Q91" si="275">(P10*P40)/12/21/7.5</f>
        <v>0</v>
      </c>
      <c r="Q91" s="312">
        <f t="shared" si="275"/>
        <v>0</v>
      </c>
      <c r="R91" s="313">
        <f t="shared" si="166"/>
        <v>0</v>
      </c>
      <c r="S91" s="311">
        <f t="shared" ref="S91:T91" si="276">(S10*S40)/12/21/7.5</f>
        <v>0</v>
      </c>
      <c r="T91" s="312">
        <f t="shared" si="276"/>
        <v>0</v>
      </c>
      <c r="U91" s="313">
        <f t="shared" si="167"/>
        <v>0</v>
      </c>
      <c r="V91" s="311">
        <f t="shared" ref="V91:W91" si="277">(V10*V40)/12/21/7.5</f>
        <v>60.952380952380956</v>
      </c>
      <c r="W91" s="312">
        <f t="shared" si="277"/>
        <v>32.98840868571429</v>
      </c>
      <c r="X91" s="313">
        <f t="shared" si="168"/>
        <v>-27.963972266666666</v>
      </c>
      <c r="Y91" s="311">
        <f t="shared" ref="Y91:Z91" si="278">(Y10*Y40)/12/21/7.5</f>
        <v>0</v>
      </c>
      <c r="Z91" s="312">
        <f t="shared" si="278"/>
        <v>0</v>
      </c>
      <c r="AA91" s="313">
        <f t="shared" si="169"/>
        <v>0</v>
      </c>
      <c r="AB91" s="311">
        <f t="shared" ref="AB91:AC91" si="279">(AB10*AB40)/12/21/7.5</f>
        <v>0</v>
      </c>
      <c r="AC91" s="312">
        <f t="shared" si="279"/>
        <v>0</v>
      </c>
      <c r="AD91" s="313">
        <f t="shared" si="170"/>
        <v>0</v>
      </c>
      <c r="AE91" s="311">
        <f t="shared" ref="AE91:AF91" si="280">(AE10*AE40)/12/21/7.5</f>
        <v>8.8888888888888893</v>
      </c>
      <c r="AF91" s="312">
        <f t="shared" si="280"/>
        <v>4.404673058201058</v>
      </c>
      <c r="AG91" s="313">
        <f t="shared" si="171"/>
        <v>-4.4842158306878313</v>
      </c>
      <c r="AH91" s="311">
        <f t="shared" ref="AH91:AI91" si="281">(AH10*AH40)/12/21/7.5</f>
        <v>8.4656084656084651</v>
      </c>
      <c r="AI91" s="312">
        <f t="shared" si="281"/>
        <v>4.679965124338624</v>
      </c>
      <c r="AJ91" s="313">
        <f t="shared" si="172"/>
        <v>-3.7856433412698411</v>
      </c>
      <c r="AK91" s="311">
        <f t="shared" ref="AK91:AL91" si="282">(AK10*AK40)/12/21/7.5</f>
        <v>0</v>
      </c>
      <c r="AL91" s="312">
        <f t="shared" si="282"/>
        <v>0</v>
      </c>
      <c r="AM91" s="313">
        <f t="shared" si="173"/>
        <v>0</v>
      </c>
      <c r="AN91" s="311">
        <f t="shared" ref="AN91:AO91" si="283">(AN10*AN40)/12/21/7.5</f>
        <v>29.761904761904763</v>
      </c>
      <c r="AO91" s="312">
        <f t="shared" si="283"/>
        <v>11.454308571428573</v>
      </c>
      <c r="AP91" s="313">
        <f t="shared" si="174"/>
        <v>-18.30759619047619</v>
      </c>
      <c r="AQ91" s="311">
        <f t="shared" ref="AQ91:AR91" si="284">(AQ10*AQ40)/12/21/7.5</f>
        <v>0</v>
      </c>
      <c r="AR91" s="312">
        <f t="shared" si="284"/>
        <v>0</v>
      </c>
      <c r="AS91" s="313">
        <f t="shared" si="175"/>
        <v>0</v>
      </c>
      <c r="AT91" s="311">
        <f t="shared" ref="AT91:AU91" si="285">(AT10*AT40)/12/21/7.5</f>
        <v>0</v>
      </c>
      <c r="AU91" s="312">
        <f t="shared" si="285"/>
        <v>0</v>
      </c>
      <c r="AV91" s="313">
        <f t="shared" si="176"/>
        <v>0</v>
      </c>
      <c r="AW91" s="311">
        <f t="shared" ref="AW91:AX91" si="286">(AW10*AW40)/12/21/7.5</f>
        <v>0</v>
      </c>
      <c r="AX91" s="312">
        <f t="shared" si="286"/>
        <v>0</v>
      </c>
      <c r="AY91" s="313">
        <f t="shared" si="177"/>
        <v>0</v>
      </c>
      <c r="AZ91" s="311">
        <f t="shared" ref="AZ91:BA91" si="287">(AZ10*AZ40)/12/21/7.5</f>
        <v>0</v>
      </c>
      <c r="BA91" s="312">
        <f t="shared" si="287"/>
        <v>0</v>
      </c>
      <c r="BB91" s="313">
        <f t="shared" si="178"/>
        <v>0</v>
      </c>
      <c r="BC91" s="311">
        <f t="shared" ref="BC91:BD91" si="288">(BC10*BC40)/12/21/7.5</f>
        <v>0</v>
      </c>
      <c r="BD91" s="312">
        <f t="shared" si="288"/>
        <v>0</v>
      </c>
      <c r="BE91" s="313">
        <f t="shared" si="179"/>
        <v>0</v>
      </c>
      <c r="BF91" s="311">
        <f t="shared" ref="BF91:BG91" si="289">(BF10*BF40)/12/21/7.5</f>
        <v>0</v>
      </c>
      <c r="BG91" s="312">
        <f t="shared" si="289"/>
        <v>0</v>
      </c>
      <c r="BH91" s="313">
        <f t="shared" si="180"/>
        <v>0</v>
      </c>
      <c r="BI91" s="311">
        <f t="shared" si="202"/>
        <v>0</v>
      </c>
      <c r="BJ91" s="312">
        <f t="shared" si="202"/>
        <v>0</v>
      </c>
      <c r="BK91" s="313">
        <f t="shared" si="181"/>
        <v>0</v>
      </c>
      <c r="BL91" s="311">
        <f t="shared" si="203"/>
        <v>0</v>
      </c>
      <c r="BM91" s="312">
        <f t="shared" si="203"/>
        <v>0</v>
      </c>
      <c r="BN91" s="313">
        <f t="shared" si="182"/>
        <v>0</v>
      </c>
      <c r="BO91" s="311">
        <f t="shared" si="204"/>
        <v>0</v>
      </c>
      <c r="BP91" s="312">
        <f t="shared" si="204"/>
        <v>0</v>
      </c>
      <c r="BQ91" s="313">
        <f t="shared" si="183"/>
        <v>0</v>
      </c>
    </row>
    <row r="92" spans="1:69">
      <c r="A92" s="835"/>
      <c r="B92" s="837"/>
      <c r="C92" s="290" t="s">
        <v>31</v>
      </c>
      <c r="D92" s="291">
        <f t="shared" si="160"/>
        <v>108.06878306878308</v>
      </c>
      <c r="E92" s="667">
        <f t="shared" si="161"/>
        <v>54.507056166650798</v>
      </c>
      <c r="F92" s="293">
        <f t="shared" si="162"/>
        <v>-53.561726902132271</v>
      </c>
      <c r="G92" s="311">
        <f t="shared" si="184"/>
        <v>0</v>
      </c>
      <c r="H92" s="312">
        <f t="shared" si="184"/>
        <v>0</v>
      </c>
      <c r="I92" s="313">
        <f t="shared" si="163"/>
        <v>0</v>
      </c>
      <c r="J92" s="311">
        <f t="shared" ref="J92:K92" si="290">(J11*J41)/12/21/7.5</f>
        <v>0</v>
      </c>
      <c r="K92" s="312">
        <f t="shared" si="290"/>
        <v>0</v>
      </c>
      <c r="L92" s="313">
        <f t="shared" si="164"/>
        <v>0</v>
      </c>
      <c r="M92" s="311">
        <f t="shared" ref="M92:N92" si="291">(M11*M41)/12/21/7.5</f>
        <v>0</v>
      </c>
      <c r="N92" s="312">
        <f t="shared" si="291"/>
        <v>0</v>
      </c>
      <c r="O92" s="313">
        <f t="shared" si="165"/>
        <v>0</v>
      </c>
      <c r="P92" s="311">
        <f t="shared" ref="P92:Q92" si="292">(P11*P41)/12/21/7.5</f>
        <v>0</v>
      </c>
      <c r="Q92" s="312">
        <f t="shared" si="292"/>
        <v>0</v>
      </c>
      <c r="R92" s="313">
        <f t="shared" si="166"/>
        <v>0</v>
      </c>
      <c r="S92" s="311">
        <f t="shared" ref="S92:T92" si="293">(S11*S41)/12/21/7.5</f>
        <v>0</v>
      </c>
      <c r="T92" s="312">
        <f t="shared" si="293"/>
        <v>0</v>
      </c>
      <c r="U92" s="313">
        <f t="shared" si="167"/>
        <v>0</v>
      </c>
      <c r="V92" s="311">
        <f t="shared" ref="V92:W92" si="294">(V11*V41)/12/21/7.5</f>
        <v>60.952380952380956</v>
      </c>
      <c r="W92" s="312">
        <f t="shared" si="294"/>
        <v>33.648176859428581</v>
      </c>
      <c r="X92" s="313">
        <f t="shared" si="168"/>
        <v>-27.304204092952375</v>
      </c>
      <c r="Y92" s="311">
        <f t="shared" ref="Y92:Z92" si="295">(Y11*Y41)/12/21/7.5</f>
        <v>0</v>
      </c>
      <c r="Z92" s="312">
        <f t="shared" si="295"/>
        <v>0</v>
      </c>
      <c r="AA92" s="313">
        <f t="shared" si="169"/>
        <v>0</v>
      </c>
      <c r="AB92" s="311">
        <f t="shared" ref="AB92:AC92" si="296">(AB11*AB41)/12/21/7.5</f>
        <v>0</v>
      </c>
      <c r="AC92" s="312">
        <f t="shared" si="296"/>
        <v>0</v>
      </c>
      <c r="AD92" s="313">
        <f t="shared" si="170"/>
        <v>0</v>
      </c>
      <c r="AE92" s="311">
        <f t="shared" ref="AE92:AF92" si="297">(AE11*AE41)/12/21/7.5</f>
        <v>8.8888888888888893</v>
      </c>
      <c r="AF92" s="312">
        <f t="shared" si="297"/>
        <v>4.4487197887830687</v>
      </c>
      <c r="AG92" s="313">
        <f t="shared" si="171"/>
        <v>-4.4401691001058206</v>
      </c>
      <c r="AH92" s="311">
        <f t="shared" ref="AH92:AI92" si="298">(AH11*AH41)/12/21/7.5</f>
        <v>8.4656084656084651</v>
      </c>
      <c r="AI92" s="312">
        <f t="shared" si="298"/>
        <v>4.7267647755820104</v>
      </c>
      <c r="AJ92" s="313">
        <f t="shared" si="172"/>
        <v>-3.7388436900264548</v>
      </c>
      <c r="AK92" s="311">
        <f t="shared" ref="AK92:AL92" si="299">(AK11*AK41)/12/21/7.5</f>
        <v>0</v>
      </c>
      <c r="AL92" s="312">
        <f t="shared" si="299"/>
        <v>0</v>
      </c>
      <c r="AM92" s="313">
        <f t="shared" si="173"/>
        <v>0</v>
      </c>
      <c r="AN92" s="311">
        <f t="shared" ref="AN92:AO92" si="300">(AN11*AN41)/12/21/7.5</f>
        <v>29.761904761904763</v>
      </c>
      <c r="AO92" s="312">
        <f t="shared" si="300"/>
        <v>11.683394742857143</v>
      </c>
      <c r="AP92" s="313">
        <f t="shared" si="174"/>
        <v>-18.07851001904762</v>
      </c>
      <c r="AQ92" s="311">
        <f t="shared" ref="AQ92:AR92" si="301">(AQ11*AQ41)/12/21/7.5</f>
        <v>0</v>
      </c>
      <c r="AR92" s="312">
        <f t="shared" si="301"/>
        <v>0</v>
      </c>
      <c r="AS92" s="313">
        <f t="shared" si="175"/>
        <v>0</v>
      </c>
      <c r="AT92" s="311">
        <f t="shared" ref="AT92:AU92" si="302">(AT11*AT41)/12/21/7.5</f>
        <v>0</v>
      </c>
      <c r="AU92" s="312">
        <f t="shared" si="302"/>
        <v>0</v>
      </c>
      <c r="AV92" s="313">
        <f t="shared" si="176"/>
        <v>0</v>
      </c>
      <c r="AW92" s="311">
        <f t="shared" ref="AW92:AX92" si="303">(AW11*AW41)/12/21/7.5</f>
        <v>0</v>
      </c>
      <c r="AX92" s="312">
        <f t="shared" si="303"/>
        <v>0</v>
      </c>
      <c r="AY92" s="313">
        <f t="shared" si="177"/>
        <v>0</v>
      </c>
      <c r="AZ92" s="311">
        <f t="shared" ref="AZ92:BA92" si="304">(AZ11*AZ41)/12/21/7.5</f>
        <v>0</v>
      </c>
      <c r="BA92" s="312">
        <f t="shared" si="304"/>
        <v>0</v>
      </c>
      <c r="BB92" s="313">
        <f t="shared" si="178"/>
        <v>0</v>
      </c>
      <c r="BC92" s="311">
        <f t="shared" ref="BC92:BD92" si="305">(BC11*BC41)/12/21/7.5</f>
        <v>0</v>
      </c>
      <c r="BD92" s="312">
        <f t="shared" si="305"/>
        <v>0</v>
      </c>
      <c r="BE92" s="313">
        <f t="shared" si="179"/>
        <v>0</v>
      </c>
      <c r="BF92" s="311">
        <f t="shared" ref="BF92:BG92" si="306">(BF11*BF41)/12/21/7.5</f>
        <v>0</v>
      </c>
      <c r="BG92" s="312">
        <f t="shared" si="306"/>
        <v>0</v>
      </c>
      <c r="BH92" s="313">
        <f t="shared" si="180"/>
        <v>0</v>
      </c>
      <c r="BI92" s="311">
        <f t="shared" si="202"/>
        <v>0</v>
      </c>
      <c r="BJ92" s="312">
        <f t="shared" si="202"/>
        <v>0</v>
      </c>
      <c r="BK92" s="313">
        <f t="shared" si="181"/>
        <v>0</v>
      </c>
      <c r="BL92" s="311">
        <f t="shared" si="203"/>
        <v>0</v>
      </c>
      <c r="BM92" s="312">
        <f t="shared" si="203"/>
        <v>0</v>
      </c>
      <c r="BN92" s="313">
        <f t="shared" si="182"/>
        <v>0</v>
      </c>
      <c r="BO92" s="311">
        <f t="shared" si="204"/>
        <v>0</v>
      </c>
      <c r="BP92" s="312">
        <f t="shared" si="204"/>
        <v>0</v>
      </c>
      <c r="BQ92" s="313">
        <f t="shared" si="183"/>
        <v>0</v>
      </c>
    </row>
    <row r="93" spans="1:69">
      <c r="A93" s="835"/>
      <c r="B93" s="837"/>
      <c r="C93" s="290" t="s">
        <v>32</v>
      </c>
      <c r="D93" s="291">
        <f t="shared" si="160"/>
        <v>108.06878306878308</v>
      </c>
      <c r="E93" s="667">
        <f t="shared" si="161"/>
        <v>55.505442444340169</v>
      </c>
      <c r="F93" s="293">
        <f t="shared" si="162"/>
        <v>-52.563340624442901</v>
      </c>
      <c r="G93" s="311">
        <f t="shared" si="184"/>
        <v>0</v>
      </c>
      <c r="H93" s="312">
        <f t="shared" si="184"/>
        <v>0</v>
      </c>
      <c r="I93" s="313">
        <f t="shared" si="163"/>
        <v>0</v>
      </c>
      <c r="J93" s="311">
        <f t="shared" ref="J93:K93" si="307">(J12*J42)/12/21/7.5</f>
        <v>0</v>
      </c>
      <c r="K93" s="312">
        <f t="shared" si="307"/>
        <v>0</v>
      </c>
      <c r="L93" s="313">
        <f t="shared" si="164"/>
        <v>0</v>
      </c>
      <c r="M93" s="311">
        <f t="shared" ref="M93:N93" si="308">(M12*M42)/12/21/7.5</f>
        <v>0</v>
      </c>
      <c r="N93" s="312">
        <f t="shared" si="308"/>
        <v>0</v>
      </c>
      <c r="O93" s="313">
        <f t="shared" si="165"/>
        <v>0</v>
      </c>
      <c r="P93" s="311">
        <f t="shared" ref="P93:Q93" si="309">(P12*P42)/12/21/7.5</f>
        <v>0</v>
      </c>
      <c r="Q93" s="312">
        <f t="shared" si="309"/>
        <v>0</v>
      </c>
      <c r="R93" s="313">
        <f t="shared" si="166"/>
        <v>0</v>
      </c>
      <c r="S93" s="311">
        <f t="shared" ref="S93:T93" si="310">(S12*S42)/12/21/7.5</f>
        <v>0</v>
      </c>
      <c r="T93" s="312">
        <f t="shared" si="310"/>
        <v>0</v>
      </c>
      <c r="U93" s="313">
        <f t="shared" si="167"/>
        <v>0</v>
      </c>
      <c r="V93" s="311">
        <f t="shared" ref="V93:W93" si="311">(V12*V42)/12/21/7.5</f>
        <v>60.952380952380956</v>
      </c>
      <c r="W93" s="312">
        <f t="shared" si="311"/>
        <v>34.321140396617153</v>
      </c>
      <c r="X93" s="313">
        <f t="shared" si="168"/>
        <v>-26.631240555763803</v>
      </c>
      <c r="Y93" s="311">
        <f t="shared" ref="Y93:Z93" si="312">(Y12*Y42)/12/21/7.5</f>
        <v>0</v>
      </c>
      <c r="Z93" s="312">
        <f t="shared" si="312"/>
        <v>0</v>
      </c>
      <c r="AA93" s="313">
        <f t="shared" si="169"/>
        <v>0</v>
      </c>
      <c r="AB93" s="311">
        <f t="shared" ref="AB93:AC93" si="313">(AB12*AB42)/12/21/7.5</f>
        <v>0</v>
      </c>
      <c r="AC93" s="312">
        <f t="shared" si="313"/>
        <v>0</v>
      </c>
      <c r="AD93" s="313">
        <f t="shared" si="170"/>
        <v>0</v>
      </c>
      <c r="AE93" s="311">
        <f t="shared" ref="AE93:AF93" si="314">(AE12*AE42)/12/21/7.5</f>
        <v>8.8888888888888893</v>
      </c>
      <c r="AF93" s="312">
        <f t="shared" si="314"/>
        <v>4.4932069866708995</v>
      </c>
      <c r="AG93" s="313">
        <f t="shared" si="171"/>
        <v>-4.3956819022179898</v>
      </c>
      <c r="AH93" s="311">
        <f t="shared" ref="AH93:AI93" si="315">(AH12*AH42)/12/21/7.5</f>
        <v>8.4656084656084651</v>
      </c>
      <c r="AI93" s="312">
        <f t="shared" si="315"/>
        <v>4.7740324233378306</v>
      </c>
      <c r="AJ93" s="313">
        <f t="shared" si="172"/>
        <v>-3.6915760422706345</v>
      </c>
      <c r="AK93" s="311">
        <f t="shared" ref="AK93:AL93" si="316">(AK12*AK42)/12/21/7.5</f>
        <v>0</v>
      </c>
      <c r="AL93" s="312">
        <f t="shared" si="316"/>
        <v>0</v>
      </c>
      <c r="AM93" s="313">
        <f t="shared" si="173"/>
        <v>0</v>
      </c>
      <c r="AN93" s="311">
        <f t="shared" ref="AN93:AO93" si="317">(AN12*AN42)/12/21/7.5</f>
        <v>29.761904761904763</v>
      </c>
      <c r="AO93" s="312">
        <f t="shared" si="317"/>
        <v>11.917062637714288</v>
      </c>
      <c r="AP93" s="313">
        <f t="shared" si="174"/>
        <v>-17.844842124190475</v>
      </c>
      <c r="AQ93" s="311">
        <f t="shared" ref="AQ93:AR93" si="318">(AQ12*AQ42)/12/21/7.5</f>
        <v>0</v>
      </c>
      <c r="AR93" s="312">
        <f t="shared" si="318"/>
        <v>0</v>
      </c>
      <c r="AS93" s="313">
        <f t="shared" si="175"/>
        <v>0</v>
      </c>
      <c r="AT93" s="311">
        <f t="shared" ref="AT93:AU93" si="319">(AT12*AT42)/12/21/7.5</f>
        <v>0</v>
      </c>
      <c r="AU93" s="312">
        <f t="shared" si="319"/>
        <v>0</v>
      </c>
      <c r="AV93" s="313">
        <f t="shared" si="176"/>
        <v>0</v>
      </c>
      <c r="AW93" s="311">
        <f t="shared" ref="AW93:AX93" si="320">(AW12*AW42)/12/21/7.5</f>
        <v>0</v>
      </c>
      <c r="AX93" s="312">
        <f t="shared" si="320"/>
        <v>0</v>
      </c>
      <c r="AY93" s="313">
        <f t="shared" si="177"/>
        <v>0</v>
      </c>
      <c r="AZ93" s="311">
        <f t="shared" ref="AZ93:BA93" si="321">(AZ12*AZ42)/12/21/7.5</f>
        <v>0</v>
      </c>
      <c r="BA93" s="312">
        <f t="shared" si="321"/>
        <v>0</v>
      </c>
      <c r="BB93" s="313">
        <f t="shared" si="178"/>
        <v>0</v>
      </c>
      <c r="BC93" s="311">
        <f t="shared" ref="BC93:BD93" si="322">(BC12*BC42)/12/21/7.5</f>
        <v>0</v>
      </c>
      <c r="BD93" s="312">
        <f t="shared" si="322"/>
        <v>0</v>
      </c>
      <c r="BE93" s="313">
        <f t="shared" si="179"/>
        <v>0</v>
      </c>
      <c r="BF93" s="311">
        <f t="shared" ref="BF93:BG93" si="323">(BF12*BF42)/12/21/7.5</f>
        <v>0</v>
      </c>
      <c r="BG93" s="312">
        <f t="shared" si="323"/>
        <v>0</v>
      </c>
      <c r="BH93" s="313">
        <f t="shared" si="180"/>
        <v>0</v>
      </c>
      <c r="BI93" s="311">
        <f t="shared" si="202"/>
        <v>0</v>
      </c>
      <c r="BJ93" s="312">
        <f t="shared" si="202"/>
        <v>0</v>
      </c>
      <c r="BK93" s="313">
        <f t="shared" si="181"/>
        <v>0</v>
      </c>
      <c r="BL93" s="311">
        <f t="shared" si="203"/>
        <v>0</v>
      </c>
      <c r="BM93" s="312">
        <f t="shared" si="203"/>
        <v>0</v>
      </c>
      <c r="BN93" s="313">
        <f t="shared" si="182"/>
        <v>0</v>
      </c>
      <c r="BO93" s="311">
        <f t="shared" si="204"/>
        <v>0</v>
      </c>
      <c r="BP93" s="312">
        <f t="shared" si="204"/>
        <v>0</v>
      </c>
      <c r="BQ93" s="313">
        <f t="shared" si="183"/>
        <v>0</v>
      </c>
    </row>
    <row r="94" spans="1:69">
      <c r="A94" s="835"/>
      <c r="B94" s="837"/>
      <c r="C94" s="290" t="s">
        <v>33</v>
      </c>
      <c r="D94" s="291">
        <f t="shared" si="160"/>
        <v>108.06878306878308</v>
      </c>
      <c r="E94" s="667">
        <f t="shared" si="161"/>
        <v>56.522878899126887</v>
      </c>
      <c r="F94" s="293">
        <f t="shared" si="162"/>
        <v>-51.545904169656183</v>
      </c>
      <c r="G94" s="311">
        <f t="shared" si="184"/>
        <v>0</v>
      </c>
      <c r="H94" s="312">
        <f t="shared" si="184"/>
        <v>0</v>
      </c>
      <c r="I94" s="313">
        <f t="shared" si="163"/>
        <v>0</v>
      </c>
      <c r="J94" s="311">
        <f t="shared" ref="J94:K94" si="324">(J13*J43)/12/21/7.5</f>
        <v>0</v>
      </c>
      <c r="K94" s="312">
        <f t="shared" si="324"/>
        <v>0</v>
      </c>
      <c r="L94" s="313">
        <f t="shared" si="164"/>
        <v>0</v>
      </c>
      <c r="M94" s="311">
        <f t="shared" ref="M94:N94" si="325">(M13*M43)/12/21/7.5</f>
        <v>0</v>
      </c>
      <c r="N94" s="312">
        <f t="shared" si="325"/>
        <v>0</v>
      </c>
      <c r="O94" s="313">
        <f t="shared" si="165"/>
        <v>0</v>
      </c>
      <c r="P94" s="311">
        <f t="shared" ref="P94:Q94" si="326">(P13*P43)/12/21/7.5</f>
        <v>0</v>
      </c>
      <c r="Q94" s="312">
        <f t="shared" si="326"/>
        <v>0</v>
      </c>
      <c r="R94" s="313">
        <f t="shared" si="166"/>
        <v>0</v>
      </c>
      <c r="S94" s="311">
        <f t="shared" ref="S94:T94" si="327">(S13*S43)/12/21/7.5</f>
        <v>0</v>
      </c>
      <c r="T94" s="312">
        <f t="shared" si="327"/>
        <v>0</v>
      </c>
      <c r="U94" s="313">
        <f t="shared" si="167"/>
        <v>0</v>
      </c>
      <c r="V94" s="311">
        <f t="shared" ref="V94:W94" si="328">(V13*V43)/12/21/7.5</f>
        <v>60.952380952380956</v>
      </c>
      <c r="W94" s="312">
        <f t="shared" si="328"/>
        <v>35.007563204549498</v>
      </c>
      <c r="X94" s="313">
        <f t="shared" si="168"/>
        <v>-25.944817747831458</v>
      </c>
      <c r="Y94" s="311">
        <f t="shared" ref="Y94:Z94" si="329">(Y13*Y43)/12/21/7.5</f>
        <v>0</v>
      </c>
      <c r="Z94" s="312">
        <f t="shared" si="329"/>
        <v>0</v>
      </c>
      <c r="AA94" s="313">
        <f t="shared" si="169"/>
        <v>0</v>
      </c>
      <c r="AB94" s="311">
        <f t="shared" ref="AB94:AC94" si="330">(AB13*AB43)/12/21/7.5</f>
        <v>0</v>
      </c>
      <c r="AC94" s="312">
        <f t="shared" si="330"/>
        <v>0</v>
      </c>
      <c r="AD94" s="313">
        <f t="shared" si="170"/>
        <v>0</v>
      </c>
      <c r="AE94" s="311">
        <f t="shared" ref="AE94:AF94" si="331">(AE13*AE43)/12/21/7.5</f>
        <v>8.8888888888888893</v>
      </c>
      <c r="AF94" s="312">
        <f t="shared" si="331"/>
        <v>4.5381390565376103</v>
      </c>
      <c r="AG94" s="313">
        <f t="shared" si="171"/>
        <v>-4.350749832351279</v>
      </c>
      <c r="AH94" s="311">
        <f t="shared" ref="AH94:AI94" si="332">(AH13*AH43)/12/21/7.5</f>
        <v>8.4656084656084651</v>
      </c>
      <c r="AI94" s="312">
        <f t="shared" si="332"/>
        <v>4.8217727475712078</v>
      </c>
      <c r="AJ94" s="313">
        <f t="shared" si="172"/>
        <v>-3.6438357180372574</v>
      </c>
      <c r="AK94" s="311">
        <f t="shared" ref="AK94:AL94" si="333">(AK13*AK43)/12/21/7.5</f>
        <v>0</v>
      </c>
      <c r="AL94" s="312">
        <f t="shared" si="333"/>
        <v>0</v>
      </c>
      <c r="AM94" s="313">
        <f t="shared" si="173"/>
        <v>0</v>
      </c>
      <c r="AN94" s="311">
        <f t="shared" ref="AN94:AO94" si="334">(AN13*AN43)/12/21/7.5</f>
        <v>29.761904761904763</v>
      </c>
      <c r="AO94" s="312">
        <f t="shared" si="334"/>
        <v>12.155403890468572</v>
      </c>
      <c r="AP94" s="313">
        <f t="shared" si="174"/>
        <v>-17.606500871436189</v>
      </c>
      <c r="AQ94" s="311">
        <f t="shared" ref="AQ94:AR94" si="335">(AQ13*AQ43)/12/21/7.5</f>
        <v>0</v>
      </c>
      <c r="AR94" s="312">
        <f t="shared" si="335"/>
        <v>0</v>
      </c>
      <c r="AS94" s="313">
        <f t="shared" si="175"/>
        <v>0</v>
      </c>
      <c r="AT94" s="311">
        <f t="shared" ref="AT94:AU94" si="336">(AT13*AT43)/12/21/7.5</f>
        <v>0</v>
      </c>
      <c r="AU94" s="312">
        <f t="shared" si="336"/>
        <v>0</v>
      </c>
      <c r="AV94" s="313">
        <f t="shared" si="176"/>
        <v>0</v>
      </c>
      <c r="AW94" s="311">
        <f t="shared" ref="AW94:AX94" si="337">(AW13*AW43)/12/21/7.5</f>
        <v>0</v>
      </c>
      <c r="AX94" s="312">
        <f t="shared" si="337"/>
        <v>0</v>
      </c>
      <c r="AY94" s="313">
        <f t="shared" si="177"/>
        <v>0</v>
      </c>
      <c r="AZ94" s="311">
        <f t="shared" ref="AZ94:BA94" si="338">(AZ13*AZ43)/12/21/7.5</f>
        <v>0</v>
      </c>
      <c r="BA94" s="312">
        <f t="shared" si="338"/>
        <v>0</v>
      </c>
      <c r="BB94" s="313">
        <f t="shared" si="178"/>
        <v>0</v>
      </c>
      <c r="BC94" s="311">
        <f t="shared" ref="BC94:BD94" si="339">(BC13*BC43)/12/21/7.5</f>
        <v>0</v>
      </c>
      <c r="BD94" s="312">
        <f t="shared" si="339"/>
        <v>0</v>
      </c>
      <c r="BE94" s="313">
        <f t="shared" si="179"/>
        <v>0</v>
      </c>
      <c r="BF94" s="311">
        <f t="shared" ref="BF94:BG94" si="340">(BF13*BF43)/12/21/7.5</f>
        <v>0</v>
      </c>
      <c r="BG94" s="312">
        <f t="shared" si="340"/>
        <v>0</v>
      </c>
      <c r="BH94" s="313">
        <f t="shared" si="180"/>
        <v>0</v>
      </c>
      <c r="BI94" s="311">
        <f t="shared" si="202"/>
        <v>0</v>
      </c>
      <c r="BJ94" s="312">
        <f t="shared" si="202"/>
        <v>0</v>
      </c>
      <c r="BK94" s="313">
        <f t="shared" si="181"/>
        <v>0</v>
      </c>
      <c r="BL94" s="311">
        <f t="shared" si="203"/>
        <v>0</v>
      </c>
      <c r="BM94" s="312">
        <f t="shared" si="203"/>
        <v>0</v>
      </c>
      <c r="BN94" s="313">
        <f t="shared" si="182"/>
        <v>0</v>
      </c>
      <c r="BO94" s="311">
        <f t="shared" si="204"/>
        <v>0</v>
      </c>
      <c r="BP94" s="312">
        <f t="shared" si="204"/>
        <v>0</v>
      </c>
      <c r="BQ94" s="313">
        <f t="shared" si="183"/>
        <v>0</v>
      </c>
    </row>
    <row r="95" spans="1:69" ht="15.75" thickBot="1">
      <c r="A95" s="836"/>
      <c r="B95" s="838"/>
      <c r="C95" s="300" t="s">
        <v>34</v>
      </c>
      <c r="D95" s="301">
        <f t="shared" si="160"/>
        <v>108.06878306878308</v>
      </c>
      <c r="E95" s="668">
        <f t="shared" si="161"/>
        <v>57.559737359068336</v>
      </c>
      <c r="F95" s="303">
        <f t="shared" si="162"/>
        <v>-50.509045709714741</v>
      </c>
      <c r="G95" s="314">
        <f t="shared" si="184"/>
        <v>0</v>
      </c>
      <c r="H95" s="315">
        <f t="shared" si="184"/>
        <v>0</v>
      </c>
      <c r="I95" s="316">
        <f t="shared" si="163"/>
        <v>0</v>
      </c>
      <c r="J95" s="314">
        <f t="shared" ref="J95:K95" si="341">(J14*J44)/12/21/7.5</f>
        <v>0</v>
      </c>
      <c r="K95" s="315">
        <f t="shared" si="341"/>
        <v>0</v>
      </c>
      <c r="L95" s="316">
        <f t="shared" si="164"/>
        <v>0</v>
      </c>
      <c r="M95" s="314">
        <f t="shared" ref="M95:N95" si="342">(M14*M44)/12/21/7.5</f>
        <v>0</v>
      </c>
      <c r="N95" s="315">
        <f t="shared" si="342"/>
        <v>0</v>
      </c>
      <c r="O95" s="316">
        <f t="shared" si="165"/>
        <v>0</v>
      </c>
      <c r="P95" s="314">
        <f t="shared" ref="P95:Q95" si="343">(P14*P44)/12/21/7.5</f>
        <v>0</v>
      </c>
      <c r="Q95" s="315">
        <f t="shared" si="343"/>
        <v>0</v>
      </c>
      <c r="R95" s="316">
        <f t="shared" si="166"/>
        <v>0</v>
      </c>
      <c r="S95" s="314">
        <f t="shared" ref="S95:T95" si="344">(S14*S44)/12/21/7.5</f>
        <v>0</v>
      </c>
      <c r="T95" s="315">
        <f t="shared" si="344"/>
        <v>0</v>
      </c>
      <c r="U95" s="316">
        <f t="shared" si="167"/>
        <v>0</v>
      </c>
      <c r="V95" s="314">
        <f t="shared" ref="V95:W95" si="345">(V14*V44)/12/21/7.5</f>
        <v>60.952380952380956</v>
      </c>
      <c r="W95" s="315">
        <f t="shared" si="345"/>
        <v>35.707714468640489</v>
      </c>
      <c r="X95" s="316">
        <f t="shared" si="168"/>
        <v>-25.244666483740467</v>
      </c>
      <c r="Y95" s="314">
        <f t="shared" ref="Y95:Z95" si="346">(Y14*Y44)/12/21/7.5</f>
        <v>0</v>
      </c>
      <c r="Z95" s="315">
        <f t="shared" si="346"/>
        <v>0</v>
      </c>
      <c r="AA95" s="316">
        <f t="shared" si="169"/>
        <v>0</v>
      </c>
      <c r="AB95" s="314">
        <f t="shared" ref="AB95:AC95" si="347">(AB14*AB44)/12/21/7.5</f>
        <v>0</v>
      </c>
      <c r="AC95" s="315">
        <f t="shared" si="347"/>
        <v>0</v>
      </c>
      <c r="AD95" s="316">
        <f t="shared" si="170"/>
        <v>0</v>
      </c>
      <c r="AE95" s="314">
        <f t="shared" ref="AE95:AF95" si="348">(AE14*AE44)/12/21/7.5</f>
        <v>8.8888888888888893</v>
      </c>
      <c r="AF95" s="315">
        <f t="shared" si="348"/>
        <v>4.583520447102984</v>
      </c>
      <c r="AG95" s="316">
        <f t="shared" si="171"/>
        <v>-4.3053684417859053</v>
      </c>
      <c r="AH95" s="314">
        <f t="shared" ref="AH95:AI95" si="349">(AH14*AH44)/12/21/7.5</f>
        <v>8.4656084656084651</v>
      </c>
      <c r="AI95" s="315">
        <f t="shared" si="349"/>
        <v>4.8699904750469214</v>
      </c>
      <c r="AJ95" s="316">
        <f t="shared" si="172"/>
        <v>-3.5956179905615437</v>
      </c>
      <c r="AK95" s="314">
        <f t="shared" ref="AK95:AL95" si="350">(AK14*AK44)/12/21/7.5</f>
        <v>0</v>
      </c>
      <c r="AL95" s="315">
        <f t="shared" si="350"/>
        <v>0</v>
      </c>
      <c r="AM95" s="316">
        <f t="shared" si="173"/>
        <v>0</v>
      </c>
      <c r="AN95" s="314">
        <f t="shared" ref="AN95:AO95" si="351">(AN14*AN44)/12/21/7.5</f>
        <v>29.761904761904763</v>
      </c>
      <c r="AO95" s="315">
        <f t="shared" si="351"/>
        <v>12.398511968277944</v>
      </c>
      <c r="AP95" s="316">
        <f t="shared" si="174"/>
        <v>-17.363392793626819</v>
      </c>
      <c r="AQ95" s="314">
        <f t="shared" ref="AQ95:AR95" si="352">(AQ14*AQ44)/12/21/7.5</f>
        <v>0</v>
      </c>
      <c r="AR95" s="315">
        <f t="shared" si="352"/>
        <v>0</v>
      </c>
      <c r="AS95" s="316">
        <f t="shared" si="175"/>
        <v>0</v>
      </c>
      <c r="AT95" s="314">
        <f t="shared" ref="AT95:AU95" si="353">(AT14*AT44)/12/21/7.5</f>
        <v>0</v>
      </c>
      <c r="AU95" s="315">
        <f t="shared" si="353"/>
        <v>0</v>
      </c>
      <c r="AV95" s="316">
        <f t="shared" si="176"/>
        <v>0</v>
      </c>
      <c r="AW95" s="314">
        <f t="shared" ref="AW95:AX95" si="354">(AW14*AW44)/12/21/7.5</f>
        <v>0</v>
      </c>
      <c r="AX95" s="315">
        <f t="shared" si="354"/>
        <v>0</v>
      </c>
      <c r="AY95" s="316">
        <f t="shared" si="177"/>
        <v>0</v>
      </c>
      <c r="AZ95" s="314">
        <f t="shared" ref="AZ95:BA95" si="355">(AZ14*AZ44)/12/21/7.5</f>
        <v>0</v>
      </c>
      <c r="BA95" s="315">
        <f t="shared" si="355"/>
        <v>0</v>
      </c>
      <c r="BB95" s="316">
        <f t="shared" si="178"/>
        <v>0</v>
      </c>
      <c r="BC95" s="314">
        <f t="shared" ref="BC95:BD95" si="356">(BC14*BC44)/12/21/7.5</f>
        <v>0</v>
      </c>
      <c r="BD95" s="315">
        <f t="shared" si="356"/>
        <v>0</v>
      </c>
      <c r="BE95" s="316">
        <f t="shared" si="179"/>
        <v>0</v>
      </c>
      <c r="BF95" s="314">
        <f t="shared" ref="BF95:BG95" si="357">(BF14*BF44)/12/21/7.5</f>
        <v>0</v>
      </c>
      <c r="BG95" s="315">
        <f t="shared" si="357"/>
        <v>0</v>
      </c>
      <c r="BH95" s="316">
        <f t="shared" si="180"/>
        <v>0</v>
      </c>
      <c r="BI95" s="314">
        <f t="shared" si="202"/>
        <v>0</v>
      </c>
      <c r="BJ95" s="315">
        <f t="shared" si="202"/>
        <v>0</v>
      </c>
      <c r="BK95" s="316">
        <f t="shared" si="181"/>
        <v>0</v>
      </c>
      <c r="BL95" s="314">
        <f t="shared" si="203"/>
        <v>0</v>
      </c>
      <c r="BM95" s="315">
        <f t="shared" si="203"/>
        <v>0</v>
      </c>
      <c r="BN95" s="316">
        <f t="shared" si="182"/>
        <v>0</v>
      </c>
      <c r="BO95" s="314">
        <f t="shared" si="204"/>
        <v>0</v>
      </c>
      <c r="BP95" s="315">
        <f t="shared" si="204"/>
        <v>0</v>
      </c>
      <c r="BQ95" s="316">
        <f t="shared" si="183"/>
        <v>0</v>
      </c>
    </row>
    <row r="96" spans="1:69">
      <c r="A96" s="835" t="s">
        <v>146</v>
      </c>
      <c r="B96" s="837" t="s">
        <v>13</v>
      </c>
      <c r="C96" s="290" t="s">
        <v>25</v>
      </c>
      <c r="D96" s="291">
        <f t="shared" ref="D96:D111" si="358">SUM(G96,J96,M96,P96,S96,V96,Y96,AB96,AE96,AH96,AK96,AN96,AQ96,AT96,AW96,AZ96,AZ96,BC96,BF96,BI96,BL96,BO96)</f>
        <v>0</v>
      </c>
      <c r="E96" s="292">
        <f t="shared" si="161"/>
        <v>0</v>
      </c>
      <c r="F96" s="293">
        <f t="shared" si="162"/>
        <v>0</v>
      </c>
      <c r="G96" s="306">
        <v>0</v>
      </c>
      <c r="H96" s="307">
        <f>(G66+I66/2)*((G45-H45)*(1+$BR$45))*Faktory!$D$10</f>
        <v>0</v>
      </c>
      <c r="I96" s="257">
        <f>H96</f>
        <v>0</v>
      </c>
      <c r="J96" s="306">
        <v>0</v>
      </c>
      <c r="K96" s="307">
        <f>(J66+L66/2)*((J45-K45)*(1+$BR$45))*Faktory!$D$10</f>
        <v>0</v>
      </c>
      <c r="L96" s="257">
        <f>K96</f>
        <v>0</v>
      </c>
      <c r="M96" s="306">
        <v>0</v>
      </c>
      <c r="N96" s="307">
        <f>(M66+O66/2)*((M45-N45)*(1+$BR$45))*Faktory!$D$10</f>
        <v>0</v>
      </c>
      <c r="O96" s="257">
        <f>N96</f>
        <v>0</v>
      </c>
      <c r="P96" s="306">
        <v>0</v>
      </c>
      <c r="Q96" s="307">
        <f>(P66+R66/2)*((P45-Q45)*(1+$BR$45))*Faktory!$D$10</f>
        <v>0</v>
      </c>
      <c r="R96" s="257">
        <f>Q96</f>
        <v>0</v>
      </c>
      <c r="S96" s="306">
        <v>0</v>
      </c>
      <c r="T96" s="307">
        <f>(S66+U66/2)*((S45-T45)*(1+$BR$45))*Faktory!$D$10</f>
        <v>0</v>
      </c>
      <c r="U96" s="257">
        <f>T96</f>
        <v>0</v>
      </c>
      <c r="V96" s="306">
        <v>0</v>
      </c>
      <c r="W96" s="307">
        <f>(V66+X66/2)*((V45-W45)*(1+$BR$45))*Faktory!$D$10</f>
        <v>0</v>
      </c>
      <c r="X96" s="257">
        <f>W96</f>
        <v>0</v>
      </c>
      <c r="Y96" s="306">
        <v>0</v>
      </c>
      <c r="Z96" s="307">
        <f>(Y66+AA66/2)*((Y45-Z45)*(1+$BR$45))*Faktory!$D$10</f>
        <v>0</v>
      </c>
      <c r="AA96" s="257">
        <f>Z96</f>
        <v>0</v>
      </c>
      <c r="AB96" s="306">
        <v>0</v>
      </c>
      <c r="AC96" s="307">
        <f>(AB66+AD66/2)*((AB45-AC45)*(1+$BR$45))*Faktory!$D$10</f>
        <v>0</v>
      </c>
      <c r="AD96" s="257">
        <f>AC96</f>
        <v>0</v>
      </c>
      <c r="AE96" s="306">
        <v>0</v>
      </c>
      <c r="AF96" s="307">
        <f>(AE66+AG66/2)*((AE45-AF45)*(1+$BR$45))*Faktory!$D$10</f>
        <v>0</v>
      </c>
      <c r="AG96" s="257">
        <f>AF96</f>
        <v>0</v>
      </c>
      <c r="AH96" s="306">
        <v>0</v>
      </c>
      <c r="AI96" s="307">
        <f>(AH66+AJ66/2)*((AH45-AI45)*(1+$BR$45))*Faktory!$D$10</f>
        <v>0</v>
      </c>
      <c r="AJ96" s="257">
        <f>AI96</f>
        <v>0</v>
      </c>
      <c r="AK96" s="306">
        <v>0</v>
      </c>
      <c r="AL96" s="307">
        <f>(AK66+AM66/2)*((AK45-AL45)*(1+$BR$45))*Faktory!$D$10</f>
        <v>0</v>
      </c>
      <c r="AM96" s="257">
        <f>AL96</f>
        <v>0</v>
      </c>
      <c r="AN96" s="306">
        <v>0</v>
      </c>
      <c r="AO96" s="307">
        <f>(AN66+AP66/2)*((AN45-AO45)*(1+$BR$45))*Faktory!$D$10</f>
        <v>0</v>
      </c>
      <c r="AP96" s="257">
        <f>AO96</f>
        <v>0</v>
      </c>
      <c r="AQ96" s="306">
        <v>0</v>
      </c>
      <c r="AR96" s="307">
        <f>(AQ66+AS66/2)*((AQ45-AR45)*(1+$BR$45))*Faktory!$D$10</f>
        <v>0</v>
      </c>
      <c r="AS96" s="257">
        <f>AR96</f>
        <v>0</v>
      </c>
      <c r="AT96" s="306">
        <v>0</v>
      </c>
      <c r="AU96" s="307">
        <f>(AT66+AV66/2)*((AT45-AU45)*(1+$BR$45))*Faktory!$D$10</f>
        <v>0</v>
      </c>
      <c r="AV96" s="257">
        <f>AU96</f>
        <v>0</v>
      </c>
      <c r="AW96" s="306">
        <v>0</v>
      </c>
      <c r="AX96" s="307">
        <f>(AW66+AY66/2)*((AW45-AX45)*(1+$BR$45))*Faktory!$D$10</f>
        <v>0</v>
      </c>
      <c r="AY96" s="257">
        <f>AX96</f>
        <v>0</v>
      </c>
      <c r="AZ96" s="306">
        <v>0</v>
      </c>
      <c r="BA96" s="307">
        <f>(AZ66+BB66/2)*((AZ45-BA45)*(1+$BR$45))*Faktory!$D$10</f>
        <v>0</v>
      </c>
      <c r="BB96" s="257">
        <f>BA96</f>
        <v>0</v>
      </c>
      <c r="BC96" s="306">
        <v>0</v>
      </c>
      <c r="BD96" s="307">
        <f>(BC66+BE66/2)*((BC45-BD45)*(1+$BR$45))*Faktory!$D$10</f>
        <v>0</v>
      </c>
      <c r="BE96" s="257">
        <f>BD96</f>
        <v>0</v>
      </c>
      <c r="BF96" s="306">
        <v>0</v>
      </c>
      <c r="BG96" s="307">
        <f>(BF66+BH66/2)*((BF45-BG45)*(1+$BR$45))*Faktory!$D$10</f>
        <v>0</v>
      </c>
      <c r="BH96" s="257">
        <f>BG96</f>
        <v>0</v>
      </c>
      <c r="BI96" s="306">
        <v>0</v>
      </c>
      <c r="BJ96" s="307">
        <f>(BI66+BK66/2)*((BI45-BJ45)*(1+$BR$45))*Faktory!$D$10</f>
        <v>0</v>
      </c>
      <c r="BK96" s="257">
        <f>BJ96</f>
        <v>0</v>
      </c>
      <c r="BL96" s="306">
        <v>0</v>
      </c>
      <c r="BM96" s="307">
        <f>(BL66+BN66/2)*((BL45-BM45)*(1+$BR$45))*Faktory!$D$10</f>
        <v>0</v>
      </c>
      <c r="BN96" s="257">
        <f>BM96</f>
        <v>0</v>
      </c>
      <c r="BO96" s="306">
        <v>0</v>
      </c>
      <c r="BP96" s="307">
        <f>(BO66+BQ66/2)*((BO45-BP45)*(1+$BR$45))*Faktory!$D$10</f>
        <v>0</v>
      </c>
      <c r="BQ96" s="257">
        <f>BP96</f>
        <v>0</v>
      </c>
    </row>
    <row r="97" spans="1:69">
      <c r="A97" s="835"/>
      <c r="B97" s="837"/>
      <c r="C97" s="290" t="s">
        <v>26</v>
      </c>
      <c r="D97" s="291">
        <f t="shared" si="358"/>
        <v>0</v>
      </c>
      <c r="E97" s="292">
        <f t="shared" si="161"/>
        <v>0</v>
      </c>
      <c r="F97" s="293">
        <f t="shared" si="162"/>
        <v>0</v>
      </c>
      <c r="G97" s="298">
        <v>0</v>
      </c>
      <c r="H97" s="299">
        <f>(G67+I67/2)*((G46-H46)*(1+$BR$45))*Faktory!$D$10</f>
        <v>0</v>
      </c>
      <c r="I97" s="262">
        <f t="shared" ref="I97:I105" si="359">H97</f>
        <v>0</v>
      </c>
      <c r="J97" s="298">
        <v>0</v>
      </c>
      <c r="K97" s="299">
        <f>(J67+L67/2)*((J46-K46)*(1+$BR$45))*Faktory!$D$10</f>
        <v>0</v>
      </c>
      <c r="L97" s="262">
        <f t="shared" ref="L97:L105" si="360">K97</f>
        <v>0</v>
      </c>
      <c r="M97" s="298">
        <v>0</v>
      </c>
      <c r="N97" s="299">
        <f>(M67+O67/2)*((M46-N46)*(1+$BR$45))*Faktory!$D$10</f>
        <v>0</v>
      </c>
      <c r="O97" s="262">
        <f t="shared" ref="O97:O105" si="361">N97</f>
        <v>0</v>
      </c>
      <c r="P97" s="298">
        <v>0</v>
      </c>
      <c r="Q97" s="299">
        <f>(P67+R67/2)*((P46-Q46)*(1+$BR$45))*Faktory!$D$10</f>
        <v>0</v>
      </c>
      <c r="R97" s="262">
        <f t="shared" ref="R97:R105" si="362">Q97</f>
        <v>0</v>
      </c>
      <c r="S97" s="298">
        <v>0</v>
      </c>
      <c r="T97" s="299">
        <f>(S67+U67/2)*((S46-T46)*(1+$BR$45))*Faktory!$D$10</f>
        <v>0</v>
      </c>
      <c r="U97" s="262">
        <f t="shared" ref="U97:U105" si="363">T97</f>
        <v>0</v>
      </c>
      <c r="V97" s="298">
        <v>0</v>
      </c>
      <c r="W97" s="299">
        <f>(V67+X67/2)*((V46-W46)*(1+$BR$45))*Faktory!$D$10</f>
        <v>0</v>
      </c>
      <c r="X97" s="262">
        <f t="shared" ref="X97:X105" si="364">W97</f>
        <v>0</v>
      </c>
      <c r="Y97" s="298">
        <v>0</v>
      </c>
      <c r="Z97" s="299">
        <f>(Y67+AA67/2)*((Y46-Z46)*(1+$BR$45))*Faktory!$D$10</f>
        <v>0</v>
      </c>
      <c r="AA97" s="262">
        <f t="shared" ref="AA97:AA105" si="365">Z97</f>
        <v>0</v>
      </c>
      <c r="AB97" s="298">
        <v>0</v>
      </c>
      <c r="AC97" s="299">
        <f>(AB67+AD67/2)*((AB46-AC46)*(1+$BR$45))*Faktory!$D$10</f>
        <v>0</v>
      </c>
      <c r="AD97" s="262">
        <f t="shared" ref="AD97:AD105" si="366">AC97</f>
        <v>0</v>
      </c>
      <c r="AE97" s="298">
        <v>0</v>
      </c>
      <c r="AF97" s="299">
        <f>(AE67+AG67/2)*((AE46-AF46)*(1+$BR$45))*Faktory!$D$10</f>
        <v>0</v>
      </c>
      <c r="AG97" s="262">
        <f t="shared" ref="AG97:AG105" si="367">AF97</f>
        <v>0</v>
      </c>
      <c r="AH97" s="298">
        <v>0</v>
      </c>
      <c r="AI97" s="299">
        <f>(AH67+AJ67/2)*((AH46-AI46)*(1+$BR$45))*Faktory!$D$10</f>
        <v>0</v>
      </c>
      <c r="AJ97" s="262">
        <f t="shared" ref="AJ97:AJ105" si="368">AI97</f>
        <v>0</v>
      </c>
      <c r="AK97" s="298">
        <v>0</v>
      </c>
      <c r="AL97" s="299">
        <f>(AK67+AM67/2)*((AK46-AL46)*(1+$BR$45))*Faktory!$D$10</f>
        <v>0</v>
      </c>
      <c r="AM97" s="262">
        <f t="shared" ref="AM97:AM105" si="369">AL97</f>
        <v>0</v>
      </c>
      <c r="AN97" s="298">
        <v>0</v>
      </c>
      <c r="AO97" s="299">
        <f>(AN67+AP67/2)*((AN46-AO46)*(1+$BR$45))*Faktory!$D$10</f>
        <v>0</v>
      </c>
      <c r="AP97" s="262">
        <f t="shared" ref="AP97:AP105" si="370">AO97</f>
        <v>0</v>
      </c>
      <c r="AQ97" s="298">
        <v>0</v>
      </c>
      <c r="AR97" s="299">
        <f>(AQ67+AS67/2)*((AQ46-AR46)*(1+$BR$45))*Faktory!$D$10</f>
        <v>0</v>
      </c>
      <c r="AS97" s="262">
        <f t="shared" ref="AS97:AS105" si="371">AR97</f>
        <v>0</v>
      </c>
      <c r="AT97" s="298">
        <v>0</v>
      </c>
      <c r="AU97" s="299">
        <f>(AT67+AV67/2)*((AT46-AU46)*(1+$BR$45))*Faktory!$D$10</f>
        <v>0</v>
      </c>
      <c r="AV97" s="262">
        <f t="shared" ref="AV97:AV105" si="372">AU97</f>
        <v>0</v>
      </c>
      <c r="AW97" s="298">
        <v>0</v>
      </c>
      <c r="AX97" s="299">
        <f>(AW67+AY67/2)*((AW46-AX46)*(1+$BR$45))*Faktory!$D$10</f>
        <v>0</v>
      </c>
      <c r="AY97" s="262">
        <f t="shared" ref="AY97:AY105" si="373">AX97</f>
        <v>0</v>
      </c>
      <c r="AZ97" s="298">
        <v>0</v>
      </c>
      <c r="BA97" s="299">
        <f>(AZ67+BB67/2)*((AZ46-BA46)*(1+$BR$45))*Faktory!$D$10</f>
        <v>0</v>
      </c>
      <c r="BB97" s="262">
        <f t="shared" ref="BB97:BB105" si="374">BA97</f>
        <v>0</v>
      </c>
      <c r="BC97" s="298">
        <v>0</v>
      </c>
      <c r="BD97" s="299">
        <f>(BC67+BE67/2)*((BC46-BD46)*(1+$BR$45))*Faktory!$D$10</f>
        <v>0</v>
      </c>
      <c r="BE97" s="262">
        <f t="shared" ref="BE97:BE105" si="375">BD97</f>
        <v>0</v>
      </c>
      <c r="BF97" s="298">
        <v>0</v>
      </c>
      <c r="BG97" s="299">
        <f>(BF67+BH67/2)*((BF46-BG46)*(1+$BR$45))*Faktory!$D$10</f>
        <v>0</v>
      </c>
      <c r="BH97" s="262">
        <f t="shared" ref="BH97:BH105" si="376">BG97</f>
        <v>0</v>
      </c>
      <c r="BI97" s="298">
        <v>0</v>
      </c>
      <c r="BJ97" s="299">
        <f>(BI67+BK67/2)*((BI46-BJ46)*(1+$BR$45))*Faktory!$D$10</f>
        <v>0</v>
      </c>
      <c r="BK97" s="262">
        <f t="shared" ref="BK97:BK105" si="377">BJ97</f>
        <v>0</v>
      </c>
      <c r="BL97" s="298">
        <v>0</v>
      </c>
      <c r="BM97" s="299">
        <f>(BL67+BN67/2)*((BL46-BM46)*(1+$BR$45))*Faktory!$D$10</f>
        <v>0</v>
      </c>
      <c r="BN97" s="262">
        <f t="shared" ref="BN97:BN105" si="378">BM97</f>
        <v>0</v>
      </c>
      <c r="BO97" s="298">
        <v>0</v>
      </c>
      <c r="BP97" s="299">
        <f>(BO67+BQ67/2)*((BO46-BP46)*(1+$BR$45))*Faktory!$D$10</f>
        <v>0</v>
      </c>
      <c r="BQ97" s="262">
        <f t="shared" ref="BQ97:BQ105" si="379">BP97</f>
        <v>0</v>
      </c>
    </row>
    <row r="98" spans="1:69">
      <c r="A98" s="835"/>
      <c r="B98" s="837"/>
      <c r="C98" s="290" t="s">
        <v>27</v>
      </c>
      <c r="D98" s="291">
        <f t="shared" si="358"/>
        <v>0</v>
      </c>
      <c r="E98" s="292">
        <f t="shared" si="161"/>
        <v>0</v>
      </c>
      <c r="F98" s="293">
        <f t="shared" si="162"/>
        <v>0</v>
      </c>
      <c r="G98" s="298">
        <v>0</v>
      </c>
      <c r="H98" s="299">
        <f>(G68+I68/2)*((G47-H47)*(1+$BR$45))*Faktory!$D$10</f>
        <v>0</v>
      </c>
      <c r="I98" s="262">
        <f t="shared" si="359"/>
        <v>0</v>
      </c>
      <c r="J98" s="298">
        <v>0</v>
      </c>
      <c r="K98" s="299">
        <f>(J68+L68/2)*((J47-K47)*(1+$BR$45))*Faktory!$D$10</f>
        <v>0</v>
      </c>
      <c r="L98" s="262">
        <f t="shared" si="360"/>
        <v>0</v>
      </c>
      <c r="M98" s="298">
        <v>0</v>
      </c>
      <c r="N98" s="299">
        <f>(M68+O68/2)*((M47-N47)*(1+$BR$45))*Faktory!$D$10</f>
        <v>0</v>
      </c>
      <c r="O98" s="262">
        <f t="shared" si="361"/>
        <v>0</v>
      </c>
      <c r="P98" s="298">
        <v>0</v>
      </c>
      <c r="Q98" s="299">
        <f>(P68+R68/2)*((P47-Q47)*(1+$BR$45))*Faktory!$D$10</f>
        <v>0</v>
      </c>
      <c r="R98" s="262">
        <f t="shared" si="362"/>
        <v>0</v>
      </c>
      <c r="S98" s="298">
        <v>0</v>
      </c>
      <c r="T98" s="299">
        <f>(S68+U68/2)*((S47-T47)*(1+$BR$45))*Faktory!$D$10</f>
        <v>0</v>
      </c>
      <c r="U98" s="262">
        <f t="shared" si="363"/>
        <v>0</v>
      </c>
      <c r="V98" s="298">
        <v>0</v>
      </c>
      <c r="W98" s="299">
        <f>(V68+X68/2)*((V47-W47)*(1+$BR$45))*Faktory!$D$10</f>
        <v>0</v>
      </c>
      <c r="X98" s="262">
        <f t="shared" si="364"/>
        <v>0</v>
      </c>
      <c r="Y98" s="298">
        <v>0</v>
      </c>
      <c r="Z98" s="299">
        <f>(Y68+AA68/2)*((Y47-Z47)*(1+$BR$45))*Faktory!$D$10</f>
        <v>0</v>
      </c>
      <c r="AA98" s="262">
        <f t="shared" si="365"/>
        <v>0</v>
      </c>
      <c r="AB98" s="298">
        <v>0</v>
      </c>
      <c r="AC98" s="299">
        <f>(AB68+AD68/2)*((AB47-AC47)*(1+$BR$45))*Faktory!$D$10</f>
        <v>0</v>
      </c>
      <c r="AD98" s="262">
        <f t="shared" si="366"/>
        <v>0</v>
      </c>
      <c r="AE98" s="298">
        <v>0</v>
      </c>
      <c r="AF98" s="299">
        <f>(AE68+AG68/2)*((AE47-AF47)*(1+$BR$45))*Faktory!$D$10</f>
        <v>0</v>
      </c>
      <c r="AG98" s="262">
        <f t="shared" si="367"/>
        <v>0</v>
      </c>
      <c r="AH98" s="298">
        <v>0</v>
      </c>
      <c r="AI98" s="299">
        <f>(AH68+AJ68/2)*((AH47-AI47)*(1+$BR$45))*Faktory!$D$10</f>
        <v>0</v>
      </c>
      <c r="AJ98" s="262">
        <f t="shared" si="368"/>
        <v>0</v>
      </c>
      <c r="AK98" s="298">
        <v>0</v>
      </c>
      <c r="AL98" s="299">
        <f>(AK68+AM68/2)*((AK47-AL47)*(1+$BR$45))*Faktory!$D$10</f>
        <v>0</v>
      </c>
      <c r="AM98" s="262">
        <f t="shared" si="369"/>
        <v>0</v>
      </c>
      <c r="AN98" s="298">
        <v>0</v>
      </c>
      <c r="AO98" s="299">
        <f>(AN68+AP68/2)*((AN47-AO47)*(1+$BR$45))*Faktory!$D$10</f>
        <v>0</v>
      </c>
      <c r="AP98" s="262">
        <f t="shared" si="370"/>
        <v>0</v>
      </c>
      <c r="AQ98" s="298">
        <v>0</v>
      </c>
      <c r="AR98" s="299">
        <f>(AQ68+AS68/2)*((AQ47-AR47)*(1+$BR$45))*Faktory!$D$10</f>
        <v>0</v>
      </c>
      <c r="AS98" s="262">
        <f t="shared" si="371"/>
        <v>0</v>
      </c>
      <c r="AT98" s="298">
        <v>0</v>
      </c>
      <c r="AU98" s="299">
        <f>(AT68+AV68/2)*((AT47-AU47)*(1+$BR$45))*Faktory!$D$10</f>
        <v>0</v>
      </c>
      <c r="AV98" s="262">
        <f t="shared" si="372"/>
        <v>0</v>
      </c>
      <c r="AW98" s="298">
        <v>0</v>
      </c>
      <c r="AX98" s="299">
        <f>(AW68+AY68/2)*((AW47-AX47)*(1+$BR$45))*Faktory!$D$10</f>
        <v>0</v>
      </c>
      <c r="AY98" s="262">
        <f t="shared" si="373"/>
        <v>0</v>
      </c>
      <c r="AZ98" s="298">
        <v>0</v>
      </c>
      <c r="BA98" s="299">
        <f>(AZ68+BB68/2)*((AZ47-BA47)*(1+$BR$45))*Faktory!$D$10</f>
        <v>0</v>
      </c>
      <c r="BB98" s="262">
        <f t="shared" si="374"/>
        <v>0</v>
      </c>
      <c r="BC98" s="298">
        <v>0</v>
      </c>
      <c r="BD98" s="299">
        <f>(BC68+BE68/2)*((BC47-BD47)*(1+$BR$45))*Faktory!$D$10</f>
        <v>0</v>
      </c>
      <c r="BE98" s="262">
        <f t="shared" si="375"/>
        <v>0</v>
      </c>
      <c r="BF98" s="298">
        <v>0</v>
      </c>
      <c r="BG98" s="299">
        <f>(BF68+BH68/2)*((BF47-BG47)*(1+$BR$45))*Faktory!$D$10</f>
        <v>0</v>
      </c>
      <c r="BH98" s="262">
        <f t="shared" si="376"/>
        <v>0</v>
      </c>
      <c r="BI98" s="298">
        <v>0</v>
      </c>
      <c r="BJ98" s="299">
        <f>(BI68+BK68/2)*((BI47-BJ47)*(1+$BR$45))*Faktory!$D$10</f>
        <v>0</v>
      </c>
      <c r="BK98" s="262">
        <f t="shared" si="377"/>
        <v>0</v>
      </c>
      <c r="BL98" s="298">
        <v>0</v>
      </c>
      <c r="BM98" s="299">
        <f>(BL68+BN68/2)*((BL47-BM47)*(1+$BR$45))*Faktory!$D$10</f>
        <v>0</v>
      </c>
      <c r="BN98" s="262">
        <f t="shared" si="378"/>
        <v>0</v>
      </c>
      <c r="BO98" s="298">
        <v>0</v>
      </c>
      <c r="BP98" s="299">
        <f>(BO68+BQ68/2)*((BO47-BP47)*(1+$BR$45))*Faktory!$D$10</f>
        <v>0</v>
      </c>
      <c r="BQ98" s="262">
        <f t="shared" si="379"/>
        <v>0</v>
      </c>
    </row>
    <row r="99" spans="1:69">
      <c r="A99" s="835"/>
      <c r="B99" s="837"/>
      <c r="C99" s="290" t="s">
        <v>28</v>
      </c>
      <c r="D99" s="291">
        <f t="shared" si="358"/>
        <v>0</v>
      </c>
      <c r="E99" s="292">
        <f t="shared" si="161"/>
        <v>0</v>
      </c>
      <c r="F99" s="293">
        <f t="shared" si="162"/>
        <v>0</v>
      </c>
      <c r="G99" s="298">
        <v>0</v>
      </c>
      <c r="H99" s="299">
        <f>(G69+I69/2)*((G48-H48)*(1+$BR$45))*Faktory!$D$10</f>
        <v>0</v>
      </c>
      <c r="I99" s="262">
        <f t="shared" si="359"/>
        <v>0</v>
      </c>
      <c r="J99" s="298">
        <v>0</v>
      </c>
      <c r="K99" s="299">
        <f>(J69+L69/2)*((J48-K48)*(1+$BR$45))*Faktory!$D$10</f>
        <v>0</v>
      </c>
      <c r="L99" s="262">
        <f t="shared" si="360"/>
        <v>0</v>
      </c>
      <c r="M99" s="298">
        <v>0</v>
      </c>
      <c r="N99" s="299">
        <f>(M69+O69/2)*((M48-N48)*(1+$BR$45))*Faktory!$D$10</f>
        <v>0</v>
      </c>
      <c r="O99" s="262">
        <f t="shared" si="361"/>
        <v>0</v>
      </c>
      <c r="P99" s="298">
        <v>0</v>
      </c>
      <c r="Q99" s="299">
        <f>(P69+R69/2)*((P48-Q48)*(1+$BR$45))*Faktory!$D$10</f>
        <v>0</v>
      </c>
      <c r="R99" s="262">
        <f t="shared" si="362"/>
        <v>0</v>
      </c>
      <c r="S99" s="298">
        <v>0</v>
      </c>
      <c r="T99" s="299">
        <f>(S69+U69/2)*((S48-T48)*(1+$BR$45))*Faktory!$D$10</f>
        <v>0</v>
      </c>
      <c r="U99" s="262">
        <f t="shared" si="363"/>
        <v>0</v>
      </c>
      <c r="V99" s="298">
        <v>0</v>
      </c>
      <c r="W99" s="299">
        <f>(V69+X69/2)*((V48-W48)*(1+$BR$45))*Faktory!$D$10</f>
        <v>0</v>
      </c>
      <c r="X99" s="262">
        <f t="shared" si="364"/>
        <v>0</v>
      </c>
      <c r="Y99" s="298">
        <v>0</v>
      </c>
      <c r="Z99" s="299">
        <f>(Y69+AA69/2)*((Y48-Z48)*(1+$BR$45))*Faktory!$D$10</f>
        <v>0</v>
      </c>
      <c r="AA99" s="262">
        <f t="shared" si="365"/>
        <v>0</v>
      </c>
      <c r="AB99" s="298">
        <v>0</v>
      </c>
      <c r="AC99" s="299">
        <f>(AB69+AD69/2)*((AB48-AC48)*(1+$BR$45))*Faktory!$D$10</f>
        <v>0</v>
      </c>
      <c r="AD99" s="262">
        <f t="shared" si="366"/>
        <v>0</v>
      </c>
      <c r="AE99" s="298">
        <v>0</v>
      </c>
      <c r="AF99" s="299">
        <f>(AE69+AG69/2)*((AE48-AF48)*(1+$BR$45))*Faktory!$D$10</f>
        <v>0</v>
      </c>
      <c r="AG99" s="262">
        <f t="shared" si="367"/>
        <v>0</v>
      </c>
      <c r="AH99" s="298">
        <v>0</v>
      </c>
      <c r="AI99" s="299">
        <f>(AH69+AJ69/2)*((AH48-AI48)*(1+$BR$45))*Faktory!$D$10</f>
        <v>0</v>
      </c>
      <c r="AJ99" s="262">
        <f t="shared" si="368"/>
        <v>0</v>
      </c>
      <c r="AK99" s="298">
        <v>0</v>
      </c>
      <c r="AL99" s="299">
        <f>(AK69+AM69/2)*((AK48-AL48)*(1+$BR$45))*Faktory!$D$10</f>
        <v>0</v>
      </c>
      <c r="AM99" s="262">
        <f t="shared" si="369"/>
        <v>0</v>
      </c>
      <c r="AN99" s="298">
        <v>0</v>
      </c>
      <c r="AO99" s="299">
        <f>(AN69+AP69/2)*((AN48-AO48)*(1+$BR$45))*Faktory!$D$10</f>
        <v>0</v>
      </c>
      <c r="AP99" s="262">
        <f t="shared" si="370"/>
        <v>0</v>
      </c>
      <c r="AQ99" s="298">
        <v>0</v>
      </c>
      <c r="AR99" s="299">
        <f>(AQ69+AS69/2)*((AQ48-AR48)*(1+$BR$45))*Faktory!$D$10</f>
        <v>0</v>
      </c>
      <c r="AS99" s="262">
        <f t="shared" si="371"/>
        <v>0</v>
      </c>
      <c r="AT99" s="298">
        <v>0</v>
      </c>
      <c r="AU99" s="299">
        <f>(AT69+AV69/2)*((AT48-AU48)*(1+$BR$45))*Faktory!$D$10</f>
        <v>0</v>
      </c>
      <c r="AV99" s="262">
        <f t="shared" si="372"/>
        <v>0</v>
      </c>
      <c r="AW99" s="298">
        <v>0</v>
      </c>
      <c r="AX99" s="299">
        <f>(AW69+AY69/2)*((AW48-AX48)*(1+$BR$45))*Faktory!$D$10</f>
        <v>0</v>
      </c>
      <c r="AY99" s="262">
        <f t="shared" si="373"/>
        <v>0</v>
      </c>
      <c r="AZ99" s="298">
        <v>0</v>
      </c>
      <c r="BA99" s="299">
        <f>(AZ69+BB69/2)*((AZ48-BA48)*(1+$BR$45))*Faktory!$D$10</f>
        <v>0</v>
      </c>
      <c r="BB99" s="262">
        <f t="shared" si="374"/>
        <v>0</v>
      </c>
      <c r="BC99" s="298">
        <v>0</v>
      </c>
      <c r="BD99" s="299">
        <f>(BC69+BE69/2)*((BC48-BD48)*(1+$BR$45))*Faktory!$D$10</f>
        <v>0</v>
      </c>
      <c r="BE99" s="262">
        <f t="shared" si="375"/>
        <v>0</v>
      </c>
      <c r="BF99" s="298">
        <v>0</v>
      </c>
      <c r="BG99" s="299">
        <f>(BF69+BH69/2)*((BF48-BG48)*(1+$BR$45))*Faktory!$D$10</f>
        <v>0</v>
      </c>
      <c r="BH99" s="262">
        <f t="shared" si="376"/>
        <v>0</v>
      </c>
      <c r="BI99" s="298">
        <v>0</v>
      </c>
      <c r="BJ99" s="299">
        <f>(BI69+BK69/2)*((BI48-BJ48)*(1+$BR$45))*Faktory!$D$10</f>
        <v>0</v>
      </c>
      <c r="BK99" s="262">
        <f t="shared" si="377"/>
        <v>0</v>
      </c>
      <c r="BL99" s="298">
        <v>0</v>
      </c>
      <c r="BM99" s="299">
        <f>(BL69+BN69/2)*((BL48-BM48)*(1+$BR$45))*Faktory!$D$10</f>
        <v>0</v>
      </c>
      <c r="BN99" s="262">
        <f t="shared" si="378"/>
        <v>0</v>
      </c>
      <c r="BO99" s="298">
        <v>0</v>
      </c>
      <c r="BP99" s="299">
        <f>(BO69+BQ69/2)*((BO48-BP48)*(1+$BR$45))*Faktory!$D$10</f>
        <v>0</v>
      </c>
      <c r="BQ99" s="262">
        <f t="shared" si="379"/>
        <v>0</v>
      </c>
    </row>
    <row r="100" spans="1:69">
      <c r="A100" s="835"/>
      <c r="B100" s="837"/>
      <c r="C100" s="290" t="s">
        <v>29</v>
      </c>
      <c r="D100" s="291">
        <f t="shared" si="358"/>
        <v>0</v>
      </c>
      <c r="E100" s="292">
        <f t="shared" si="161"/>
        <v>0</v>
      </c>
      <c r="F100" s="293">
        <f t="shared" si="162"/>
        <v>0</v>
      </c>
      <c r="G100" s="298">
        <v>0</v>
      </c>
      <c r="H100" s="299">
        <f>(G70+I70/2)*((G49-H49)*(1+$BR$45))*Faktory!$D$10</f>
        <v>0</v>
      </c>
      <c r="I100" s="262">
        <f t="shared" si="359"/>
        <v>0</v>
      </c>
      <c r="J100" s="298">
        <v>0</v>
      </c>
      <c r="K100" s="299">
        <f>(J70+L70/2)*((J49-K49)*(1+$BR$45))*Faktory!$D$10</f>
        <v>0</v>
      </c>
      <c r="L100" s="262">
        <f t="shared" si="360"/>
        <v>0</v>
      </c>
      <c r="M100" s="298">
        <v>0</v>
      </c>
      <c r="N100" s="299">
        <f>(M70+O70/2)*((M49-N49)*(1+$BR$45))*Faktory!$D$10</f>
        <v>0</v>
      </c>
      <c r="O100" s="262">
        <f t="shared" si="361"/>
        <v>0</v>
      </c>
      <c r="P100" s="298">
        <v>0</v>
      </c>
      <c r="Q100" s="299">
        <f>(P70+R70/2)*((P49-Q49)*(1+$BR$45))*Faktory!$D$10</f>
        <v>0</v>
      </c>
      <c r="R100" s="262">
        <f t="shared" si="362"/>
        <v>0</v>
      </c>
      <c r="S100" s="298">
        <v>0</v>
      </c>
      <c r="T100" s="299">
        <f>(S70+U70/2)*((S49-T49)*(1+$BR$45))*Faktory!$D$10</f>
        <v>0</v>
      </c>
      <c r="U100" s="262">
        <f t="shared" si="363"/>
        <v>0</v>
      </c>
      <c r="V100" s="298">
        <v>0</v>
      </c>
      <c r="W100" s="299">
        <f>(V70+X70/2)*((V49-W49)*(1+$BR$45))*Faktory!$D$10</f>
        <v>0</v>
      </c>
      <c r="X100" s="262">
        <f t="shared" si="364"/>
        <v>0</v>
      </c>
      <c r="Y100" s="298">
        <v>0</v>
      </c>
      <c r="Z100" s="299">
        <f>(Y70+AA70/2)*((Y49-Z49)*(1+$BR$45))*Faktory!$D$10</f>
        <v>0</v>
      </c>
      <c r="AA100" s="262">
        <f t="shared" si="365"/>
        <v>0</v>
      </c>
      <c r="AB100" s="298">
        <v>0</v>
      </c>
      <c r="AC100" s="299">
        <f>(AB70+AD70/2)*((AB49-AC49)*(1+$BR$45))*Faktory!$D$10</f>
        <v>0</v>
      </c>
      <c r="AD100" s="262">
        <f t="shared" si="366"/>
        <v>0</v>
      </c>
      <c r="AE100" s="298">
        <v>0</v>
      </c>
      <c r="AF100" s="299">
        <f>(AE70+AG70/2)*((AE49-AF49)*(1+$BR$45))*Faktory!$D$10</f>
        <v>0</v>
      </c>
      <c r="AG100" s="262">
        <f t="shared" si="367"/>
        <v>0</v>
      </c>
      <c r="AH100" s="298">
        <v>0</v>
      </c>
      <c r="AI100" s="299">
        <f>(AH70+AJ70/2)*((AH49-AI49)*(1+$BR$45))*Faktory!$D$10</f>
        <v>0</v>
      </c>
      <c r="AJ100" s="262">
        <f t="shared" si="368"/>
        <v>0</v>
      </c>
      <c r="AK100" s="298">
        <v>0</v>
      </c>
      <c r="AL100" s="299">
        <f>(AK70+AM70/2)*((AK49-AL49)*(1+$BR$45))*Faktory!$D$10</f>
        <v>0</v>
      </c>
      <c r="AM100" s="262">
        <f t="shared" si="369"/>
        <v>0</v>
      </c>
      <c r="AN100" s="298">
        <v>0</v>
      </c>
      <c r="AO100" s="299">
        <f>(AN70+AP70/2)*((AN49-AO49)*(1+$BR$45))*Faktory!$D$10</f>
        <v>0</v>
      </c>
      <c r="AP100" s="262">
        <f t="shared" si="370"/>
        <v>0</v>
      </c>
      <c r="AQ100" s="298">
        <v>0</v>
      </c>
      <c r="AR100" s="299">
        <f>(AQ70+AS70/2)*((AQ49-AR49)*(1+$BR$45))*Faktory!$D$10</f>
        <v>0</v>
      </c>
      <c r="AS100" s="262">
        <f t="shared" si="371"/>
        <v>0</v>
      </c>
      <c r="AT100" s="298">
        <v>0</v>
      </c>
      <c r="AU100" s="299">
        <f>(AT70+AV70/2)*((AT49-AU49)*(1+$BR$45))*Faktory!$D$10</f>
        <v>0</v>
      </c>
      <c r="AV100" s="262">
        <f t="shared" si="372"/>
        <v>0</v>
      </c>
      <c r="AW100" s="298">
        <v>0</v>
      </c>
      <c r="AX100" s="299">
        <f>(AW70+AY70/2)*((AW49-AX49)*(1+$BR$45))*Faktory!$D$10</f>
        <v>0</v>
      </c>
      <c r="AY100" s="262">
        <f t="shared" si="373"/>
        <v>0</v>
      </c>
      <c r="AZ100" s="298">
        <v>0</v>
      </c>
      <c r="BA100" s="299">
        <f>(AZ70+BB70/2)*((AZ49-BA49)*(1+$BR$45))*Faktory!$D$10</f>
        <v>0</v>
      </c>
      <c r="BB100" s="262">
        <f t="shared" si="374"/>
        <v>0</v>
      </c>
      <c r="BC100" s="298">
        <v>0</v>
      </c>
      <c r="BD100" s="299">
        <f>(BC70+BE70/2)*((BC49-BD49)*(1+$BR$45))*Faktory!$D$10</f>
        <v>0</v>
      </c>
      <c r="BE100" s="262">
        <f t="shared" si="375"/>
        <v>0</v>
      </c>
      <c r="BF100" s="298">
        <v>0</v>
      </c>
      <c r="BG100" s="299">
        <f>(BF70+BH70/2)*((BF49-BG49)*(1+$BR$45))*Faktory!$D$10</f>
        <v>0</v>
      </c>
      <c r="BH100" s="262">
        <f t="shared" si="376"/>
        <v>0</v>
      </c>
      <c r="BI100" s="298">
        <v>0</v>
      </c>
      <c r="BJ100" s="299">
        <f>(BI70+BK70/2)*((BI49-BJ49)*(1+$BR$45))*Faktory!$D$10</f>
        <v>0</v>
      </c>
      <c r="BK100" s="262">
        <f t="shared" si="377"/>
        <v>0</v>
      </c>
      <c r="BL100" s="298">
        <v>0</v>
      </c>
      <c r="BM100" s="299">
        <f>(BL70+BN70/2)*((BL49-BM49)*(1+$BR$45))*Faktory!$D$10</f>
        <v>0</v>
      </c>
      <c r="BN100" s="262">
        <f t="shared" si="378"/>
        <v>0</v>
      </c>
      <c r="BO100" s="298">
        <v>0</v>
      </c>
      <c r="BP100" s="299">
        <f>(BO70+BQ70/2)*((BO49-BP49)*(1+$BR$45))*Faktory!$D$10</f>
        <v>0</v>
      </c>
      <c r="BQ100" s="262">
        <f t="shared" si="379"/>
        <v>0</v>
      </c>
    </row>
    <row r="101" spans="1:69">
      <c r="A101" s="835"/>
      <c r="B101" s="837"/>
      <c r="C101" s="290" t="s">
        <v>30</v>
      </c>
      <c r="D101" s="291">
        <f t="shared" si="358"/>
        <v>0</v>
      </c>
      <c r="E101" s="292">
        <f t="shared" si="161"/>
        <v>0</v>
      </c>
      <c r="F101" s="293">
        <f t="shared" si="162"/>
        <v>0</v>
      </c>
      <c r="G101" s="298">
        <v>0</v>
      </c>
      <c r="H101" s="299">
        <f>(G71+I71/2)*((G50-H50)*(1+$BR$45))*Faktory!$D$10</f>
        <v>0</v>
      </c>
      <c r="I101" s="262">
        <f t="shared" si="359"/>
        <v>0</v>
      </c>
      <c r="J101" s="298">
        <v>0</v>
      </c>
      <c r="K101" s="299">
        <f>(J71+L71/2)*((J50-K50)*(1+$BR$45))*Faktory!$D$10</f>
        <v>0</v>
      </c>
      <c r="L101" s="262">
        <f t="shared" si="360"/>
        <v>0</v>
      </c>
      <c r="M101" s="298">
        <v>0</v>
      </c>
      <c r="N101" s="299">
        <f>(M71+O71/2)*((M50-N50)*(1+$BR$45))*Faktory!$D$10</f>
        <v>0</v>
      </c>
      <c r="O101" s="262">
        <f t="shared" si="361"/>
        <v>0</v>
      </c>
      <c r="P101" s="298">
        <v>0</v>
      </c>
      <c r="Q101" s="299">
        <f>(P71+R71/2)*((P50-Q50)*(1+$BR$45))*Faktory!$D$10</f>
        <v>0</v>
      </c>
      <c r="R101" s="262">
        <f t="shared" si="362"/>
        <v>0</v>
      </c>
      <c r="S101" s="298">
        <v>0</v>
      </c>
      <c r="T101" s="299">
        <f>(S71+U71/2)*((S50-T50)*(1+$BR$45))*Faktory!$D$10</f>
        <v>0</v>
      </c>
      <c r="U101" s="262">
        <f t="shared" si="363"/>
        <v>0</v>
      </c>
      <c r="V101" s="298">
        <v>0</v>
      </c>
      <c r="W101" s="299">
        <f>(V71+X71/2)*((V50-W50)*(1+$BR$45))*Faktory!$D$10</f>
        <v>0</v>
      </c>
      <c r="X101" s="262">
        <f t="shared" si="364"/>
        <v>0</v>
      </c>
      <c r="Y101" s="298">
        <v>0</v>
      </c>
      <c r="Z101" s="299">
        <f>(Y71+AA71/2)*((Y50-Z50)*(1+$BR$45))*Faktory!$D$10</f>
        <v>0</v>
      </c>
      <c r="AA101" s="262">
        <f t="shared" si="365"/>
        <v>0</v>
      </c>
      <c r="AB101" s="298">
        <v>0</v>
      </c>
      <c r="AC101" s="299">
        <f>(AB71+AD71/2)*((AB50-AC50)*(1+$BR$45))*Faktory!$D$10</f>
        <v>0</v>
      </c>
      <c r="AD101" s="262">
        <f t="shared" si="366"/>
        <v>0</v>
      </c>
      <c r="AE101" s="298">
        <v>0</v>
      </c>
      <c r="AF101" s="299">
        <f>(AE71+AG71/2)*((AE50-AF50)*(1+$BR$45))*Faktory!$D$10</f>
        <v>0</v>
      </c>
      <c r="AG101" s="262">
        <f t="shared" si="367"/>
        <v>0</v>
      </c>
      <c r="AH101" s="298">
        <v>0</v>
      </c>
      <c r="AI101" s="299">
        <f>(AH71+AJ71/2)*((AH50-AI50)*(1+$BR$45))*Faktory!$D$10</f>
        <v>0</v>
      </c>
      <c r="AJ101" s="262">
        <f t="shared" si="368"/>
        <v>0</v>
      </c>
      <c r="AK101" s="298">
        <v>0</v>
      </c>
      <c r="AL101" s="299">
        <f>(AK71+AM71/2)*((AK50-AL50)*(1+$BR$45))*Faktory!$D$10</f>
        <v>0</v>
      </c>
      <c r="AM101" s="262">
        <f t="shared" si="369"/>
        <v>0</v>
      </c>
      <c r="AN101" s="298">
        <v>0</v>
      </c>
      <c r="AO101" s="299">
        <f>(AN71+AP71/2)*((AN50-AO50)*(1+$BR$45))*Faktory!$D$10</f>
        <v>0</v>
      </c>
      <c r="AP101" s="262">
        <f t="shared" si="370"/>
        <v>0</v>
      </c>
      <c r="AQ101" s="298">
        <v>0</v>
      </c>
      <c r="AR101" s="299">
        <f>(AQ71+AS71/2)*((AQ50-AR50)*(1+$BR$45))*Faktory!$D$10</f>
        <v>0</v>
      </c>
      <c r="AS101" s="262">
        <f t="shared" si="371"/>
        <v>0</v>
      </c>
      <c r="AT101" s="298">
        <v>0</v>
      </c>
      <c r="AU101" s="299">
        <f>(AT71+AV71/2)*((AT50-AU50)*(1+$BR$45))*Faktory!$D$10</f>
        <v>0</v>
      </c>
      <c r="AV101" s="262">
        <f t="shared" si="372"/>
        <v>0</v>
      </c>
      <c r="AW101" s="298">
        <v>0</v>
      </c>
      <c r="AX101" s="299">
        <f>(AW71+AY71/2)*((AW50-AX50)*(1+$BR$45))*Faktory!$D$10</f>
        <v>0</v>
      </c>
      <c r="AY101" s="262">
        <f t="shared" si="373"/>
        <v>0</v>
      </c>
      <c r="AZ101" s="298">
        <v>0</v>
      </c>
      <c r="BA101" s="299">
        <f>(AZ71+BB71/2)*((AZ50-BA50)*(1+$BR$45))*Faktory!$D$10</f>
        <v>0</v>
      </c>
      <c r="BB101" s="262">
        <f t="shared" si="374"/>
        <v>0</v>
      </c>
      <c r="BC101" s="298">
        <v>0</v>
      </c>
      <c r="BD101" s="299">
        <f>(BC71+BE71/2)*((BC50-BD50)*(1+$BR$45))*Faktory!$D$10</f>
        <v>0</v>
      </c>
      <c r="BE101" s="262">
        <f t="shared" si="375"/>
        <v>0</v>
      </c>
      <c r="BF101" s="298">
        <v>0</v>
      </c>
      <c r="BG101" s="299">
        <f>(BF71+BH71/2)*((BF50-BG50)*(1+$BR$45))*Faktory!$D$10</f>
        <v>0</v>
      </c>
      <c r="BH101" s="262">
        <f t="shared" si="376"/>
        <v>0</v>
      </c>
      <c r="BI101" s="298">
        <v>0</v>
      </c>
      <c r="BJ101" s="299">
        <f>(BI71+BK71/2)*((BI50-BJ50)*(1+$BR$45))*Faktory!$D$10</f>
        <v>0</v>
      </c>
      <c r="BK101" s="262">
        <f t="shared" si="377"/>
        <v>0</v>
      </c>
      <c r="BL101" s="298">
        <v>0</v>
      </c>
      <c r="BM101" s="299">
        <f>(BL71+BN71/2)*((BL50-BM50)*(1+$BR$45))*Faktory!$D$10</f>
        <v>0</v>
      </c>
      <c r="BN101" s="262">
        <f t="shared" si="378"/>
        <v>0</v>
      </c>
      <c r="BO101" s="298">
        <v>0</v>
      </c>
      <c r="BP101" s="299">
        <f>(BO71+BQ71/2)*((BO50-BP50)*(1+$BR$45))*Faktory!$D$10</f>
        <v>0</v>
      </c>
      <c r="BQ101" s="262">
        <f t="shared" si="379"/>
        <v>0</v>
      </c>
    </row>
    <row r="102" spans="1:69">
      <c r="A102" s="835"/>
      <c r="B102" s="837"/>
      <c r="C102" s="290" t="s">
        <v>31</v>
      </c>
      <c r="D102" s="291">
        <f t="shared" si="358"/>
        <v>0</v>
      </c>
      <c r="E102" s="292">
        <f t="shared" si="161"/>
        <v>0</v>
      </c>
      <c r="F102" s="293">
        <f t="shared" si="162"/>
        <v>0</v>
      </c>
      <c r="G102" s="298">
        <v>0</v>
      </c>
      <c r="H102" s="299">
        <f>(G72+I72/2)*((G51-H51)*(1+$BR$45))*Faktory!$D$10</f>
        <v>0</v>
      </c>
      <c r="I102" s="262">
        <f t="shared" si="359"/>
        <v>0</v>
      </c>
      <c r="J102" s="298">
        <v>0</v>
      </c>
      <c r="K102" s="299">
        <f>(J72+L72/2)*((J51-K51)*(1+$BR$45))*Faktory!$D$10</f>
        <v>0</v>
      </c>
      <c r="L102" s="262">
        <f t="shared" si="360"/>
        <v>0</v>
      </c>
      <c r="M102" s="298">
        <v>0</v>
      </c>
      <c r="N102" s="299">
        <f>(M72+O72/2)*((M51-N51)*(1+$BR$45))*Faktory!$D$10</f>
        <v>0</v>
      </c>
      <c r="O102" s="262">
        <f t="shared" si="361"/>
        <v>0</v>
      </c>
      <c r="P102" s="298">
        <v>0</v>
      </c>
      <c r="Q102" s="299">
        <f>(P72+R72/2)*((P51-Q51)*(1+$BR$45))*Faktory!$D$10</f>
        <v>0</v>
      </c>
      <c r="R102" s="262">
        <f t="shared" si="362"/>
        <v>0</v>
      </c>
      <c r="S102" s="298">
        <v>0</v>
      </c>
      <c r="T102" s="299">
        <f>(S72+U72/2)*((S51-T51)*(1+$BR$45))*Faktory!$D$10</f>
        <v>0</v>
      </c>
      <c r="U102" s="262">
        <f t="shared" si="363"/>
        <v>0</v>
      </c>
      <c r="V102" s="298">
        <v>0</v>
      </c>
      <c r="W102" s="299">
        <f>(V72+X72/2)*((V51-W51)*(1+$BR$45))*Faktory!$D$10</f>
        <v>0</v>
      </c>
      <c r="X102" s="262">
        <f t="shared" si="364"/>
        <v>0</v>
      </c>
      <c r="Y102" s="298">
        <v>0</v>
      </c>
      <c r="Z102" s="299">
        <f>(Y72+AA72/2)*((Y51-Z51)*(1+$BR$45))*Faktory!$D$10</f>
        <v>0</v>
      </c>
      <c r="AA102" s="262">
        <f t="shared" si="365"/>
        <v>0</v>
      </c>
      <c r="AB102" s="298">
        <v>0</v>
      </c>
      <c r="AC102" s="299">
        <f>(AB72+AD72/2)*((AB51-AC51)*(1+$BR$45))*Faktory!$D$10</f>
        <v>0</v>
      </c>
      <c r="AD102" s="262">
        <f t="shared" si="366"/>
        <v>0</v>
      </c>
      <c r="AE102" s="298">
        <v>0</v>
      </c>
      <c r="AF102" s="299">
        <f>(AE72+AG72/2)*((AE51-AF51)*(1+$BR$45))*Faktory!$D$10</f>
        <v>0</v>
      </c>
      <c r="AG102" s="262">
        <f t="shared" si="367"/>
        <v>0</v>
      </c>
      <c r="AH102" s="298">
        <v>0</v>
      </c>
      <c r="AI102" s="299">
        <f>(AH72+AJ72/2)*((AH51-AI51)*(1+$BR$45))*Faktory!$D$10</f>
        <v>0</v>
      </c>
      <c r="AJ102" s="262">
        <f t="shared" si="368"/>
        <v>0</v>
      </c>
      <c r="AK102" s="298">
        <v>0</v>
      </c>
      <c r="AL102" s="299">
        <f>(AK72+AM72/2)*((AK51-AL51)*(1+$BR$45))*Faktory!$D$10</f>
        <v>0</v>
      </c>
      <c r="AM102" s="262">
        <f t="shared" si="369"/>
        <v>0</v>
      </c>
      <c r="AN102" s="298">
        <v>0</v>
      </c>
      <c r="AO102" s="299">
        <f>(AN72+AP72/2)*((AN51-AO51)*(1+$BR$45))*Faktory!$D$10</f>
        <v>0</v>
      </c>
      <c r="AP102" s="262">
        <f t="shared" si="370"/>
        <v>0</v>
      </c>
      <c r="AQ102" s="298">
        <v>0</v>
      </c>
      <c r="AR102" s="299">
        <f>(AQ72+AS72/2)*((AQ51-AR51)*(1+$BR$45))*Faktory!$D$10</f>
        <v>0</v>
      </c>
      <c r="AS102" s="262">
        <f t="shared" si="371"/>
        <v>0</v>
      </c>
      <c r="AT102" s="298">
        <v>0</v>
      </c>
      <c r="AU102" s="299">
        <f>(AT72+AV72/2)*((AT51-AU51)*(1+$BR$45))*Faktory!$D$10</f>
        <v>0</v>
      </c>
      <c r="AV102" s="262">
        <f t="shared" si="372"/>
        <v>0</v>
      </c>
      <c r="AW102" s="298">
        <v>0</v>
      </c>
      <c r="AX102" s="299">
        <f>(AW72+AY72/2)*((AW51-AX51)*(1+$BR$45))*Faktory!$D$10</f>
        <v>0</v>
      </c>
      <c r="AY102" s="262">
        <f t="shared" si="373"/>
        <v>0</v>
      </c>
      <c r="AZ102" s="298">
        <v>0</v>
      </c>
      <c r="BA102" s="299">
        <f>(AZ72+BB72/2)*((AZ51-BA51)*(1+$BR$45))*Faktory!$D$10</f>
        <v>0</v>
      </c>
      <c r="BB102" s="262">
        <f t="shared" si="374"/>
        <v>0</v>
      </c>
      <c r="BC102" s="298">
        <v>0</v>
      </c>
      <c r="BD102" s="299">
        <f>(BC72+BE72/2)*((BC51-BD51)*(1+$BR$45))*Faktory!$D$10</f>
        <v>0</v>
      </c>
      <c r="BE102" s="262">
        <f t="shared" si="375"/>
        <v>0</v>
      </c>
      <c r="BF102" s="298">
        <v>0</v>
      </c>
      <c r="BG102" s="299">
        <f>(BF72+BH72/2)*((BF51-BG51)*(1+$BR$45))*Faktory!$D$10</f>
        <v>0</v>
      </c>
      <c r="BH102" s="262">
        <f t="shared" si="376"/>
        <v>0</v>
      </c>
      <c r="BI102" s="298">
        <v>0</v>
      </c>
      <c r="BJ102" s="299">
        <f>(BI72+BK72/2)*((BI51-BJ51)*(1+$BR$45))*Faktory!$D$10</f>
        <v>0</v>
      </c>
      <c r="BK102" s="262">
        <f t="shared" si="377"/>
        <v>0</v>
      </c>
      <c r="BL102" s="298">
        <v>0</v>
      </c>
      <c r="BM102" s="299">
        <f>(BL72+BN72/2)*((BL51-BM51)*(1+$BR$45))*Faktory!$D$10</f>
        <v>0</v>
      </c>
      <c r="BN102" s="262">
        <f t="shared" si="378"/>
        <v>0</v>
      </c>
      <c r="BO102" s="298">
        <v>0</v>
      </c>
      <c r="BP102" s="299">
        <f>(BO72+BQ72/2)*((BO51-BP51)*(1+$BR$45))*Faktory!$D$10</f>
        <v>0</v>
      </c>
      <c r="BQ102" s="262">
        <f t="shared" si="379"/>
        <v>0</v>
      </c>
    </row>
    <row r="103" spans="1:69">
      <c r="A103" s="835"/>
      <c r="B103" s="837"/>
      <c r="C103" s="290" t="s">
        <v>32</v>
      </c>
      <c r="D103" s="291">
        <f t="shared" si="358"/>
        <v>0</v>
      </c>
      <c r="E103" s="292">
        <f t="shared" si="161"/>
        <v>0</v>
      </c>
      <c r="F103" s="293">
        <f t="shared" si="162"/>
        <v>0</v>
      </c>
      <c r="G103" s="298">
        <v>0</v>
      </c>
      <c r="H103" s="299">
        <f>(G73+I73/2)*((G52-H52)*(1+$BR$45))*Faktory!$D$10</f>
        <v>0</v>
      </c>
      <c r="I103" s="262">
        <f t="shared" si="359"/>
        <v>0</v>
      </c>
      <c r="J103" s="298">
        <v>0</v>
      </c>
      <c r="K103" s="299">
        <f>(J73+L73/2)*((J52-K52)*(1+$BR$45))*Faktory!$D$10</f>
        <v>0</v>
      </c>
      <c r="L103" s="262">
        <f t="shared" si="360"/>
        <v>0</v>
      </c>
      <c r="M103" s="298">
        <v>0</v>
      </c>
      <c r="N103" s="299">
        <f>(M73+O73/2)*((M52-N52)*(1+$BR$45))*Faktory!$D$10</f>
        <v>0</v>
      </c>
      <c r="O103" s="262">
        <f t="shared" si="361"/>
        <v>0</v>
      </c>
      <c r="P103" s="298">
        <v>0</v>
      </c>
      <c r="Q103" s="299">
        <f>(P73+R73/2)*((P52-Q52)*(1+$BR$45))*Faktory!$D$10</f>
        <v>0</v>
      </c>
      <c r="R103" s="262">
        <f t="shared" si="362"/>
        <v>0</v>
      </c>
      <c r="S103" s="298">
        <v>0</v>
      </c>
      <c r="T103" s="299">
        <f>(S73+U73/2)*((S52-T52)*(1+$BR$45))*Faktory!$D$10</f>
        <v>0</v>
      </c>
      <c r="U103" s="262">
        <f t="shared" si="363"/>
        <v>0</v>
      </c>
      <c r="V103" s="298">
        <v>0</v>
      </c>
      <c r="W103" s="299">
        <f>(V73+X73/2)*((V52-W52)*(1+$BR$45))*Faktory!$D$10</f>
        <v>0</v>
      </c>
      <c r="X103" s="262">
        <f t="shared" si="364"/>
        <v>0</v>
      </c>
      <c r="Y103" s="298">
        <v>0</v>
      </c>
      <c r="Z103" s="299">
        <f>(Y73+AA73/2)*((Y52-Z52)*(1+$BR$45))*Faktory!$D$10</f>
        <v>0</v>
      </c>
      <c r="AA103" s="262">
        <f t="shared" si="365"/>
        <v>0</v>
      </c>
      <c r="AB103" s="298">
        <v>0</v>
      </c>
      <c r="AC103" s="299">
        <f>(AB73+AD73/2)*((AB52-AC52)*(1+$BR$45))*Faktory!$D$10</f>
        <v>0</v>
      </c>
      <c r="AD103" s="262">
        <f t="shared" si="366"/>
        <v>0</v>
      </c>
      <c r="AE103" s="298">
        <v>0</v>
      </c>
      <c r="AF103" s="299">
        <f>(AE73+AG73/2)*((AE52-AF52)*(1+$BR$45))*Faktory!$D$10</f>
        <v>0</v>
      </c>
      <c r="AG103" s="262">
        <f t="shared" si="367"/>
        <v>0</v>
      </c>
      <c r="AH103" s="298">
        <v>0</v>
      </c>
      <c r="AI103" s="299">
        <f>(AH73+AJ73/2)*((AH52-AI52)*(1+$BR$45))*Faktory!$D$10</f>
        <v>0</v>
      </c>
      <c r="AJ103" s="262">
        <f t="shared" si="368"/>
        <v>0</v>
      </c>
      <c r="AK103" s="298">
        <v>0</v>
      </c>
      <c r="AL103" s="299">
        <f>(AK73+AM73/2)*((AK52-AL52)*(1+$BR$45))*Faktory!$D$10</f>
        <v>0</v>
      </c>
      <c r="AM103" s="262">
        <f t="shared" si="369"/>
        <v>0</v>
      </c>
      <c r="AN103" s="298">
        <v>0</v>
      </c>
      <c r="AO103" s="299">
        <f>(AN73+AP73/2)*((AN52-AO52)*(1+$BR$45))*Faktory!$D$10</f>
        <v>0</v>
      </c>
      <c r="AP103" s="262">
        <f t="shared" si="370"/>
        <v>0</v>
      </c>
      <c r="AQ103" s="298">
        <v>0</v>
      </c>
      <c r="AR103" s="299">
        <f>(AQ73+AS73/2)*((AQ52-AR52)*(1+$BR$45))*Faktory!$D$10</f>
        <v>0</v>
      </c>
      <c r="AS103" s="262">
        <f t="shared" si="371"/>
        <v>0</v>
      </c>
      <c r="AT103" s="298">
        <v>0</v>
      </c>
      <c r="AU103" s="299">
        <f>(AT73+AV73/2)*((AT52-AU52)*(1+$BR$45))*Faktory!$D$10</f>
        <v>0</v>
      </c>
      <c r="AV103" s="262">
        <f t="shared" si="372"/>
        <v>0</v>
      </c>
      <c r="AW103" s="298">
        <v>0</v>
      </c>
      <c r="AX103" s="299">
        <f>(AW73+AY73/2)*((AW52-AX52)*(1+$BR$45))*Faktory!$D$10</f>
        <v>0</v>
      </c>
      <c r="AY103" s="262">
        <f t="shared" si="373"/>
        <v>0</v>
      </c>
      <c r="AZ103" s="298">
        <v>0</v>
      </c>
      <c r="BA103" s="299">
        <f>(AZ73+BB73/2)*((AZ52-BA52)*(1+$BR$45))*Faktory!$D$10</f>
        <v>0</v>
      </c>
      <c r="BB103" s="262">
        <f t="shared" si="374"/>
        <v>0</v>
      </c>
      <c r="BC103" s="298">
        <v>0</v>
      </c>
      <c r="BD103" s="299">
        <f>(BC73+BE73/2)*((BC52-BD52)*(1+$BR$45))*Faktory!$D$10</f>
        <v>0</v>
      </c>
      <c r="BE103" s="262">
        <f t="shared" si="375"/>
        <v>0</v>
      </c>
      <c r="BF103" s="298">
        <v>0</v>
      </c>
      <c r="BG103" s="299">
        <f>(BF73+BH73/2)*((BF52-BG52)*(1+$BR$45))*Faktory!$D$10</f>
        <v>0</v>
      </c>
      <c r="BH103" s="262">
        <f t="shared" si="376"/>
        <v>0</v>
      </c>
      <c r="BI103" s="298">
        <v>0</v>
      </c>
      <c r="BJ103" s="299">
        <f>(BI73+BK73/2)*((BI52-BJ52)*(1+$BR$45))*Faktory!$D$10</f>
        <v>0</v>
      </c>
      <c r="BK103" s="262">
        <f t="shared" si="377"/>
        <v>0</v>
      </c>
      <c r="BL103" s="298">
        <v>0</v>
      </c>
      <c r="BM103" s="299">
        <f>(BL73+BN73/2)*((BL52-BM52)*(1+$BR$45))*Faktory!$D$10</f>
        <v>0</v>
      </c>
      <c r="BN103" s="262">
        <f t="shared" si="378"/>
        <v>0</v>
      </c>
      <c r="BO103" s="298">
        <v>0</v>
      </c>
      <c r="BP103" s="299">
        <f>(BO73+BQ73/2)*((BO52-BP52)*(1+$BR$45))*Faktory!$D$10</f>
        <v>0</v>
      </c>
      <c r="BQ103" s="262">
        <f t="shared" si="379"/>
        <v>0</v>
      </c>
    </row>
    <row r="104" spans="1:69">
      <c r="A104" s="835"/>
      <c r="B104" s="837"/>
      <c r="C104" s="290" t="s">
        <v>33</v>
      </c>
      <c r="D104" s="291">
        <f t="shared" si="358"/>
        <v>0</v>
      </c>
      <c r="E104" s="292">
        <f t="shared" si="161"/>
        <v>0</v>
      </c>
      <c r="F104" s="293">
        <f t="shared" si="162"/>
        <v>0</v>
      </c>
      <c r="G104" s="298">
        <v>0</v>
      </c>
      <c r="H104" s="299">
        <f>(G74+I74/2)*((G53-H53)*(1+$BR$45))*Faktory!$D$10</f>
        <v>0</v>
      </c>
      <c r="I104" s="262">
        <f t="shared" si="359"/>
        <v>0</v>
      </c>
      <c r="J104" s="298">
        <v>0</v>
      </c>
      <c r="K104" s="299">
        <f>(J74+L74/2)*((J53-K53)*(1+$BR$45))*Faktory!$D$10</f>
        <v>0</v>
      </c>
      <c r="L104" s="262">
        <f t="shared" si="360"/>
        <v>0</v>
      </c>
      <c r="M104" s="298">
        <v>0</v>
      </c>
      <c r="N104" s="299">
        <f>(M74+O74/2)*((M53-N53)*(1+$BR$45))*Faktory!$D$10</f>
        <v>0</v>
      </c>
      <c r="O104" s="262">
        <f t="shared" si="361"/>
        <v>0</v>
      </c>
      <c r="P104" s="298">
        <v>0</v>
      </c>
      <c r="Q104" s="299">
        <f>(P74+R74/2)*((P53-Q53)*(1+$BR$45))*Faktory!$D$10</f>
        <v>0</v>
      </c>
      <c r="R104" s="262">
        <f t="shared" si="362"/>
        <v>0</v>
      </c>
      <c r="S104" s="298">
        <v>0</v>
      </c>
      <c r="T104" s="299">
        <f>(S74+U74/2)*((S53-T53)*(1+$BR$45))*Faktory!$D$10</f>
        <v>0</v>
      </c>
      <c r="U104" s="262">
        <f t="shared" si="363"/>
        <v>0</v>
      </c>
      <c r="V104" s="298">
        <v>0</v>
      </c>
      <c r="W104" s="299">
        <f>(V74+X74/2)*((V53-W53)*(1+$BR$45))*Faktory!$D$10</f>
        <v>0</v>
      </c>
      <c r="X104" s="262">
        <f t="shared" si="364"/>
        <v>0</v>
      </c>
      <c r="Y104" s="298">
        <v>0</v>
      </c>
      <c r="Z104" s="299">
        <f>(Y74+AA74/2)*((Y53-Z53)*(1+$BR$45))*Faktory!$D$10</f>
        <v>0</v>
      </c>
      <c r="AA104" s="262">
        <f t="shared" si="365"/>
        <v>0</v>
      </c>
      <c r="AB104" s="298">
        <v>0</v>
      </c>
      <c r="AC104" s="299">
        <f>(AB74+AD74/2)*((AB53-AC53)*(1+$BR$45))*Faktory!$D$10</f>
        <v>0</v>
      </c>
      <c r="AD104" s="262">
        <f t="shared" si="366"/>
        <v>0</v>
      </c>
      <c r="AE104" s="298">
        <v>0</v>
      </c>
      <c r="AF104" s="299">
        <f>(AE74+AG74/2)*((AE53-AF53)*(1+$BR$45))*Faktory!$D$10</f>
        <v>0</v>
      </c>
      <c r="AG104" s="262">
        <f t="shared" si="367"/>
        <v>0</v>
      </c>
      <c r="AH104" s="298">
        <v>0</v>
      </c>
      <c r="AI104" s="299">
        <f>(AH74+AJ74/2)*((AH53-AI53)*(1+$BR$45))*Faktory!$D$10</f>
        <v>0</v>
      </c>
      <c r="AJ104" s="262">
        <f t="shared" si="368"/>
        <v>0</v>
      </c>
      <c r="AK104" s="298">
        <v>0</v>
      </c>
      <c r="AL104" s="299">
        <f>(AK74+AM74/2)*((AK53-AL53)*(1+$BR$45))*Faktory!$D$10</f>
        <v>0</v>
      </c>
      <c r="AM104" s="262">
        <f t="shared" si="369"/>
        <v>0</v>
      </c>
      <c r="AN104" s="298">
        <v>0</v>
      </c>
      <c r="AO104" s="299">
        <f>(AN74+AP74/2)*((AN53-AO53)*(1+$BR$45))*Faktory!$D$10</f>
        <v>0</v>
      </c>
      <c r="AP104" s="262">
        <f t="shared" si="370"/>
        <v>0</v>
      </c>
      <c r="AQ104" s="298">
        <v>0</v>
      </c>
      <c r="AR104" s="299">
        <f>(AQ74+AS74/2)*((AQ53-AR53)*(1+$BR$45))*Faktory!$D$10</f>
        <v>0</v>
      </c>
      <c r="AS104" s="262">
        <f t="shared" si="371"/>
        <v>0</v>
      </c>
      <c r="AT104" s="298">
        <v>0</v>
      </c>
      <c r="AU104" s="299">
        <f>(AT74+AV74/2)*((AT53-AU53)*(1+$BR$45))*Faktory!$D$10</f>
        <v>0</v>
      </c>
      <c r="AV104" s="262">
        <f t="shared" si="372"/>
        <v>0</v>
      </c>
      <c r="AW104" s="298">
        <v>0</v>
      </c>
      <c r="AX104" s="299">
        <f>(AW74+AY74/2)*((AW53-AX53)*(1+$BR$45))*Faktory!$D$10</f>
        <v>0</v>
      </c>
      <c r="AY104" s="262">
        <f t="shared" si="373"/>
        <v>0</v>
      </c>
      <c r="AZ104" s="298">
        <v>0</v>
      </c>
      <c r="BA104" s="299">
        <f>(AZ74+BB74/2)*((AZ53-BA53)*(1+$BR$45))*Faktory!$D$10</f>
        <v>0</v>
      </c>
      <c r="BB104" s="262">
        <f t="shared" si="374"/>
        <v>0</v>
      </c>
      <c r="BC104" s="298">
        <v>0</v>
      </c>
      <c r="BD104" s="299">
        <f>(BC74+BE74/2)*((BC53-BD53)*(1+$BR$45))*Faktory!$D$10</f>
        <v>0</v>
      </c>
      <c r="BE104" s="262">
        <f t="shared" si="375"/>
        <v>0</v>
      </c>
      <c r="BF104" s="298">
        <v>0</v>
      </c>
      <c r="BG104" s="299">
        <f>(BF74+BH74/2)*((BF53-BG53)*(1+$BR$45))*Faktory!$D$10</f>
        <v>0</v>
      </c>
      <c r="BH104" s="262">
        <f t="shared" si="376"/>
        <v>0</v>
      </c>
      <c r="BI104" s="298">
        <v>0</v>
      </c>
      <c r="BJ104" s="299">
        <f>(BI74+BK74/2)*((BI53-BJ53)*(1+$BR$45))*Faktory!$D$10</f>
        <v>0</v>
      </c>
      <c r="BK104" s="262">
        <f t="shared" si="377"/>
        <v>0</v>
      </c>
      <c r="BL104" s="298">
        <v>0</v>
      </c>
      <c r="BM104" s="299">
        <f>(BL74+BN74/2)*((BL53-BM53)*(1+$BR$45))*Faktory!$D$10</f>
        <v>0</v>
      </c>
      <c r="BN104" s="262">
        <f t="shared" si="378"/>
        <v>0</v>
      </c>
      <c r="BO104" s="298">
        <v>0</v>
      </c>
      <c r="BP104" s="299">
        <f>(BO74+BQ74/2)*((BO53-BP53)*(1+$BR$45))*Faktory!$D$10</f>
        <v>0</v>
      </c>
      <c r="BQ104" s="262">
        <f t="shared" si="379"/>
        <v>0</v>
      </c>
    </row>
    <row r="105" spans="1:69" ht="15.75" thickBot="1">
      <c r="A105" s="836"/>
      <c r="B105" s="838"/>
      <c r="C105" s="300" t="s">
        <v>34</v>
      </c>
      <c r="D105" s="301">
        <f t="shared" si="358"/>
        <v>0</v>
      </c>
      <c r="E105" s="302">
        <f t="shared" si="161"/>
        <v>0</v>
      </c>
      <c r="F105" s="303">
        <f t="shared" si="162"/>
        <v>0</v>
      </c>
      <c r="G105" s="304">
        <v>0</v>
      </c>
      <c r="H105" s="305">
        <f>(G75+I75/2)*((G54-H54)*(1+$BR$45))*Faktory!$D$10</f>
        <v>0</v>
      </c>
      <c r="I105" s="267">
        <f t="shared" si="359"/>
        <v>0</v>
      </c>
      <c r="J105" s="304">
        <v>0</v>
      </c>
      <c r="K105" s="305">
        <f>(J75+L75/2)*((J54-K54)*(1+$BR$45))*Faktory!$D$10</f>
        <v>0</v>
      </c>
      <c r="L105" s="267">
        <f t="shared" si="360"/>
        <v>0</v>
      </c>
      <c r="M105" s="304">
        <v>0</v>
      </c>
      <c r="N105" s="305">
        <f>(M75+O75/2)*((M54-N54)*(1+$BR$45))*Faktory!$D$10</f>
        <v>0</v>
      </c>
      <c r="O105" s="267">
        <f t="shared" si="361"/>
        <v>0</v>
      </c>
      <c r="P105" s="304">
        <v>0</v>
      </c>
      <c r="Q105" s="305">
        <f>(P75+R75/2)*((P54-Q54)*(1+$BR$45))*Faktory!$D$10</f>
        <v>0</v>
      </c>
      <c r="R105" s="267">
        <f t="shared" si="362"/>
        <v>0</v>
      </c>
      <c r="S105" s="304">
        <v>0</v>
      </c>
      <c r="T105" s="305">
        <f>(S75+U75/2)*((S54-T54)*(1+$BR$45))*Faktory!$D$10</f>
        <v>0</v>
      </c>
      <c r="U105" s="267">
        <f t="shared" si="363"/>
        <v>0</v>
      </c>
      <c r="V105" s="304">
        <v>0</v>
      </c>
      <c r="W105" s="305">
        <f>(V75+X75/2)*((V54-W54)*(1+$BR$45))*Faktory!$D$10</f>
        <v>0</v>
      </c>
      <c r="X105" s="267">
        <f t="shared" si="364"/>
        <v>0</v>
      </c>
      <c r="Y105" s="304">
        <v>0</v>
      </c>
      <c r="Z105" s="305">
        <f>(Y75+AA75/2)*((Y54-Z54)*(1+$BR$45))*Faktory!$D$10</f>
        <v>0</v>
      </c>
      <c r="AA105" s="267">
        <f t="shared" si="365"/>
        <v>0</v>
      </c>
      <c r="AB105" s="304">
        <v>0</v>
      </c>
      <c r="AC105" s="305">
        <f>(AB75+AD75/2)*((AB54-AC54)*(1+$BR$45))*Faktory!$D$10</f>
        <v>0</v>
      </c>
      <c r="AD105" s="267">
        <f t="shared" si="366"/>
        <v>0</v>
      </c>
      <c r="AE105" s="304">
        <v>0</v>
      </c>
      <c r="AF105" s="305">
        <f>(AE75+AG75/2)*((AE54-AF54)*(1+$BR$45))*Faktory!$D$10</f>
        <v>0</v>
      </c>
      <c r="AG105" s="267">
        <f t="shared" si="367"/>
        <v>0</v>
      </c>
      <c r="AH105" s="304">
        <v>0</v>
      </c>
      <c r="AI105" s="305">
        <f>(AH75+AJ75/2)*((AH54-AI54)*(1+$BR$45))*Faktory!$D$10</f>
        <v>0</v>
      </c>
      <c r="AJ105" s="267">
        <f t="shared" si="368"/>
        <v>0</v>
      </c>
      <c r="AK105" s="304">
        <v>0</v>
      </c>
      <c r="AL105" s="305">
        <f>(AK75+AM75/2)*((AK54-AL54)*(1+$BR$45))*Faktory!$D$10</f>
        <v>0</v>
      </c>
      <c r="AM105" s="267">
        <f t="shared" si="369"/>
        <v>0</v>
      </c>
      <c r="AN105" s="304">
        <v>0</v>
      </c>
      <c r="AO105" s="305">
        <f>(AN75+AP75/2)*((AN54-AO54)*(1+$BR$45))*Faktory!$D$10</f>
        <v>0</v>
      </c>
      <c r="AP105" s="267">
        <f t="shared" si="370"/>
        <v>0</v>
      </c>
      <c r="AQ105" s="304">
        <v>0</v>
      </c>
      <c r="AR105" s="305">
        <f>(AQ75+AS75/2)*((AQ54-AR54)*(1+$BR$45))*Faktory!$D$10</f>
        <v>0</v>
      </c>
      <c r="AS105" s="267">
        <f t="shared" si="371"/>
        <v>0</v>
      </c>
      <c r="AT105" s="304">
        <v>0</v>
      </c>
      <c r="AU105" s="305">
        <f>(AT75+AV75/2)*((AT54-AU54)*(1+$BR$45))*Faktory!$D$10</f>
        <v>0</v>
      </c>
      <c r="AV105" s="267">
        <f t="shared" si="372"/>
        <v>0</v>
      </c>
      <c r="AW105" s="304">
        <v>0</v>
      </c>
      <c r="AX105" s="305">
        <f>(AW75+AY75/2)*((AW54-AX54)*(1+$BR$45))*Faktory!$D$10</f>
        <v>0</v>
      </c>
      <c r="AY105" s="267">
        <f t="shared" si="373"/>
        <v>0</v>
      </c>
      <c r="AZ105" s="304">
        <v>0</v>
      </c>
      <c r="BA105" s="305">
        <f>(AZ75+BB75/2)*((AZ54-BA54)*(1+$BR$45))*Faktory!$D$10</f>
        <v>0</v>
      </c>
      <c r="BB105" s="267">
        <f t="shared" si="374"/>
        <v>0</v>
      </c>
      <c r="BC105" s="304">
        <v>0</v>
      </c>
      <c r="BD105" s="305">
        <f>(BC75+BE75/2)*((BC54-BD54)*(1+$BR$45))*Faktory!$D$10</f>
        <v>0</v>
      </c>
      <c r="BE105" s="267">
        <f t="shared" si="375"/>
        <v>0</v>
      </c>
      <c r="BF105" s="304">
        <v>0</v>
      </c>
      <c r="BG105" s="305">
        <f>(BF75+BH75/2)*((BF54-BG54)*(1+$BR$45))*Faktory!$D$10</f>
        <v>0</v>
      </c>
      <c r="BH105" s="267">
        <f t="shared" si="376"/>
        <v>0</v>
      </c>
      <c r="BI105" s="304">
        <v>0</v>
      </c>
      <c r="BJ105" s="305">
        <f>(BI75+BK75/2)*((BI54-BJ54)*(1+$BR$45))*Faktory!$D$10</f>
        <v>0</v>
      </c>
      <c r="BK105" s="267">
        <f t="shared" si="377"/>
        <v>0</v>
      </c>
      <c r="BL105" s="304">
        <v>0</v>
      </c>
      <c r="BM105" s="305">
        <f>(BL75+BN75/2)*((BL54-BM54)*(1+$BR$45))*Faktory!$D$10</f>
        <v>0</v>
      </c>
      <c r="BN105" s="267">
        <f t="shared" si="378"/>
        <v>0</v>
      </c>
      <c r="BO105" s="304">
        <v>0</v>
      </c>
      <c r="BP105" s="305">
        <f>(BO75+BQ75/2)*((BO54-BP54)*(1+$BR$45))*Faktory!$D$10</f>
        <v>0</v>
      </c>
      <c r="BQ105" s="267">
        <f t="shared" si="379"/>
        <v>0</v>
      </c>
    </row>
    <row r="106" spans="1:69">
      <c r="A106" s="835" t="s">
        <v>149</v>
      </c>
      <c r="B106" s="837" t="s">
        <v>13</v>
      </c>
      <c r="C106" s="290" t="s">
        <v>25</v>
      </c>
      <c r="D106" s="291">
        <f t="shared" si="358"/>
        <v>0</v>
      </c>
      <c r="E106" s="292">
        <f t="shared" si="161"/>
        <v>0</v>
      </c>
      <c r="F106" s="293">
        <f>E106-D106</f>
        <v>0</v>
      </c>
      <c r="G106" s="306">
        <f t="shared" ref="G106:H115" si="380">G5*G15</f>
        <v>0</v>
      </c>
      <c r="H106" s="307">
        <f t="shared" si="380"/>
        <v>0</v>
      </c>
      <c r="I106" s="257">
        <f>H106-G106</f>
        <v>0</v>
      </c>
      <c r="J106" s="306">
        <f t="shared" ref="J106:K106" si="381">J5*J15</f>
        <v>0</v>
      </c>
      <c r="K106" s="307">
        <f t="shared" si="381"/>
        <v>0</v>
      </c>
      <c r="L106" s="257">
        <f>K106-J106</f>
        <v>0</v>
      </c>
      <c r="M106" s="306">
        <f t="shared" ref="M106:N106" si="382">M5*M15</f>
        <v>0</v>
      </c>
      <c r="N106" s="307">
        <f t="shared" si="382"/>
        <v>0</v>
      </c>
      <c r="O106" s="257">
        <f>N106-M106</f>
        <v>0</v>
      </c>
      <c r="P106" s="306">
        <f t="shared" ref="P106:Q106" si="383">P5*P15</f>
        <v>0</v>
      </c>
      <c r="Q106" s="307">
        <f t="shared" si="383"/>
        <v>0</v>
      </c>
      <c r="R106" s="257">
        <f t="shared" ref="R106:R115" si="384">Q106-P106</f>
        <v>0</v>
      </c>
      <c r="S106" s="306">
        <f t="shared" ref="S106:T106" si="385">S5*S15</f>
        <v>0</v>
      </c>
      <c r="T106" s="307">
        <f t="shared" si="385"/>
        <v>0</v>
      </c>
      <c r="U106" s="257">
        <f t="shared" ref="U106:U115" si="386">T106-S106</f>
        <v>0</v>
      </c>
      <c r="V106" s="306">
        <f t="shared" ref="V106:W106" si="387">V5*V15</f>
        <v>0</v>
      </c>
      <c r="W106" s="307">
        <f t="shared" si="387"/>
        <v>0</v>
      </c>
      <c r="X106" s="257">
        <f t="shared" ref="X106:X115" si="388">W106-V106</f>
        <v>0</v>
      </c>
      <c r="Y106" s="306">
        <f t="shared" ref="Y106:Z106" si="389">Y5*Y15</f>
        <v>0</v>
      </c>
      <c r="Z106" s="307">
        <f t="shared" si="389"/>
        <v>0</v>
      </c>
      <c r="AA106" s="257">
        <f>Z106-Y106</f>
        <v>0</v>
      </c>
      <c r="AB106" s="306">
        <f t="shared" ref="AB106:AC106" si="390">AB5*AB15</f>
        <v>0</v>
      </c>
      <c r="AC106" s="307">
        <f t="shared" si="390"/>
        <v>0</v>
      </c>
      <c r="AD106" s="257">
        <f>AC106-AB106</f>
        <v>0</v>
      </c>
      <c r="AE106" s="306">
        <f t="shared" ref="AE106:AF106" si="391">AE5*AE15</f>
        <v>0</v>
      </c>
      <c r="AF106" s="307">
        <f t="shared" si="391"/>
        <v>0</v>
      </c>
      <c r="AG106" s="257">
        <f t="shared" ref="AG106:AG115" si="392">AF106-AE106</f>
        <v>0</v>
      </c>
      <c r="AH106" s="306">
        <f t="shared" ref="AH106:AI106" si="393">AH5*AH15</f>
        <v>0</v>
      </c>
      <c r="AI106" s="307">
        <f t="shared" si="393"/>
        <v>0</v>
      </c>
      <c r="AJ106" s="257">
        <f t="shared" ref="AJ106:AJ115" si="394">AI106-AH106</f>
        <v>0</v>
      </c>
      <c r="AK106" s="306">
        <f t="shared" ref="AK106:AL106" si="395">AK5*AK15</f>
        <v>0</v>
      </c>
      <c r="AL106" s="307">
        <f t="shared" si="395"/>
        <v>0</v>
      </c>
      <c r="AM106" s="257">
        <f t="shared" ref="AM106:AM115" si="396">AL106-AK106</f>
        <v>0</v>
      </c>
      <c r="AN106" s="306">
        <f t="shared" ref="AN106:AO106" si="397">AN5*AN15</f>
        <v>0</v>
      </c>
      <c r="AO106" s="307">
        <f t="shared" si="397"/>
        <v>0</v>
      </c>
      <c r="AP106" s="257">
        <f>AO106-AN106</f>
        <v>0</v>
      </c>
      <c r="AQ106" s="306">
        <f t="shared" ref="AQ106:AR106" si="398">AQ5*AQ15</f>
        <v>0</v>
      </c>
      <c r="AR106" s="307">
        <f t="shared" si="398"/>
        <v>0</v>
      </c>
      <c r="AS106" s="257">
        <f>AR106-AQ106</f>
        <v>0</v>
      </c>
      <c r="AT106" s="306">
        <f t="shared" ref="AT106:AU106" si="399">AT5*AT15</f>
        <v>0</v>
      </c>
      <c r="AU106" s="307">
        <f t="shared" si="399"/>
        <v>0</v>
      </c>
      <c r="AV106" s="257">
        <f t="shared" ref="AV106:AV115" si="400">AU106-AT106</f>
        <v>0</v>
      </c>
      <c r="AW106" s="306">
        <f t="shared" ref="AW106:AX106" si="401">AW5*AW15</f>
        <v>0</v>
      </c>
      <c r="AX106" s="307">
        <f t="shared" si="401"/>
        <v>0</v>
      </c>
      <c r="AY106" s="257">
        <f t="shared" ref="AY106:AY115" si="402">AX106-AW106</f>
        <v>0</v>
      </c>
      <c r="AZ106" s="306">
        <f t="shared" ref="AZ106:BA106" si="403">AZ5*AZ15</f>
        <v>0</v>
      </c>
      <c r="BA106" s="307">
        <f t="shared" si="403"/>
        <v>0</v>
      </c>
      <c r="BB106" s="257">
        <f t="shared" ref="BB106:BB115" si="404">BA106-AZ106</f>
        <v>0</v>
      </c>
      <c r="BC106" s="306">
        <f t="shared" ref="BC106:BD106" si="405">BC5*BC15</f>
        <v>0</v>
      </c>
      <c r="BD106" s="307">
        <f t="shared" si="405"/>
        <v>0</v>
      </c>
      <c r="BE106" s="257">
        <f>BD106-BC106</f>
        <v>0</v>
      </c>
      <c r="BF106" s="306">
        <f t="shared" ref="BF106:BG106" si="406">BF5*BF15</f>
        <v>0</v>
      </c>
      <c r="BG106" s="307">
        <f t="shared" si="406"/>
        <v>0</v>
      </c>
      <c r="BH106" s="257">
        <f>BG106-BF106</f>
        <v>0</v>
      </c>
      <c r="BI106" s="306">
        <f t="shared" ref="BI106:BJ115" si="407">BI5*BI15</f>
        <v>0</v>
      </c>
      <c r="BJ106" s="307">
        <f t="shared" si="407"/>
        <v>0</v>
      </c>
      <c r="BK106" s="257">
        <f t="shared" ref="BK106:BK115" si="408">BJ106-BI106</f>
        <v>0</v>
      </c>
      <c r="BL106" s="306">
        <f t="shared" ref="BL106:BM115" si="409">BL5*BL15</f>
        <v>0</v>
      </c>
      <c r="BM106" s="307">
        <f t="shared" si="409"/>
        <v>0</v>
      </c>
      <c r="BN106" s="257">
        <f t="shared" ref="BN106:BN115" si="410">BM106-BL106</f>
        <v>0</v>
      </c>
      <c r="BO106" s="306">
        <f t="shared" ref="BO106:BP115" si="411">BO5*BO15</f>
        <v>0</v>
      </c>
      <c r="BP106" s="307">
        <f t="shared" si="411"/>
        <v>0</v>
      </c>
      <c r="BQ106" s="257">
        <f t="shared" ref="BQ106:BQ115" si="412">BP106-BO106</f>
        <v>0</v>
      </c>
    </row>
    <row r="107" spans="1:69">
      <c r="A107" s="835"/>
      <c r="B107" s="837"/>
      <c r="C107" s="290" t="s">
        <v>26</v>
      </c>
      <c r="D107" s="291">
        <f t="shared" si="358"/>
        <v>0</v>
      </c>
      <c r="E107" s="292">
        <f t="shared" si="161"/>
        <v>0</v>
      </c>
      <c r="F107" s="293">
        <f t="shared" ref="F107:F115" si="413">E107-D107</f>
        <v>0</v>
      </c>
      <c r="G107" s="298">
        <f t="shared" si="380"/>
        <v>0</v>
      </c>
      <c r="H107" s="299">
        <f t="shared" si="380"/>
        <v>0</v>
      </c>
      <c r="I107" s="262">
        <f t="shared" ref="I107:I115" si="414">H107-G107</f>
        <v>0</v>
      </c>
      <c r="J107" s="298">
        <f t="shared" ref="J107:K107" si="415">J6*J16</f>
        <v>0</v>
      </c>
      <c r="K107" s="299">
        <f t="shared" si="415"/>
        <v>0</v>
      </c>
      <c r="L107" s="262">
        <f t="shared" ref="L107:L115" si="416">K107-J107</f>
        <v>0</v>
      </c>
      <c r="M107" s="298">
        <f t="shared" ref="M107:N107" si="417">M6*M16</f>
        <v>0</v>
      </c>
      <c r="N107" s="299">
        <f t="shared" si="417"/>
        <v>0</v>
      </c>
      <c r="O107" s="262">
        <f t="shared" ref="O107:O115" si="418">N107-M107</f>
        <v>0</v>
      </c>
      <c r="P107" s="298">
        <f t="shared" ref="P107:Q107" si="419">P6*P16</f>
        <v>0</v>
      </c>
      <c r="Q107" s="299">
        <f t="shared" si="419"/>
        <v>0</v>
      </c>
      <c r="R107" s="262">
        <f t="shared" si="384"/>
        <v>0</v>
      </c>
      <c r="S107" s="298">
        <f t="shared" ref="S107:T107" si="420">S6*S16</f>
        <v>0</v>
      </c>
      <c r="T107" s="299">
        <f t="shared" si="420"/>
        <v>0</v>
      </c>
      <c r="U107" s="262">
        <f t="shared" si="386"/>
        <v>0</v>
      </c>
      <c r="V107" s="298">
        <f t="shared" ref="V107:W107" si="421">V6*V16</f>
        <v>0</v>
      </c>
      <c r="W107" s="299">
        <f t="shared" si="421"/>
        <v>0</v>
      </c>
      <c r="X107" s="262">
        <f t="shared" si="388"/>
        <v>0</v>
      </c>
      <c r="Y107" s="298">
        <f t="shared" ref="Y107:Z107" si="422">Y6*Y16</f>
        <v>0</v>
      </c>
      <c r="Z107" s="299">
        <f t="shared" si="422"/>
        <v>0</v>
      </c>
      <c r="AA107" s="262">
        <f t="shared" ref="AA107:AA115" si="423">Z107-Y107</f>
        <v>0</v>
      </c>
      <c r="AB107" s="298">
        <f t="shared" ref="AB107:AC107" si="424">AB6*AB16</f>
        <v>0</v>
      </c>
      <c r="AC107" s="299">
        <f t="shared" si="424"/>
        <v>0</v>
      </c>
      <c r="AD107" s="262">
        <f t="shared" ref="AD107:AD115" si="425">AC107-AB107</f>
        <v>0</v>
      </c>
      <c r="AE107" s="298">
        <f t="shared" ref="AE107:AF107" si="426">AE6*AE16</f>
        <v>0</v>
      </c>
      <c r="AF107" s="299">
        <f t="shared" si="426"/>
        <v>0</v>
      </c>
      <c r="AG107" s="262">
        <f t="shared" si="392"/>
        <v>0</v>
      </c>
      <c r="AH107" s="298">
        <f t="shared" ref="AH107:AI107" si="427">AH6*AH16</f>
        <v>0</v>
      </c>
      <c r="AI107" s="299">
        <f t="shared" si="427"/>
        <v>0</v>
      </c>
      <c r="AJ107" s="262">
        <f t="shared" si="394"/>
        <v>0</v>
      </c>
      <c r="AK107" s="298">
        <f t="shared" ref="AK107:AL107" si="428">AK6*AK16</f>
        <v>0</v>
      </c>
      <c r="AL107" s="299">
        <f t="shared" si="428"/>
        <v>0</v>
      </c>
      <c r="AM107" s="262">
        <f t="shared" si="396"/>
        <v>0</v>
      </c>
      <c r="AN107" s="298">
        <f t="shared" ref="AN107:AO107" si="429">AN6*AN16</f>
        <v>0</v>
      </c>
      <c r="AO107" s="299">
        <f t="shared" si="429"/>
        <v>0</v>
      </c>
      <c r="AP107" s="262">
        <f t="shared" ref="AP107:AP115" si="430">AO107-AN107</f>
        <v>0</v>
      </c>
      <c r="AQ107" s="298">
        <f t="shared" ref="AQ107:AR107" si="431">AQ6*AQ16</f>
        <v>0</v>
      </c>
      <c r="AR107" s="299">
        <f t="shared" si="431"/>
        <v>0</v>
      </c>
      <c r="AS107" s="262">
        <f t="shared" ref="AS107:AS115" si="432">AR107-AQ107</f>
        <v>0</v>
      </c>
      <c r="AT107" s="298">
        <f t="shared" ref="AT107:AU107" si="433">AT6*AT16</f>
        <v>0</v>
      </c>
      <c r="AU107" s="299">
        <f t="shared" si="433"/>
        <v>0</v>
      </c>
      <c r="AV107" s="262">
        <f t="shared" si="400"/>
        <v>0</v>
      </c>
      <c r="AW107" s="298">
        <f t="shared" ref="AW107:AX107" si="434">AW6*AW16</f>
        <v>0</v>
      </c>
      <c r="AX107" s="299">
        <f t="shared" si="434"/>
        <v>0</v>
      </c>
      <c r="AY107" s="262">
        <f t="shared" si="402"/>
        <v>0</v>
      </c>
      <c r="AZ107" s="298">
        <f t="shared" ref="AZ107:BA107" si="435">AZ6*AZ16</f>
        <v>0</v>
      </c>
      <c r="BA107" s="299">
        <f t="shared" si="435"/>
        <v>0</v>
      </c>
      <c r="BB107" s="262">
        <f t="shared" si="404"/>
        <v>0</v>
      </c>
      <c r="BC107" s="298">
        <f t="shared" ref="BC107:BD107" si="436">BC6*BC16</f>
        <v>0</v>
      </c>
      <c r="BD107" s="299">
        <f t="shared" si="436"/>
        <v>0</v>
      </c>
      <c r="BE107" s="262">
        <f t="shared" ref="BE107:BE115" si="437">BD107-BC107</f>
        <v>0</v>
      </c>
      <c r="BF107" s="298">
        <f t="shared" ref="BF107:BG107" si="438">BF6*BF16</f>
        <v>0</v>
      </c>
      <c r="BG107" s="299">
        <f t="shared" si="438"/>
        <v>0</v>
      </c>
      <c r="BH107" s="262">
        <f t="shared" ref="BH107:BH115" si="439">BG107-BF107</f>
        <v>0</v>
      </c>
      <c r="BI107" s="298">
        <f t="shared" si="407"/>
        <v>0</v>
      </c>
      <c r="BJ107" s="299">
        <f t="shared" si="407"/>
        <v>0</v>
      </c>
      <c r="BK107" s="262">
        <f t="shared" si="408"/>
        <v>0</v>
      </c>
      <c r="BL107" s="298">
        <f t="shared" si="409"/>
        <v>0</v>
      </c>
      <c r="BM107" s="299">
        <f t="shared" si="409"/>
        <v>0</v>
      </c>
      <c r="BN107" s="262">
        <f t="shared" si="410"/>
        <v>0</v>
      </c>
      <c r="BO107" s="298">
        <f t="shared" si="411"/>
        <v>0</v>
      </c>
      <c r="BP107" s="299">
        <f t="shared" si="411"/>
        <v>0</v>
      </c>
      <c r="BQ107" s="262">
        <f t="shared" si="412"/>
        <v>0</v>
      </c>
    </row>
    <row r="108" spans="1:69">
      <c r="A108" s="835"/>
      <c r="B108" s="837"/>
      <c r="C108" s="290" t="s">
        <v>27</v>
      </c>
      <c r="D108" s="291">
        <f t="shared" si="358"/>
        <v>0</v>
      </c>
      <c r="E108" s="292">
        <f t="shared" si="161"/>
        <v>0</v>
      </c>
      <c r="F108" s="293">
        <f t="shared" si="413"/>
        <v>0</v>
      </c>
      <c r="G108" s="298">
        <f t="shared" si="380"/>
        <v>0</v>
      </c>
      <c r="H108" s="299">
        <f t="shared" si="380"/>
        <v>0</v>
      </c>
      <c r="I108" s="262">
        <f t="shared" si="414"/>
        <v>0</v>
      </c>
      <c r="J108" s="298">
        <f t="shared" ref="J108:K108" si="440">J7*J17</f>
        <v>0</v>
      </c>
      <c r="K108" s="299">
        <f t="shared" si="440"/>
        <v>0</v>
      </c>
      <c r="L108" s="262">
        <f t="shared" si="416"/>
        <v>0</v>
      </c>
      <c r="M108" s="298">
        <f t="shared" ref="M108:N108" si="441">M7*M17</f>
        <v>0</v>
      </c>
      <c r="N108" s="299">
        <f t="shared" si="441"/>
        <v>0</v>
      </c>
      <c r="O108" s="262">
        <f t="shared" si="418"/>
        <v>0</v>
      </c>
      <c r="P108" s="298">
        <f t="shared" ref="P108:Q108" si="442">P7*P17</f>
        <v>0</v>
      </c>
      <c r="Q108" s="299">
        <f t="shared" si="442"/>
        <v>0</v>
      </c>
      <c r="R108" s="262">
        <f t="shared" si="384"/>
        <v>0</v>
      </c>
      <c r="S108" s="298">
        <f t="shared" ref="S108:T108" si="443">S7*S17</f>
        <v>0</v>
      </c>
      <c r="T108" s="299">
        <f t="shared" si="443"/>
        <v>0</v>
      </c>
      <c r="U108" s="262">
        <f t="shared" si="386"/>
        <v>0</v>
      </c>
      <c r="V108" s="298">
        <f t="shared" ref="V108:W108" si="444">V7*V17</f>
        <v>0</v>
      </c>
      <c r="W108" s="299">
        <f t="shared" si="444"/>
        <v>0</v>
      </c>
      <c r="X108" s="262">
        <f t="shared" si="388"/>
        <v>0</v>
      </c>
      <c r="Y108" s="298">
        <f t="shared" ref="Y108:Z108" si="445">Y7*Y17</f>
        <v>0</v>
      </c>
      <c r="Z108" s="299">
        <f t="shared" si="445"/>
        <v>0</v>
      </c>
      <c r="AA108" s="262">
        <f t="shared" si="423"/>
        <v>0</v>
      </c>
      <c r="AB108" s="298">
        <f t="shared" ref="AB108:AC108" si="446">AB7*AB17</f>
        <v>0</v>
      </c>
      <c r="AC108" s="299">
        <f t="shared" si="446"/>
        <v>0</v>
      </c>
      <c r="AD108" s="262">
        <f t="shared" si="425"/>
        <v>0</v>
      </c>
      <c r="AE108" s="298">
        <f t="shared" ref="AE108:AF108" si="447">AE7*AE17</f>
        <v>0</v>
      </c>
      <c r="AF108" s="299">
        <f t="shared" si="447"/>
        <v>0</v>
      </c>
      <c r="AG108" s="262">
        <f t="shared" si="392"/>
        <v>0</v>
      </c>
      <c r="AH108" s="298">
        <f t="shared" ref="AH108:AI108" si="448">AH7*AH17</f>
        <v>0</v>
      </c>
      <c r="AI108" s="299">
        <f t="shared" si="448"/>
        <v>0</v>
      </c>
      <c r="AJ108" s="262">
        <f t="shared" si="394"/>
        <v>0</v>
      </c>
      <c r="AK108" s="298">
        <f t="shared" ref="AK108:AL108" si="449">AK7*AK17</f>
        <v>0</v>
      </c>
      <c r="AL108" s="299">
        <f t="shared" si="449"/>
        <v>0</v>
      </c>
      <c r="AM108" s="262">
        <f t="shared" si="396"/>
        <v>0</v>
      </c>
      <c r="AN108" s="298">
        <f t="shared" ref="AN108:AO108" si="450">AN7*AN17</f>
        <v>0</v>
      </c>
      <c r="AO108" s="299">
        <f t="shared" si="450"/>
        <v>0</v>
      </c>
      <c r="AP108" s="262">
        <f t="shared" si="430"/>
        <v>0</v>
      </c>
      <c r="AQ108" s="298">
        <f t="shared" ref="AQ108:AR108" si="451">AQ7*AQ17</f>
        <v>0</v>
      </c>
      <c r="AR108" s="299">
        <f t="shared" si="451"/>
        <v>0</v>
      </c>
      <c r="AS108" s="262">
        <f t="shared" si="432"/>
        <v>0</v>
      </c>
      <c r="AT108" s="298">
        <f t="shared" ref="AT108:AU108" si="452">AT7*AT17</f>
        <v>0</v>
      </c>
      <c r="AU108" s="299">
        <f t="shared" si="452"/>
        <v>0</v>
      </c>
      <c r="AV108" s="262">
        <f t="shared" si="400"/>
        <v>0</v>
      </c>
      <c r="AW108" s="298">
        <f t="shared" ref="AW108:AX108" si="453">AW7*AW17</f>
        <v>0</v>
      </c>
      <c r="AX108" s="299">
        <f t="shared" si="453"/>
        <v>0</v>
      </c>
      <c r="AY108" s="262">
        <f t="shared" si="402"/>
        <v>0</v>
      </c>
      <c r="AZ108" s="298">
        <f t="shared" ref="AZ108:BA108" si="454">AZ7*AZ17</f>
        <v>0</v>
      </c>
      <c r="BA108" s="299">
        <f t="shared" si="454"/>
        <v>0</v>
      </c>
      <c r="BB108" s="262">
        <f t="shared" si="404"/>
        <v>0</v>
      </c>
      <c r="BC108" s="298">
        <f t="shared" ref="BC108:BD108" si="455">BC7*BC17</f>
        <v>0</v>
      </c>
      <c r="BD108" s="299">
        <f t="shared" si="455"/>
        <v>0</v>
      </c>
      <c r="BE108" s="262">
        <f t="shared" si="437"/>
        <v>0</v>
      </c>
      <c r="BF108" s="298">
        <f t="shared" ref="BF108:BG108" si="456">BF7*BF17</f>
        <v>0</v>
      </c>
      <c r="BG108" s="299">
        <f t="shared" si="456"/>
        <v>0</v>
      </c>
      <c r="BH108" s="262">
        <f t="shared" si="439"/>
        <v>0</v>
      </c>
      <c r="BI108" s="298">
        <f t="shared" si="407"/>
        <v>0</v>
      </c>
      <c r="BJ108" s="299">
        <f t="shared" si="407"/>
        <v>0</v>
      </c>
      <c r="BK108" s="262">
        <f t="shared" si="408"/>
        <v>0</v>
      </c>
      <c r="BL108" s="298">
        <f t="shared" si="409"/>
        <v>0</v>
      </c>
      <c r="BM108" s="299">
        <f t="shared" si="409"/>
        <v>0</v>
      </c>
      <c r="BN108" s="262">
        <f t="shared" si="410"/>
        <v>0</v>
      </c>
      <c r="BO108" s="298">
        <f t="shared" si="411"/>
        <v>0</v>
      </c>
      <c r="BP108" s="299">
        <f t="shared" si="411"/>
        <v>0</v>
      </c>
      <c r="BQ108" s="262">
        <f t="shared" si="412"/>
        <v>0</v>
      </c>
    </row>
    <row r="109" spans="1:69">
      <c r="A109" s="835"/>
      <c r="B109" s="837"/>
      <c r="C109" s="290" t="s">
        <v>28</v>
      </c>
      <c r="D109" s="291">
        <f t="shared" si="358"/>
        <v>0</v>
      </c>
      <c r="E109" s="292">
        <f t="shared" si="161"/>
        <v>0</v>
      </c>
      <c r="F109" s="293">
        <f t="shared" si="413"/>
        <v>0</v>
      </c>
      <c r="G109" s="298">
        <f t="shared" si="380"/>
        <v>0</v>
      </c>
      <c r="H109" s="299">
        <f t="shared" si="380"/>
        <v>0</v>
      </c>
      <c r="I109" s="262">
        <f t="shared" si="414"/>
        <v>0</v>
      </c>
      <c r="J109" s="298">
        <f t="shared" ref="J109:K109" si="457">J8*J18</f>
        <v>0</v>
      </c>
      <c r="K109" s="299">
        <f t="shared" si="457"/>
        <v>0</v>
      </c>
      <c r="L109" s="262">
        <f t="shared" si="416"/>
        <v>0</v>
      </c>
      <c r="M109" s="298">
        <f t="shared" ref="M109:N109" si="458">M8*M18</f>
        <v>0</v>
      </c>
      <c r="N109" s="299">
        <f t="shared" si="458"/>
        <v>0</v>
      </c>
      <c r="O109" s="262">
        <f t="shared" si="418"/>
        <v>0</v>
      </c>
      <c r="P109" s="298">
        <f t="shared" ref="P109:Q109" si="459">P8*P18</f>
        <v>0</v>
      </c>
      <c r="Q109" s="299">
        <f t="shared" si="459"/>
        <v>0</v>
      </c>
      <c r="R109" s="262">
        <f t="shared" si="384"/>
        <v>0</v>
      </c>
      <c r="S109" s="298">
        <f t="shared" ref="S109:T109" si="460">S8*S18</f>
        <v>0</v>
      </c>
      <c r="T109" s="299">
        <f t="shared" si="460"/>
        <v>0</v>
      </c>
      <c r="U109" s="262">
        <f t="shared" si="386"/>
        <v>0</v>
      </c>
      <c r="V109" s="298">
        <f t="shared" ref="V109:W109" si="461">V8*V18</f>
        <v>0</v>
      </c>
      <c r="W109" s="299">
        <f t="shared" si="461"/>
        <v>0</v>
      </c>
      <c r="X109" s="262">
        <f t="shared" si="388"/>
        <v>0</v>
      </c>
      <c r="Y109" s="298">
        <f t="shared" ref="Y109:Z109" si="462">Y8*Y18</f>
        <v>0</v>
      </c>
      <c r="Z109" s="299">
        <f t="shared" si="462"/>
        <v>0</v>
      </c>
      <c r="AA109" s="262">
        <f t="shared" si="423"/>
        <v>0</v>
      </c>
      <c r="AB109" s="298">
        <f t="shared" ref="AB109:AC109" si="463">AB8*AB18</f>
        <v>0</v>
      </c>
      <c r="AC109" s="299">
        <f t="shared" si="463"/>
        <v>0</v>
      </c>
      <c r="AD109" s="262">
        <f t="shared" si="425"/>
        <v>0</v>
      </c>
      <c r="AE109" s="298">
        <f t="shared" ref="AE109:AF109" si="464">AE8*AE18</f>
        <v>0</v>
      </c>
      <c r="AF109" s="299">
        <f t="shared" si="464"/>
        <v>0</v>
      </c>
      <c r="AG109" s="262">
        <f t="shared" si="392"/>
        <v>0</v>
      </c>
      <c r="AH109" s="298">
        <f t="shared" ref="AH109:AI109" si="465">AH8*AH18</f>
        <v>0</v>
      </c>
      <c r="AI109" s="299">
        <f t="shared" si="465"/>
        <v>0</v>
      </c>
      <c r="AJ109" s="262">
        <f t="shared" si="394"/>
        <v>0</v>
      </c>
      <c r="AK109" s="298">
        <f t="shared" ref="AK109:AL109" si="466">AK8*AK18</f>
        <v>0</v>
      </c>
      <c r="AL109" s="299">
        <f t="shared" si="466"/>
        <v>0</v>
      </c>
      <c r="AM109" s="262">
        <f t="shared" si="396"/>
        <v>0</v>
      </c>
      <c r="AN109" s="298">
        <f t="shared" ref="AN109:AO109" si="467">AN8*AN18</f>
        <v>0</v>
      </c>
      <c r="AO109" s="299">
        <f t="shared" si="467"/>
        <v>0</v>
      </c>
      <c r="AP109" s="262">
        <f t="shared" si="430"/>
        <v>0</v>
      </c>
      <c r="AQ109" s="298">
        <f t="shared" ref="AQ109:AR109" si="468">AQ8*AQ18</f>
        <v>0</v>
      </c>
      <c r="AR109" s="299">
        <f t="shared" si="468"/>
        <v>0</v>
      </c>
      <c r="AS109" s="262">
        <f t="shared" si="432"/>
        <v>0</v>
      </c>
      <c r="AT109" s="298">
        <f t="shared" ref="AT109:AU109" si="469">AT8*AT18</f>
        <v>0</v>
      </c>
      <c r="AU109" s="299">
        <f t="shared" si="469"/>
        <v>0</v>
      </c>
      <c r="AV109" s="262">
        <f t="shared" si="400"/>
        <v>0</v>
      </c>
      <c r="AW109" s="298">
        <f t="shared" ref="AW109:AX109" si="470">AW8*AW18</f>
        <v>0</v>
      </c>
      <c r="AX109" s="299">
        <f t="shared" si="470"/>
        <v>0</v>
      </c>
      <c r="AY109" s="262">
        <f t="shared" si="402"/>
        <v>0</v>
      </c>
      <c r="AZ109" s="298">
        <f t="shared" ref="AZ109:BA109" si="471">AZ8*AZ18</f>
        <v>0</v>
      </c>
      <c r="BA109" s="299">
        <f t="shared" si="471"/>
        <v>0</v>
      </c>
      <c r="BB109" s="262">
        <f t="shared" si="404"/>
        <v>0</v>
      </c>
      <c r="BC109" s="298">
        <f t="shared" ref="BC109:BD109" si="472">BC8*BC18</f>
        <v>0</v>
      </c>
      <c r="BD109" s="299">
        <f t="shared" si="472"/>
        <v>0</v>
      </c>
      <c r="BE109" s="262">
        <f t="shared" si="437"/>
        <v>0</v>
      </c>
      <c r="BF109" s="298">
        <f t="shared" ref="BF109:BG109" si="473">BF8*BF18</f>
        <v>0</v>
      </c>
      <c r="BG109" s="299">
        <f t="shared" si="473"/>
        <v>0</v>
      </c>
      <c r="BH109" s="262">
        <f t="shared" si="439"/>
        <v>0</v>
      </c>
      <c r="BI109" s="298">
        <f t="shared" si="407"/>
        <v>0</v>
      </c>
      <c r="BJ109" s="299">
        <f t="shared" si="407"/>
        <v>0</v>
      </c>
      <c r="BK109" s="262">
        <f t="shared" si="408"/>
        <v>0</v>
      </c>
      <c r="BL109" s="298">
        <f t="shared" si="409"/>
        <v>0</v>
      </c>
      <c r="BM109" s="299">
        <f t="shared" si="409"/>
        <v>0</v>
      </c>
      <c r="BN109" s="262">
        <f t="shared" si="410"/>
        <v>0</v>
      </c>
      <c r="BO109" s="298">
        <f t="shared" si="411"/>
        <v>0</v>
      </c>
      <c r="BP109" s="299">
        <f t="shared" si="411"/>
        <v>0</v>
      </c>
      <c r="BQ109" s="262">
        <f t="shared" si="412"/>
        <v>0</v>
      </c>
    </row>
    <row r="110" spans="1:69">
      <c r="A110" s="835"/>
      <c r="B110" s="837"/>
      <c r="C110" s="290" t="s">
        <v>29</v>
      </c>
      <c r="D110" s="291">
        <f t="shared" si="358"/>
        <v>0</v>
      </c>
      <c r="E110" s="292">
        <f t="shared" si="161"/>
        <v>0</v>
      </c>
      <c r="F110" s="293">
        <f t="shared" si="413"/>
        <v>0</v>
      </c>
      <c r="G110" s="298">
        <f t="shared" si="380"/>
        <v>0</v>
      </c>
      <c r="H110" s="299">
        <f t="shared" si="380"/>
        <v>0</v>
      </c>
      <c r="I110" s="262">
        <f t="shared" si="414"/>
        <v>0</v>
      </c>
      <c r="J110" s="298">
        <f t="shared" ref="J110:K110" si="474">J9*J19</f>
        <v>0</v>
      </c>
      <c r="K110" s="299">
        <f t="shared" si="474"/>
        <v>0</v>
      </c>
      <c r="L110" s="262">
        <f t="shared" si="416"/>
        <v>0</v>
      </c>
      <c r="M110" s="298">
        <f t="shared" ref="M110:N110" si="475">M9*M19</f>
        <v>0</v>
      </c>
      <c r="N110" s="299">
        <f t="shared" si="475"/>
        <v>0</v>
      </c>
      <c r="O110" s="262">
        <f t="shared" si="418"/>
        <v>0</v>
      </c>
      <c r="P110" s="298">
        <f t="shared" ref="P110:Q110" si="476">P9*P19</f>
        <v>0</v>
      </c>
      <c r="Q110" s="299">
        <f t="shared" si="476"/>
        <v>0</v>
      </c>
      <c r="R110" s="262">
        <f t="shared" si="384"/>
        <v>0</v>
      </c>
      <c r="S110" s="298">
        <f t="shared" ref="S110:T110" si="477">S9*S19</f>
        <v>0</v>
      </c>
      <c r="T110" s="299">
        <f t="shared" si="477"/>
        <v>0</v>
      </c>
      <c r="U110" s="262">
        <f t="shared" si="386"/>
        <v>0</v>
      </c>
      <c r="V110" s="298">
        <f t="shared" ref="V110:W110" si="478">V9*V19</f>
        <v>0</v>
      </c>
      <c r="W110" s="299">
        <f t="shared" si="478"/>
        <v>0</v>
      </c>
      <c r="X110" s="262">
        <f t="shared" si="388"/>
        <v>0</v>
      </c>
      <c r="Y110" s="298">
        <f t="shared" ref="Y110:Z110" si="479">Y9*Y19</f>
        <v>0</v>
      </c>
      <c r="Z110" s="299">
        <f t="shared" si="479"/>
        <v>0</v>
      </c>
      <c r="AA110" s="262">
        <f t="shared" si="423"/>
        <v>0</v>
      </c>
      <c r="AB110" s="298">
        <f t="shared" ref="AB110:AC110" si="480">AB9*AB19</f>
        <v>0</v>
      </c>
      <c r="AC110" s="299">
        <f t="shared" si="480"/>
        <v>0</v>
      </c>
      <c r="AD110" s="262">
        <f t="shared" si="425"/>
        <v>0</v>
      </c>
      <c r="AE110" s="298">
        <f t="shared" ref="AE110:AF110" si="481">AE9*AE19</f>
        <v>0</v>
      </c>
      <c r="AF110" s="299">
        <f t="shared" si="481"/>
        <v>0</v>
      </c>
      <c r="AG110" s="262">
        <f t="shared" si="392"/>
        <v>0</v>
      </c>
      <c r="AH110" s="298">
        <f t="shared" ref="AH110:AI110" si="482">AH9*AH19</f>
        <v>0</v>
      </c>
      <c r="AI110" s="299">
        <f t="shared" si="482"/>
        <v>0</v>
      </c>
      <c r="AJ110" s="262">
        <f t="shared" si="394"/>
        <v>0</v>
      </c>
      <c r="AK110" s="298">
        <f t="shared" ref="AK110:AL110" si="483">AK9*AK19</f>
        <v>0</v>
      </c>
      <c r="AL110" s="299">
        <f t="shared" si="483"/>
        <v>0</v>
      </c>
      <c r="AM110" s="262">
        <f t="shared" si="396"/>
        <v>0</v>
      </c>
      <c r="AN110" s="298">
        <f t="shared" ref="AN110:AO110" si="484">AN9*AN19</f>
        <v>0</v>
      </c>
      <c r="AO110" s="299">
        <f t="shared" si="484"/>
        <v>0</v>
      </c>
      <c r="AP110" s="262">
        <f t="shared" si="430"/>
        <v>0</v>
      </c>
      <c r="AQ110" s="298">
        <f t="shared" ref="AQ110:AR110" si="485">AQ9*AQ19</f>
        <v>0</v>
      </c>
      <c r="AR110" s="299">
        <f t="shared" si="485"/>
        <v>0</v>
      </c>
      <c r="AS110" s="262">
        <f t="shared" si="432"/>
        <v>0</v>
      </c>
      <c r="AT110" s="298">
        <f t="shared" ref="AT110:AU110" si="486">AT9*AT19</f>
        <v>0</v>
      </c>
      <c r="AU110" s="299">
        <f t="shared" si="486"/>
        <v>0</v>
      </c>
      <c r="AV110" s="262">
        <f t="shared" si="400"/>
        <v>0</v>
      </c>
      <c r="AW110" s="298">
        <f t="shared" ref="AW110:AX110" si="487">AW9*AW19</f>
        <v>0</v>
      </c>
      <c r="AX110" s="299">
        <f t="shared" si="487"/>
        <v>0</v>
      </c>
      <c r="AY110" s="262">
        <f t="shared" si="402"/>
        <v>0</v>
      </c>
      <c r="AZ110" s="298">
        <f t="shared" ref="AZ110:BA110" si="488">AZ9*AZ19</f>
        <v>0</v>
      </c>
      <c r="BA110" s="299">
        <f t="shared" si="488"/>
        <v>0</v>
      </c>
      <c r="BB110" s="262">
        <f t="shared" si="404"/>
        <v>0</v>
      </c>
      <c r="BC110" s="298">
        <f t="shared" ref="BC110:BD110" si="489">BC9*BC19</f>
        <v>0</v>
      </c>
      <c r="BD110" s="299">
        <f t="shared" si="489"/>
        <v>0</v>
      </c>
      <c r="BE110" s="262">
        <f t="shared" si="437"/>
        <v>0</v>
      </c>
      <c r="BF110" s="298">
        <f t="shared" ref="BF110:BG110" si="490">BF9*BF19</f>
        <v>0</v>
      </c>
      <c r="BG110" s="299">
        <f t="shared" si="490"/>
        <v>0</v>
      </c>
      <c r="BH110" s="262">
        <f t="shared" si="439"/>
        <v>0</v>
      </c>
      <c r="BI110" s="298">
        <f t="shared" si="407"/>
        <v>0</v>
      </c>
      <c r="BJ110" s="299">
        <f t="shared" si="407"/>
        <v>0</v>
      </c>
      <c r="BK110" s="262">
        <f t="shared" si="408"/>
        <v>0</v>
      </c>
      <c r="BL110" s="298">
        <f t="shared" si="409"/>
        <v>0</v>
      </c>
      <c r="BM110" s="299">
        <f t="shared" si="409"/>
        <v>0</v>
      </c>
      <c r="BN110" s="262">
        <f t="shared" si="410"/>
        <v>0</v>
      </c>
      <c r="BO110" s="298">
        <f t="shared" si="411"/>
        <v>0</v>
      </c>
      <c r="BP110" s="299">
        <f t="shared" si="411"/>
        <v>0</v>
      </c>
      <c r="BQ110" s="262">
        <f t="shared" si="412"/>
        <v>0</v>
      </c>
    </row>
    <row r="111" spans="1:69">
      <c r="A111" s="835"/>
      <c r="B111" s="837"/>
      <c r="C111" s="290" t="s">
        <v>30</v>
      </c>
      <c r="D111" s="291">
        <f t="shared" si="358"/>
        <v>0</v>
      </c>
      <c r="E111" s="292">
        <f t="shared" si="161"/>
        <v>0</v>
      </c>
      <c r="F111" s="293">
        <f t="shared" si="413"/>
        <v>0</v>
      </c>
      <c r="G111" s="298">
        <f t="shared" si="380"/>
        <v>0</v>
      </c>
      <c r="H111" s="299">
        <f t="shared" si="380"/>
        <v>0</v>
      </c>
      <c r="I111" s="262">
        <f t="shared" si="414"/>
        <v>0</v>
      </c>
      <c r="J111" s="298">
        <f t="shared" ref="J111:K111" si="491">J10*J20</f>
        <v>0</v>
      </c>
      <c r="K111" s="299">
        <f t="shared" si="491"/>
        <v>0</v>
      </c>
      <c r="L111" s="262">
        <f t="shared" si="416"/>
        <v>0</v>
      </c>
      <c r="M111" s="298">
        <f t="shared" ref="M111:N111" si="492">M10*M20</f>
        <v>0</v>
      </c>
      <c r="N111" s="299">
        <f t="shared" si="492"/>
        <v>0</v>
      </c>
      <c r="O111" s="262">
        <f t="shared" si="418"/>
        <v>0</v>
      </c>
      <c r="P111" s="298">
        <f t="shared" ref="P111:Q111" si="493">P10*P20</f>
        <v>0</v>
      </c>
      <c r="Q111" s="299">
        <f t="shared" si="493"/>
        <v>0</v>
      </c>
      <c r="R111" s="262">
        <f t="shared" si="384"/>
        <v>0</v>
      </c>
      <c r="S111" s="298">
        <f t="shared" ref="S111:T111" si="494">S10*S20</f>
        <v>0</v>
      </c>
      <c r="T111" s="299">
        <f t="shared" si="494"/>
        <v>0</v>
      </c>
      <c r="U111" s="262">
        <f t="shared" si="386"/>
        <v>0</v>
      </c>
      <c r="V111" s="298">
        <f t="shared" ref="V111:W111" si="495">V10*V20</f>
        <v>0</v>
      </c>
      <c r="W111" s="299">
        <f t="shared" si="495"/>
        <v>0</v>
      </c>
      <c r="X111" s="262">
        <f t="shared" si="388"/>
        <v>0</v>
      </c>
      <c r="Y111" s="298">
        <f t="shared" ref="Y111:Z111" si="496">Y10*Y20</f>
        <v>0</v>
      </c>
      <c r="Z111" s="299">
        <f t="shared" si="496"/>
        <v>0</v>
      </c>
      <c r="AA111" s="262">
        <f t="shared" si="423"/>
        <v>0</v>
      </c>
      <c r="AB111" s="298">
        <f t="shared" ref="AB111:AC111" si="497">AB10*AB20</f>
        <v>0</v>
      </c>
      <c r="AC111" s="299">
        <f t="shared" si="497"/>
        <v>0</v>
      </c>
      <c r="AD111" s="262">
        <f t="shared" si="425"/>
        <v>0</v>
      </c>
      <c r="AE111" s="298">
        <f t="shared" ref="AE111:AF111" si="498">AE10*AE20</f>
        <v>0</v>
      </c>
      <c r="AF111" s="299">
        <f t="shared" si="498"/>
        <v>0</v>
      </c>
      <c r="AG111" s="262">
        <f t="shared" si="392"/>
        <v>0</v>
      </c>
      <c r="AH111" s="298">
        <f t="shared" ref="AH111:AI111" si="499">AH10*AH20</f>
        <v>0</v>
      </c>
      <c r="AI111" s="299">
        <f t="shared" si="499"/>
        <v>0</v>
      </c>
      <c r="AJ111" s="262">
        <f t="shared" si="394"/>
        <v>0</v>
      </c>
      <c r="AK111" s="298">
        <f t="shared" ref="AK111:AL111" si="500">AK10*AK20</f>
        <v>0</v>
      </c>
      <c r="AL111" s="299">
        <f t="shared" si="500"/>
        <v>0</v>
      </c>
      <c r="AM111" s="262">
        <f t="shared" si="396"/>
        <v>0</v>
      </c>
      <c r="AN111" s="298">
        <f t="shared" ref="AN111:AO111" si="501">AN10*AN20</f>
        <v>0</v>
      </c>
      <c r="AO111" s="299">
        <f t="shared" si="501"/>
        <v>0</v>
      </c>
      <c r="AP111" s="262">
        <f t="shared" si="430"/>
        <v>0</v>
      </c>
      <c r="AQ111" s="298">
        <f t="shared" ref="AQ111:AR111" si="502">AQ10*AQ20</f>
        <v>0</v>
      </c>
      <c r="AR111" s="299">
        <f t="shared" si="502"/>
        <v>0</v>
      </c>
      <c r="AS111" s="262">
        <f t="shared" si="432"/>
        <v>0</v>
      </c>
      <c r="AT111" s="298">
        <f t="shared" ref="AT111:AU111" si="503">AT10*AT20</f>
        <v>0</v>
      </c>
      <c r="AU111" s="299">
        <f t="shared" si="503"/>
        <v>0</v>
      </c>
      <c r="AV111" s="262">
        <f t="shared" si="400"/>
        <v>0</v>
      </c>
      <c r="AW111" s="298">
        <f t="shared" ref="AW111:AX111" si="504">AW10*AW20</f>
        <v>0</v>
      </c>
      <c r="AX111" s="299">
        <f t="shared" si="504"/>
        <v>0</v>
      </c>
      <c r="AY111" s="262">
        <f t="shared" si="402"/>
        <v>0</v>
      </c>
      <c r="AZ111" s="298">
        <f t="shared" ref="AZ111:BA111" si="505">AZ10*AZ20</f>
        <v>0</v>
      </c>
      <c r="BA111" s="299">
        <f t="shared" si="505"/>
        <v>0</v>
      </c>
      <c r="BB111" s="262">
        <f t="shared" si="404"/>
        <v>0</v>
      </c>
      <c r="BC111" s="298">
        <f t="shared" ref="BC111:BD111" si="506">BC10*BC20</f>
        <v>0</v>
      </c>
      <c r="BD111" s="299">
        <f t="shared" si="506"/>
        <v>0</v>
      </c>
      <c r="BE111" s="262">
        <f t="shared" si="437"/>
        <v>0</v>
      </c>
      <c r="BF111" s="298">
        <f t="shared" ref="BF111:BG111" si="507">BF10*BF20</f>
        <v>0</v>
      </c>
      <c r="BG111" s="299">
        <f t="shared" si="507"/>
        <v>0</v>
      </c>
      <c r="BH111" s="262">
        <f t="shared" si="439"/>
        <v>0</v>
      </c>
      <c r="BI111" s="298">
        <f t="shared" si="407"/>
        <v>0</v>
      </c>
      <c r="BJ111" s="299">
        <f t="shared" si="407"/>
        <v>0</v>
      </c>
      <c r="BK111" s="262">
        <f t="shared" si="408"/>
        <v>0</v>
      </c>
      <c r="BL111" s="298">
        <f t="shared" si="409"/>
        <v>0</v>
      </c>
      <c r="BM111" s="299">
        <f t="shared" si="409"/>
        <v>0</v>
      </c>
      <c r="BN111" s="262">
        <f t="shared" si="410"/>
        <v>0</v>
      </c>
      <c r="BO111" s="298">
        <f t="shared" si="411"/>
        <v>0</v>
      </c>
      <c r="BP111" s="299">
        <f t="shared" si="411"/>
        <v>0</v>
      </c>
      <c r="BQ111" s="262">
        <f t="shared" si="412"/>
        <v>0</v>
      </c>
    </row>
    <row r="112" spans="1:69">
      <c r="A112" s="835"/>
      <c r="B112" s="837"/>
      <c r="C112" s="290" t="s">
        <v>31</v>
      </c>
      <c r="D112" s="291">
        <f t="shared" ref="D112:D115" si="508">SUM(G112,J112,M112,P112,S112,V112,Y112,AB112,AE112,AH112,AK112,AN112,AQ112,AT112,AW112,AZ112,AZ112,BC112,BF112,BI112,BL112,BO112)</f>
        <v>0</v>
      </c>
      <c r="E112" s="292">
        <f t="shared" si="161"/>
        <v>0</v>
      </c>
      <c r="F112" s="293">
        <f t="shared" si="413"/>
        <v>0</v>
      </c>
      <c r="G112" s="298">
        <f t="shared" si="380"/>
        <v>0</v>
      </c>
      <c r="H112" s="299">
        <f t="shared" si="380"/>
        <v>0</v>
      </c>
      <c r="I112" s="262">
        <f t="shared" si="414"/>
        <v>0</v>
      </c>
      <c r="J112" s="298">
        <f t="shared" ref="J112:K112" si="509">J11*J21</f>
        <v>0</v>
      </c>
      <c r="K112" s="299">
        <f t="shared" si="509"/>
        <v>0</v>
      </c>
      <c r="L112" s="262">
        <f t="shared" si="416"/>
        <v>0</v>
      </c>
      <c r="M112" s="298">
        <f t="shared" ref="M112:N112" si="510">M11*M21</f>
        <v>0</v>
      </c>
      <c r="N112" s="299">
        <f t="shared" si="510"/>
        <v>0</v>
      </c>
      <c r="O112" s="262">
        <f t="shared" si="418"/>
        <v>0</v>
      </c>
      <c r="P112" s="298">
        <f t="shared" ref="P112:Q112" si="511">P11*P21</f>
        <v>0</v>
      </c>
      <c r="Q112" s="299">
        <f t="shared" si="511"/>
        <v>0</v>
      </c>
      <c r="R112" s="262">
        <f t="shared" si="384"/>
        <v>0</v>
      </c>
      <c r="S112" s="298">
        <f t="shared" ref="S112:T112" si="512">S11*S21</f>
        <v>0</v>
      </c>
      <c r="T112" s="299">
        <f t="shared" si="512"/>
        <v>0</v>
      </c>
      <c r="U112" s="262">
        <f t="shared" si="386"/>
        <v>0</v>
      </c>
      <c r="V112" s="298">
        <f t="shared" ref="V112:W112" si="513">V11*V21</f>
        <v>0</v>
      </c>
      <c r="W112" s="299">
        <f t="shared" si="513"/>
        <v>0</v>
      </c>
      <c r="X112" s="262">
        <f t="shared" si="388"/>
        <v>0</v>
      </c>
      <c r="Y112" s="298">
        <f t="shared" ref="Y112:Z112" si="514">Y11*Y21</f>
        <v>0</v>
      </c>
      <c r="Z112" s="299">
        <f t="shared" si="514"/>
        <v>0</v>
      </c>
      <c r="AA112" s="262">
        <f t="shared" si="423"/>
        <v>0</v>
      </c>
      <c r="AB112" s="298">
        <f t="shared" ref="AB112:AC112" si="515">AB11*AB21</f>
        <v>0</v>
      </c>
      <c r="AC112" s="299">
        <f t="shared" si="515"/>
        <v>0</v>
      </c>
      <c r="AD112" s="262">
        <f t="shared" si="425"/>
        <v>0</v>
      </c>
      <c r="AE112" s="298">
        <f t="shared" ref="AE112:AF112" si="516">AE11*AE21</f>
        <v>0</v>
      </c>
      <c r="AF112" s="299">
        <f t="shared" si="516"/>
        <v>0</v>
      </c>
      <c r="AG112" s="262">
        <f t="shared" si="392"/>
        <v>0</v>
      </c>
      <c r="AH112" s="298">
        <f t="shared" ref="AH112:AI112" si="517">AH11*AH21</f>
        <v>0</v>
      </c>
      <c r="AI112" s="299">
        <f t="shared" si="517"/>
        <v>0</v>
      </c>
      <c r="AJ112" s="262">
        <f t="shared" si="394"/>
        <v>0</v>
      </c>
      <c r="AK112" s="298">
        <f t="shared" ref="AK112:AL112" si="518">AK11*AK21</f>
        <v>0</v>
      </c>
      <c r="AL112" s="299">
        <f t="shared" si="518"/>
        <v>0</v>
      </c>
      <c r="AM112" s="262">
        <f t="shared" si="396"/>
        <v>0</v>
      </c>
      <c r="AN112" s="298">
        <f t="shared" ref="AN112:AO112" si="519">AN11*AN21</f>
        <v>0</v>
      </c>
      <c r="AO112" s="299">
        <f t="shared" si="519"/>
        <v>0</v>
      </c>
      <c r="AP112" s="262">
        <f t="shared" si="430"/>
        <v>0</v>
      </c>
      <c r="AQ112" s="298">
        <f t="shared" ref="AQ112:AR112" si="520">AQ11*AQ21</f>
        <v>0</v>
      </c>
      <c r="AR112" s="299">
        <f t="shared" si="520"/>
        <v>0</v>
      </c>
      <c r="AS112" s="262">
        <f t="shared" si="432"/>
        <v>0</v>
      </c>
      <c r="AT112" s="298">
        <f t="shared" ref="AT112:AU112" si="521">AT11*AT21</f>
        <v>0</v>
      </c>
      <c r="AU112" s="299">
        <f t="shared" si="521"/>
        <v>0</v>
      </c>
      <c r="AV112" s="262">
        <f t="shared" si="400"/>
        <v>0</v>
      </c>
      <c r="AW112" s="298">
        <f t="shared" ref="AW112:AX112" si="522">AW11*AW21</f>
        <v>0</v>
      </c>
      <c r="AX112" s="299">
        <f t="shared" si="522"/>
        <v>0</v>
      </c>
      <c r="AY112" s="262">
        <f t="shared" si="402"/>
        <v>0</v>
      </c>
      <c r="AZ112" s="298">
        <f t="shared" ref="AZ112:BA112" si="523">AZ11*AZ21</f>
        <v>0</v>
      </c>
      <c r="BA112" s="299">
        <f t="shared" si="523"/>
        <v>0</v>
      </c>
      <c r="BB112" s="262">
        <f t="shared" si="404"/>
        <v>0</v>
      </c>
      <c r="BC112" s="298">
        <f t="shared" ref="BC112:BD112" si="524">BC11*BC21</f>
        <v>0</v>
      </c>
      <c r="BD112" s="299">
        <f t="shared" si="524"/>
        <v>0</v>
      </c>
      <c r="BE112" s="262">
        <f t="shared" si="437"/>
        <v>0</v>
      </c>
      <c r="BF112" s="298">
        <f t="shared" ref="BF112:BG112" si="525">BF11*BF21</f>
        <v>0</v>
      </c>
      <c r="BG112" s="299">
        <f t="shared" si="525"/>
        <v>0</v>
      </c>
      <c r="BH112" s="262">
        <f t="shared" si="439"/>
        <v>0</v>
      </c>
      <c r="BI112" s="298">
        <f t="shared" si="407"/>
        <v>0</v>
      </c>
      <c r="BJ112" s="299">
        <f t="shared" si="407"/>
        <v>0</v>
      </c>
      <c r="BK112" s="262">
        <f t="shared" si="408"/>
        <v>0</v>
      </c>
      <c r="BL112" s="298">
        <f t="shared" si="409"/>
        <v>0</v>
      </c>
      <c r="BM112" s="299">
        <f t="shared" si="409"/>
        <v>0</v>
      </c>
      <c r="BN112" s="262">
        <f t="shared" si="410"/>
        <v>0</v>
      </c>
      <c r="BO112" s="298">
        <f t="shared" si="411"/>
        <v>0</v>
      </c>
      <c r="BP112" s="299">
        <f t="shared" si="411"/>
        <v>0</v>
      </c>
      <c r="BQ112" s="262">
        <f t="shared" si="412"/>
        <v>0</v>
      </c>
    </row>
    <row r="113" spans="1:70">
      <c r="A113" s="835"/>
      <c r="B113" s="837"/>
      <c r="C113" s="290" t="s">
        <v>32</v>
      </c>
      <c r="D113" s="291">
        <f t="shared" si="508"/>
        <v>0</v>
      </c>
      <c r="E113" s="292">
        <f t="shared" si="161"/>
        <v>0</v>
      </c>
      <c r="F113" s="293">
        <f t="shared" si="413"/>
        <v>0</v>
      </c>
      <c r="G113" s="298">
        <f t="shared" si="380"/>
        <v>0</v>
      </c>
      <c r="H113" s="299">
        <f t="shared" si="380"/>
        <v>0</v>
      </c>
      <c r="I113" s="262">
        <f t="shared" si="414"/>
        <v>0</v>
      </c>
      <c r="J113" s="298">
        <f t="shared" ref="J113:K113" si="526">J12*J22</f>
        <v>0</v>
      </c>
      <c r="K113" s="299">
        <f t="shared" si="526"/>
        <v>0</v>
      </c>
      <c r="L113" s="262">
        <f t="shared" si="416"/>
        <v>0</v>
      </c>
      <c r="M113" s="298">
        <f t="shared" ref="M113:N113" si="527">M12*M22</f>
        <v>0</v>
      </c>
      <c r="N113" s="299">
        <f t="shared" si="527"/>
        <v>0</v>
      </c>
      <c r="O113" s="262">
        <f t="shared" si="418"/>
        <v>0</v>
      </c>
      <c r="P113" s="298">
        <f t="shared" ref="P113:Q113" si="528">P12*P22</f>
        <v>0</v>
      </c>
      <c r="Q113" s="299">
        <f t="shared" si="528"/>
        <v>0</v>
      </c>
      <c r="R113" s="262">
        <f t="shared" si="384"/>
        <v>0</v>
      </c>
      <c r="S113" s="298">
        <f t="shared" ref="S113:T113" si="529">S12*S22</f>
        <v>0</v>
      </c>
      <c r="T113" s="299">
        <f t="shared" si="529"/>
        <v>0</v>
      </c>
      <c r="U113" s="262">
        <f t="shared" si="386"/>
        <v>0</v>
      </c>
      <c r="V113" s="298">
        <f t="shared" ref="V113:W113" si="530">V12*V22</f>
        <v>0</v>
      </c>
      <c r="W113" s="299">
        <f t="shared" si="530"/>
        <v>0</v>
      </c>
      <c r="X113" s="262">
        <f t="shared" si="388"/>
        <v>0</v>
      </c>
      <c r="Y113" s="298">
        <f t="shared" ref="Y113:Z113" si="531">Y12*Y22</f>
        <v>0</v>
      </c>
      <c r="Z113" s="299">
        <f t="shared" si="531"/>
        <v>0</v>
      </c>
      <c r="AA113" s="262">
        <f t="shared" si="423"/>
        <v>0</v>
      </c>
      <c r="AB113" s="298">
        <f t="shared" ref="AB113:AC113" si="532">AB12*AB22</f>
        <v>0</v>
      </c>
      <c r="AC113" s="299">
        <f t="shared" si="532"/>
        <v>0</v>
      </c>
      <c r="AD113" s="262">
        <f t="shared" si="425"/>
        <v>0</v>
      </c>
      <c r="AE113" s="298">
        <f t="shared" ref="AE113:AF113" si="533">AE12*AE22</f>
        <v>0</v>
      </c>
      <c r="AF113" s="299">
        <f t="shared" si="533"/>
        <v>0</v>
      </c>
      <c r="AG113" s="262">
        <f t="shared" si="392"/>
        <v>0</v>
      </c>
      <c r="AH113" s="298">
        <f t="shared" ref="AH113:AI113" si="534">AH12*AH22</f>
        <v>0</v>
      </c>
      <c r="AI113" s="299">
        <f t="shared" si="534"/>
        <v>0</v>
      </c>
      <c r="AJ113" s="262">
        <f t="shared" si="394"/>
        <v>0</v>
      </c>
      <c r="AK113" s="298">
        <f t="shared" ref="AK113:AL113" si="535">AK12*AK22</f>
        <v>0</v>
      </c>
      <c r="AL113" s="299">
        <f t="shared" si="535"/>
        <v>0</v>
      </c>
      <c r="AM113" s="262">
        <f t="shared" si="396"/>
        <v>0</v>
      </c>
      <c r="AN113" s="298">
        <f t="shared" ref="AN113:AO113" si="536">AN12*AN22</f>
        <v>0</v>
      </c>
      <c r="AO113" s="299">
        <f t="shared" si="536"/>
        <v>0</v>
      </c>
      <c r="AP113" s="262">
        <f t="shared" si="430"/>
        <v>0</v>
      </c>
      <c r="AQ113" s="298">
        <f t="shared" ref="AQ113:AR113" si="537">AQ12*AQ22</f>
        <v>0</v>
      </c>
      <c r="AR113" s="299">
        <f t="shared" si="537"/>
        <v>0</v>
      </c>
      <c r="AS113" s="262">
        <f t="shared" si="432"/>
        <v>0</v>
      </c>
      <c r="AT113" s="298">
        <f t="shared" ref="AT113:AU113" si="538">AT12*AT22</f>
        <v>0</v>
      </c>
      <c r="AU113" s="299">
        <f t="shared" si="538"/>
        <v>0</v>
      </c>
      <c r="AV113" s="262">
        <f t="shared" si="400"/>
        <v>0</v>
      </c>
      <c r="AW113" s="298">
        <f t="shared" ref="AW113:AX113" si="539">AW12*AW22</f>
        <v>0</v>
      </c>
      <c r="AX113" s="299">
        <f t="shared" si="539"/>
        <v>0</v>
      </c>
      <c r="AY113" s="262">
        <f t="shared" si="402"/>
        <v>0</v>
      </c>
      <c r="AZ113" s="298">
        <f t="shared" ref="AZ113:BA113" si="540">AZ12*AZ22</f>
        <v>0</v>
      </c>
      <c r="BA113" s="299">
        <f t="shared" si="540"/>
        <v>0</v>
      </c>
      <c r="BB113" s="262">
        <f t="shared" si="404"/>
        <v>0</v>
      </c>
      <c r="BC113" s="298">
        <f t="shared" ref="BC113:BD113" si="541">BC12*BC22</f>
        <v>0</v>
      </c>
      <c r="BD113" s="299">
        <f t="shared" si="541"/>
        <v>0</v>
      </c>
      <c r="BE113" s="262">
        <f t="shared" si="437"/>
        <v>0</v>
      </c>
      <c r="BF113" s="298">
        <f t="shared" ref="BF113:BG113" si="542">BF12*BF22</f>
        <v>0</v>
      </c>
      <c r="BG113" s="299">
        <f t="shared" si="542"/>
        <v>0</v>
      </c>
      <c r="BH113" s="262">
        <f t="shared" si="439"/>
        <v>0</v>
      </c>
      <c r="BI113" s="298">
        <f t="shared" si="407"/>
        <v>0</v>
      </c>
      <c r="BJ113" s="299">
        <f t="shared" si="407"/>
        <v>0</v>
      </c>
      <c r="BK113" s="262">
        <f t="shared" si="408"/>
        <v>0</v>
      </c>
      <c r="BL113" s="298">
        <f t="shared" si="409"/>
        <v>0</v>
      </c>
      <c r="BM113" s="299">
        <f t="shared" si="409"/>
        <v>0</v>
      </c>
      <c r="BN113" s="262">
        <f t="shared" si="410"/>
        <v>0</v>
      </c>
      <c r="BO113" s="298">
        <f t="shared" si="411"/>
        <v>0</v>
      </c>
      <c r="BP113" s="299">
        <f t="shared" si="411"/>
        <v>0</v>
      </c>
      <c r="BQ113" s="262">
        <f t="shared" si="412"/>
        <v>0</v>
      </c>
    </row>
    <row r="114" spans="1:70">
      <c r="A114" s="835"/>
      <c r="B114" s="837"/>
      <c r="C114" s="290" t="s">
        <v>33</v>
      </c>
      <c r="D114" s="291">
        <f t="shared" si="508"/>
        <v>0</v>
      </c>
      <c r="E114" s="292">
        <f t="shared" si="161"/>
        <v>0</v>
      </c>
      <c r="F114" s="293">
        <f t="shared" si="413"/>
        <v>0</v>
      </c>
      <c r="G114" s="298">
        <f t="shared" si="380"/>
        <v>0</v>
      </c>
      <c r="H114" s="299">
        <f t="shared" si="380"/>
        <v>0</v>
      </c>
      <c r="I114" s="262">
        <f t="shared" si="414"/>
        <v>0</v>
      </c>
      <c r="J114" s="298">
        <f t="shared" ref="J114:K114" si="543">J13*J23</f>
        <v>0</v>
      </c>
      <c r="K114" s="299">
        <f t="shared" si="543"/>
        <v>0</v>
      </c>
      <c r="L114" s="262">
        <f t="shared" si="416"/>
        <v>0</v>
      </c>
      <c r="M114" s="298">
        <f t="shared" ref="M114:N114" si="544">M13*M23</f>
        <v>0</v>
      </c>
      <c r="N114" s="299">
        <f t="shared" si="544"/>
        <v>0</v>
      </c>
      <c r="O114" s="262">
        <f t="shared" si="418"/>
        <v>0</v>
      </c>
      <c r="P114" s="298">
        <f t="shared" ref="P114:Q114" si="545">P13*P23</f>
        <v>0</v>
      </c>
      <c r="Q114" s="299">
        <f t="shared" si="545"/>
        <v>0</v>
      </c>
      <c r="R114" s="262">
        <f t="shared" si="384"/>
        <v>0</v>
      </c>
      <c r="S114" s="298">
        <f t="shared" ref="S114:T114" si="546">S13*S23</f>
        <v>0</v>
      </c>
      <c r="T114" s="299">
        <f t="shared" si="546"/>
        <v>0</v>
      </c>
      <c r="U114" s="262">
        <f t="shared" si="386"/>
        <v>0</v>
      </c>
      <c r="V114" s="298">
        <f t="shared" ref="V114:W114" si="547">V13*V23</f>
        <v>0</v>
      </c>
      <c r="W114" s="299">
        <f t="shared" si="547"/>
        <v>0</v>
      </c>
      <c r="X114" s="262">
        <f t="shared" si="388"/>
        <v>0</v>
      </c>
      <c r="Y114" s="298">
        <f t="shared" ref="Y114:Z114" si="548">Y13*Y23</f>
        <v>0</v>
      </c>
      <c r="Z114" s="299">
        <f t="shared" si="548"/>
        <v>0</v>
      </c>
      <c r="AA114" s="262">
        <f t="shared" si="423"/>
        <v>0</v>
      </c>
      <c r="AB114" s="298">
        <f t="shared" ref="AB114:AC114" si="549">AB13*AB23</f>
        <v>0</v>
      </c>
      <c r="AC114" s="299">
        <f t="shared" si="549"/>
        <v>0</v>
      </c>
      <c r="AD114" s="262">
        <f t="shared" si="425"/>
        <v>0</v>
      </c>
      <c r="AE114" s="298">
        <f t="shared" ref="AE114:AF114" si="550">AE13*AE23</f>
        <v>0</v>
      </c>
      <c r="AF114" s="299">
        <f t="shared" si="550"/>
        <v>0</v>
      </c>
      <c r="AG114" s="262">
        <f t="shared" si="392"/>
        <v>0</v>
      </c>
      <c r="AH114" s="298">
        <f t="shared" ref="AH114:AI114" si="551">AH13*AH23</f>
        <v>0</v>
      </c>
      <c r="AI114" s="299">
        <f t="shared" si="551"/>
        <v>0</v>
      </c>
      <c r="AJ114" s="262">
        <f t="shared" si="394"/>
        <v>0</v>
      </c>
      <c r="AK114" s="298">
        <f t="shared" ref="AK114:AL114" si="552">AK13*AK23</f>
        <v>0</v>
      </c>
      <c r="AL114" s="299">
        <f t="shared" si="552"/>
        <v>0</v>
      </c>
      <c r="AM114" s="262">
        <f t="shared" si="396"/>
        <v>0</v>
      </c>
      <c r="AN114" s="298">
        <f t="shared" ref="AN114:AO114" si="553">AN13*AN23</f>
        <v>0</v>
      </c>
      <c r="AO114" s="299">
        <f t="shared" si="553"/>
        <v>0</v>
      </c>
      <c r="AP114" s="262">
        <f t="shared" si="430"/>
        <v>0</v>
      </c>
      <c r="AQ114" s="298">
        <f t="shared" ref="AQ114:AR114" si="554">AQ13*AQ23</f>
        <v>0</v>
      </c>
      <c r="AR114" s="299">
        <f t="shared" si="554"/>
        <v>0</v>
      </c>
      <c r="AS114" s="262">
        <f t="shared" si="432"/>
        <v>0</v>
      </c>
      <c r="AT114" s="298">
        <f t="shared" ref="AT114:AU114" si="555">AT13*AT23</f>
        <v>0</v>
      </c>
      <c r="AU114" s="299">
        <f t="shared" si="555"/>
        <v>0</v>
      </c>
      <c r="AV114" s="262">
        <f t="shared" si="400"/>
        <v>0</v>
      </c>
      <c r="AW114" s="298">
        <f t="shared" ref="AW114:AX114" si="556">AW13*AW23</f>
        <v>0</v>
      </c>
      <c r="AX114" s="299">
        <f t="shared" si="556"/>
        <v>0</v>
      </c>
      <c r="AY114" s="262">
        <f t="shared" si="402"/>
        <v>0</v>
      </c>
      <c r="AZ114" s="298">
        <f t="shared" ref="AZ114:BA114" si="557">AZ13*AZ23</f>
        <v>0</v>
      </c>
      <c r="BA114" s="299">
        <f t="shared" si="557"/>
        <v>0</v>
      </c>
      <c r="BB114" s="262">
        <f t="shared" si="404"/>
        <v>0</v>
      </c>
      <c r="BC114" s="298">
        <f t="shared" ref="BC114:BD114" si="558">BC13*BC23</f>
        <v>0</v>
      </c>
      <c r="BD114" s="299">
        <f t="shared" si="558"/>
        <v>0</v>
      </c>
      <c r="BE114" s="262">
        <f t="shared" si="437"/>
        <v>0</v>
      </c>
      <c r="BF114" s="298">
        <f t="shared" ref="BF114:BG114" si="559">BF13*BF23</f>
        <v>0</v>
      </c>
      <c r="BG114" s="299">
        <f t="shared" si="559"/>
        <v>0</v>
      </c>
      <c r="BH114" s="262">
        <f t="shared" si="439"/>
        <v>0</v>
      </c>
      <c r="BI114" s="298">
        <f t="shared" si="407"/>
        <v>0</v>
      </c>
      <c r="BJ114" s="299">
        <f t="shared" si="407"/>
        <v>0</v>
      </c>
      <c r="BK114" s="262">
        <f t="shared" si="408"/>
        <v>0</v>
      </c>
      <c r="BL114" s="298">
        <f t="shared" si="409"/>
        <v>0</v>
      </c>
      <c r="BM114" s="299">
        <f t="shared" si="409"/>
        <v>0</v>
      </c>
      <c r="BN114" s="262">
        <f t="shared" si="410"/>
        <v>0</v>
      </c>
      <c r="BO114" s="298">
        <f t="shared" si="411"/>
        <v>0</v>
      </c>
      <c r="BP114" s="299">
        <f t="shared" si="411"/>
        <v>0</v>
      </c>
      <c r="BQ114" s="262">
        <f t="shared" si="412"/>
        <v>0</v>
      </c>
    </row>
    <row r="115" spans="1:70" ht="15.75" thickBot="1">
      <c r="A115" s="836"/>
      <c r="B115" s="838"/>
      <c r="C115" s="300" t="s">
        <v>34</v>
      </c>
      <c r="D115" s="301">
        <f t="shared" si="508"/>
        <v>0</v>
      </c>
      <c r="E115" s="302">
        <f t="shared" si="161"/>
        <v>0</v>
      </c>
      <c r="F115" s="303">
        <f t="shared" si="413"/>
        <v>0</v>
      </c>
      <c r="G115" s="304">
        <f t="shared" si="380"/>
        <v>0</v>
      </c>
      <c r="H115" s="305">
        <f t="shared" si="380"/>
        <v>0</v>
      </c>
      <c r="I115" s="267">
        <f t="shared" si="414"/>
        <v>0</v>
      </c>
      <c r="J115" s="304">
        <f t="shared" ref="J115:K115" si="560">J14*J24</f>
        <v>0</v>
      </c>
      <c r="K115" s="305">
        <f t="shared" si="560"/>
        <v>0</v>
      </c>
      <c r="L115" s="267">
        <f t="shared" si="416"/>
        <v>0</v>
      </c>
      <c r="M115" s="304">
        <f t="shared" ref="M115:N115" si="561">M14*M24</f>
        <v>0</v>
      </c>
      <c r="N115" s="305">
        <f t="shared" si="561"/>
        <v>0</v>
      </c>
      <c r="O115" s="267">
        <f t="shared" si="418"/>
        <v>0</v>
      </c>
      <c r="P115" s="304">
        <f t="shared" ref="P115:Q115" si="562">P14*P24</f>
        <v>0</v>
      </c>
      <c r="Q115" s="305">
        <f t="shared" si="562"/>
        <v>0</v>
      </c>
      <c r="R115" s="267">
        <f t="shared" si="384"/>
        <v>0</v>
      </c>
      <c r="S115" s="304">
        <f t="shared" ref="S115:T115" si="563">S14*S24</f>
        <v>0</v>
      </c>
      <c r="T115" s="305">
        <f t="shared" si="563"/>
        <v>0</v>
      </c>
      <c r="U115" s="267">
        <f t="shared" si="386"/>
        <v>0</v>
      </c>
      <c r="V115" s="304">
        <f t="shared" ref="V115:W115" si="564">V14*V24</f>
        <v>0</v>
      </c>
      <c r="W115" s="305">
        <f t="shared" si="564"/>
        <v>0</v>
      </c>
      <c r="X115" s="267">
        <f t="shared" si="388"/>
        <v>0</v>
      </c>
      <c r="Y115" s="304">
        <f t="shared" ref="Y115:Z115" si="565">Y14*Y24</f>
        <v>0</v>
      </c>
      <c r="Z115" s="305">
        <f t="shared" si="565"/>
        <v>0</v>
      </c>
      <c r="AA115" s="267">
        <f t="shared" si="423"/>
        <v>0</v>
      </c>
      <c r="AB115" s="304">
        <f t="shared" ref="AB115:AC115" si="566">AB14*AB24</f>
        <v>0</v>
      </c>
      <c r="AC115" s="305">
        <f t="shared" si="566"/>
        <v>0</v>
      </c>
      <c r="AD115" s="267">
        <f t="shared" si="425"/>
        <v>0</v>
      </c>
      <c r="AE115" s="304">
        <f t="shared" ref="AE115:AF115" si="567">AE14*AE24</f>
        <v>0</v>
      </c>
      <c r="AF115" s="305">
        <f t="shared" si="567"/>
        <v>0</v>
      </c>
      <c r="AG115" s="267">
        <f t="shared" si="392"/>
        <v>0</v>
      </c>
      <c r="AH115" s="304">
        <f t="shared" ref="AH115:AI115" si="568">AH14*AH24</f>
        <v>0</v>
      </c>
      <c r="AI115" s="305">
        <f t="shared" si="568"/>
        <v>0</v>
      </c>
      <c r="AJ115" s="267">
        <f t="shared" si="394"/>
        <v>0</v>
      </c>
      <c r="AK115" s="304">
        <f t="shared" ref="AK115:AL115" si="569">AK14*AK24</f>
        <v>0</v>
      </c>
      <c r="AL115" s="305">
        <f t="shared" si="569"/>
        <v>0</v>
      </c>
      <c r="AM115" s="267">
        <f t="shared" si="396"/>
        <v>0</v>
      </c>
      <c r="AN115" s="304">
        <f t="shared" ref="AN115:AO115" si="570">AN14*AN24</f>
        <v>0</v>
      </c>
      <c r="AO115" s="305">
        <f t="shared" si="570"/>
        <v>0</v>
      </c>
      <c r="AP115" s="267">
        <f t="shared" si="430"/>
        <v>0</v>
      </c>
      <c r="AQ115" s="304">
        <f t="shared" ref="AQ115:AR115" si="571">AQ14*AQ24</f>
        <v>0</v>
      </c>
      <c r="AR115" s="305">
        <f t="shared" si="571"/>
        <v>0</v>
      </c>
      <c r="AS115" s="267">
        <f t="shared" si="432"/>
        <v>0</v>
      </c>
      <c r="AT115" s="304">
        <f t="shared" ref="AT115:AU115" si="572">AT14*AT24</f>
        <v>0</v>
      </c>
      <c r="AU115" s="305">
        <f t="shared" si="572"/>
        <v>0</v>
      </c>
      <c r="AV115" s="267">
        <f t="shared" si="400"/>
        <v>0</v>
      </c>
      <c r="AW115" s="304">
        <f t="shared" ref="AW115:AX115" si="573">AW14*AW24</f>
        <v>0</v>
      </c>
      <c r="AX115" s="305">
        <f t="shared" si="573"/>
        <v>0</v>
      </c>
      <c r="AY115" s="267">
        <f t="shared" si="402"/>
        <v>0</v>
      </c>
      <c r="AZ115" s="304">
        <f t="shared" ref="AZ115:BA115" si="574">AZ14*AZ24</f>
        <v>0</v>
      </c>
      <c r="BA115" s="305">
        <f t="shared" si="574"/>
        <v>0</v>
      </c>
      <c r="BB115" s="267">
        <f t="shared" si="404"/>
        <v>0</v>
      </c>
      <c r="BC115" s="304">
        <f t="shared" ref="BC115:BD115" si="575">BC14*BC24</f>
        <v>0</v>
      </c>
      <c r="BD115" s="305">
        <f t="shared" si="575"/>
        <v>0</v>
      </c>
      <c r="BE115" s="267">
        <f t="shared" si="437"/>
        <v>0</v>
      </c>
      <c r="BF115" s="304">
        <f t="shared" ref="BF115:BG115" si="576">BF14*BF24</f>
        <v>0</v>
      </c>
      <c r="BG115" s="305">
        <f t="shared" si="576"/>
        <v>0</v>
      </c>
      <c r="BH115" s="267">
        <f t="shared" si="439"/>
        <v>0</v>
      </c>
      <c r="BI115" s="304">
        <f t="shared" si="407"/>
        <v>0</v>
      </c>
      <c r="BJ115" s="305">
        <f t="shared" si="407"/>
        <v>0</v>
      </c>
      <c r="BK115" s="267">
        <f t="shared" si="408"/>
        <v>0</v>
      </c>
      <c r="BL115" s="304">
        <f t="shared" si="409"/>
        <v>0</v>
      </c>
      <c r="BM115" s="305">
        <f t="shared" si="409"/>
        <v>0</v>
      </c>
      <c r="BN115" s="267">
        <f t="shared" si="410"/>
        <v>0</v>
      </c>
      <c r="BO115" s="304">
        <f t="shared" si="411"/>
        <v>0</v>
      </c>
      <c r="BP115" s="305">
        <f t="shared" si="411"/>
        <v>0</v>
      </c>
      <c r="BQ115" s="267">
        <f t="shared" si="412"/>
        <v>0</v>
      </c>
    </row>
    <row r="116" spans="1:70">
      <c r="A116" s="835" t="s">
        <v>144</v>
      </c>
      <c r="B116" s="837" t="s">
        <v>13</v>
      </c>
      <c r="C116" s="290" t="s">
        <v>25</v>
      </c>
      <c r="D116" s="291">
        <f t="shared" ref="D116:D131" si="577">SUM(G116,J116,M116,P116,S116,V116,Y116,AB116,AE116,AH116,AK116,AN116,AQ116,AT116,AW116,AZ116,AZ116,BC116,BF116,BI116,BL116,BO116)</f>
        <v>0</v>
      </c>
      <c r="E116" s="292">
        <f t="shared" si="161"/>
        <v>0</v>
      </c>
      <c r="F116" s="293">
        <f t="shared" ref="F116:F135" si="578">SUM(I116,L116,O116,R116,U116,X116,AA116,AD116,AG116,AJ116,AM116,AP116,AS116,AV116,AY116,BB116,BB116,BE116,BH116,BK116,BN116,BQ116)</f>
        <v>0</v>
      </c>
      <c r="G116" s="306">
        <f t="shared" ref="G116:H125" si="579">G5*G25</f>
        <v>0</v>
      </c>
      <c r="H116" s="307">
        <f t="shared" si="579"/>
        <v>0</v>
      </c>
      <c r="I116" s="257">
        <f>H116-G116</f>
        <v>0</v>
      </c>
      <c r="J116" s="306">
        <f t="shared" ref="J116:K116" si="580">J5*J25</f>
        <v>0</v>
      </c>
      <c r="K116" s="307">
        <f t="shared" si="580"/>
        <v>0</v>
      </c>
      <c r="L116" s="257">
        <f>K116-J116</f>
        <v>0</v>
      </c>
      <c r="M116" s="306">
        <f t="shared" ref="M116:N116" si="581">M5*M25</f>
        <v>0</v>
      </c>
      <c r="N116" s="307">
        <f t="shared" si="581"/>
        <v>0</v>
      </c>
      <c r="O116" s="257">
        <f>N116-M116</f>
        <v>0</v>
      </c>
      <c r="P116" s="306">
        <f t="shared" ref="P116:Q116" si="582">P5*P25</f>
        <v>0</v>
      </c>
      <c r="Q116" s="307">
        <f t="shared" si="582"/>
        <v>0</v>
      </c>
      <c r="R116" s="257">
        <f>Q116-P116</f>
        <v>0</v>
      </c>
      <c r="S116" s="306">
        <f t="shared" ref="S116:T116" si="583">S5*S25</f>
        <v>0</v>
      </c>
      <c r="T116" s="307">
        <f t="shared" si="583"/>
        <v>0</v>
      </c>
      <c r="U116" s="257">
        <f>T116-S116</f>
        <v>0</v>
      </c>
      <c r="V116" s="306">
        <f t="shared" ref="V116:W116" si="584">V5*V25</f>
        <v>0</v>
      </c>
      <c r="W116" s="307">
        <f t="shared" si="584"/>
        <v>0</v>
      </c>
      <c r="X116" s="257">
        <f>W116-V116</f>
        <v>0</v>
      </c>
      <c r="Y116" s="306">
        <f t="shared" ref="Y116:Z116" si="585">Y5*Y25</f>
        <v>0</v>
      </c>
      <c r="Z116" s="307">
        <f t="shared" si="585"/>
        <v>0</v>
      </c>
      <c r="AA116" s="257">
        <f>Z116-Y116</f>
        <v>0</v>
      </c>
      <c r="AB116" s="306">
        <f t="shared" ref="AB116:AC116" si="586">AB5*AB25</f>
        <v>0</v>
      </c>
      <c r="AC116" s="307">
        <f t="shared" si="586"/>
        <v>0</v>
      </c>
      <c r="AD116" s="257">
        <f>AC116-AB116</f>
        <v>0</v>
      </c>
      <c r="AE116" s="306">
        <f t="shared" ref="AE116:AF116" si="587">AE5*AE25</f>
        <v>0</v>
      </c>
      <c r="AF116" s="307">
        <f t="shared" si="587"/>
        <v>0</v>
      </c>
      <c r="AG116" s="257">
        <f>AF116-AE116</f>
        <v>0</v>
      </c>
      <c r="AH116" s="306">
        <f t="shared" ref="AH116:AI116" si="588">AH5*AH25</f>
        <v>0</v>
      </c>
      <c r="AI116" s="307">
        <f t="shared" si="588"/>
        <v>0</v>
      </c>
      <c r="AJ116" s="257">
        <f>AI116-AH116</f>
        <v>0</v>
      </c>
      <c r="AK116" s="306">
        <f t="shared" ref="AK116:AL116" si="589">AK5*AK25</f>
        <v>0</v>
      </c>
      <c r="AL116" s="307">
        <f t="shared" si="589"/>
        <v>0</v>
      </c>
      <c r="AM116" s="257">
        <f>AL116-AK116</f>
        <v>0</v>
      </c>
      <c r="AN116" s="306">
        <f t="shared" ref="AN116:AO116" si="590">AN5*AN25</f>
        <v>0</v>
      </c>
      <c r="AO116" s="307">
        <f t="shared" si="590"/>
        <v>0</v>
      </c>
      <c r="AP116" s="257">
        <f>AO116-AN116</f>
        <v>0</v>
      </c>
      <c r="AQ116" s="306">
        <f t="shared" ref="AQ116:AR116" si="591">AQ5*AQ25</f>
        <v>0</v>
      </c>
      <c r="AR116" s="307">
        <f t="shared" si="591"/>
        <v>0</v>
      </c>
      <c r="AS116" s="257">
        <f>AR116-AQ116</f>
        <v>0</v>
      </c>
      <c r="AT116" s="306">
        <f t="shared" ref="AT116:AU116" si="592">AT5*AT25</f>
        <v>0</v>
      </c>
      <c r="AU116" s="307">
        <f t="shared" si="592"/>
        <v>0</v>
      </c>
      <c r="AV116" s="257">
        <f>AU116-AT116</f>
        <v>0</v>
      </c>
      <c r="AW116" s="306">
        <f t="shared" ref="AW116:AX116" si="593">AW5*AW25</f>
        <v>0</v>
      </c>
      <c r="AX116" s="307">
        <f t="shared" si="593"/>
        <v>0</v>
      </c>
      <c r="AY116" s="257">
        <f>AX116-AW116</f>
        <v>0</v>
      </c>
      <c r="AZ116" s="306">
        <f t="shared" ref="AZ116:BA116" si="594">AZ5*AZ25</f>
        <v>0</v>
      </c>
      <c r="BA116" s="307">
        <f t="shared" si="594"/>
        <v>0</v>
      </c>
      <c r="BB116" s="257">
        <f>BA116-AZ116</f>
        <v>0</v>
      </c>
      <c r="BC116" s="306">
        <f t="shared" ref="BC116:BD116" si="595">BC5*BC25</f>
        <v>0</v>
      </c>
      <c r="BD116" s="307">
        <f t="shared" si="595"/>
        <v>0</v>
      </c>
      <c r="BE116" s="257">
        <f>BD116-BC116</f>
        <v>0</v>
      </c>
      <c r="BF116" s="306">
        <f t="shared" ref="BF116:BG116" si="596">BF5*BF25</f>
        <v>0</v>
      </c>
      <c r="BG116" s="307">
        <f t="shared" si="596"/>
        <v>0</v>
      </c>
      <c r="BH116" s="257">
        <f>BG116-BF116</f>
        <v>0</v>
      </c>
      <c r="BI116" s="306">
        <f t="shared" ref="BI116:BJ125" si="597">BI5*BI25</f>
        <v>0</v>
      </c>
      <c r="BJ116" s="307">
        <f t="shared" si="597"/>
        <v>0</v>
      </c>
      <c r="BK116" s="257">
        <f>BJ116-BI116</f>
        <v>0</v>
      </c>
      <c r="BL116" s="306">
        <f t="shared" ref="BL116:BM125" si="598">BL5*BL25</f>
        <v>0</v>
      </c>
      <c r="BM116" s="307">
        <f t="shared" si="598"/>
        <v>0</v>
      </c>
      <c r="BN116" s="257">
        <f>BM116-BL116</f>
        <v>0</v>
      </c>
      <c r="BO116" s="306">
        <f t="shared" ref="BO116:BP125" si="599">BO5*BO25</f>
        <v>0</v>
      </c>
      <c r="BP116" s="307">
        <f t="shared" si="599"/>
        <v>0</v>
      </c>
      <c r="BQ116" s="257">
        <f>BP116-BO116</f>
        <v>0</v>
      </c>
    </row>
    <row r="117" spans="1:70">
      <c r="A117" s="835"/>
      <c r="B117" s="837"/>
      <c r="C117" s="290" t="s">
        <v>26</v>
      </c>
      <c r="D117" s="291">
        <f t="shared" si="577"/>
        <v>0</v>
      </c>
      <c r="E117" s="292">
        <f t="shared" si="161"/>
        <v>0</v>
      </c>
      <c r="F117" s="293">
        <f t="shared" si="578"/>
        <v>0</v>
      </c>
      <c r="G117" s="298">
        <f t="shared" si="579"/>
        <v>0</v>
      </c>
      <c r="H117" s="299">
        <f t="shared" si="579"/>
        <v>0</v>
      </c>
      <c r="I117" s="262">
        <f t="shared" ref="I117:I125" si="600">H117-G117</f>
        <v>0</v>
      </c>
      <c r="J117" s="298">
        <f t="shared" ref="J117:K117" si="601">J6*J26</f>
        <v>0</v>
      </c>
      <c r="K117" s="299">
        <f t="shared" si="601"/>
        <v>0</v>
      </c>
      <c r="L117" s="262">
        <f t="shared" ref="L117:L125" si="602">K117-J117</f>
        <v>0</v>
      </c>
      <c r="M117" s="298">
        <f t="shared" ref="M117:N117" si="603">M6*M26</f>
        <v>0</v>
      </c>
      <c r="N117" s="299">
        <f t="shared" si="603"/>
        <v>0</v>
      </c>
      <c r="O117" s="262">
        <f t="shared" ref="O117:O125" si="604">N117-M117</f>
        <v>0</v>
      </c>
      <c r="P117" s="298">
        <f t="shared" ref="P117:Q117" si="605">P6*P26</f>
        <v>0</v>
      </c>
      <c r="Q117" s="299">
        <f t="shared" si="605"/>
        <v>0</v>
      </c>
      <c r="R117" s="262">
        <f t="shared" ref="R117:R125" si="606">Q117-P117</f>
        <v>0</v>
      </c>
      <c r="S117" s="298">
        <f t="shared" ref="S117:T117" si="607">S6*S26</f>
        <v>0</v>
      </c>
      <c r="T117" s="299">
        <f t="shared" si="607"/>
        <v>0</v>
      </c>
      <c r="U117" s="262">
        <f t="shared" ref="U117:U125" si="608">T117-S117</f>
        <v>0</v>
      </c>
      <c r="V117" s="298">
        <f t="shared" ref="V117:W117" si="609">V6*V26</f>
        <v>0</v>
      </c>
      <c r="W117" s="299">
        <f t="shared" si="609"/>
        <v>0</v>
      </c>
      <c r="X117" s="262">
        <f t="shared" ref="X117:X125" si="610">W117-V117</f>
        <v>0</v>
      </c>
      <c r="Y117" s="298">
        <f t="shared" ref="Y117:Z117" si="611">Y6*Y26</f>
        <v>0</v>
      </c>
      <c r="Z117" s="299">
        <f t="shared" si="611"/>
        <v>0</v>
      </c>
      <c r="AA117" s="262">
        <f t="shared" ref="AA117:AA125" si="612">Z117-Y117</f>
        <v>0</v>
      </c>
      <c r="AB117" s="298">
        <f t="shared" ref="AB117:AC117" si="613">AB6*AB26</f>
        <v>0</v>
      </c>
      <c r="AC117" s="299">
        <f t="shared" si="613"/>
        <v>0</v>
      </c>
      <c r="AD117" s="262">
        <f t="shared" ref="AD117:AD125" si="614">AC117-AB117</f>
        <v>0</v>
      </c>
      <c r="AE117" s="298">
        <f t="shared" ref="AE117:AF117" si="615">AE6*AE26</f>
        <v>0</v>
      </c>
      <c r="AF117" s="299">
        <f t="shared" si="615"/>
        <v>0</v>
      </c>
      <c r="AG117" s="262">
        <f t="shared" ref="AG117:AG125" si="616">AF117-AE117</f>
        <v>0</v>
      </c>
      <c r="AH117" s="298">
        <f t="shared" ref="AH117:AI117" si="617">AH6*AH26</f>
        <v>0</v>
      </c>
      <c r="AI117" s="299">
        <f t="shared" si="617"/>
        <v>0</v>
      </c>
      <c r="AJ117" s="262">
        <f t="shared" ref="AJ117:AJ125" si="618">AI117-AH117</f>
        <v>0</v>
      </c>
      <c r="AK117" s="298">
        <f t="shared" ref="AK117:AL117" si="619">AK6*AK26</f>
        <v>0</v>
      </c>
      <c r="AL117" s="299">
        <f t="shared" si="619"/>
        <v>0</v>
      </c>
      <c r="AM117" s="262">
        <f t="shared" ref="AM117:AM125" si="620">AL117-AK117</f>
        <v>0</v>
      </c>
      <c r="AN117" s="298">
        <f t="shared" ref="AN117:AO117" si="621">AN6*AN26</f>
        <v>0</v>
      </c>
      <c r="AO117" s="299">
        <f t="shared" si="621"/>
        <v>0</v>
      </c>
      <c r="AP117" s="262">
        <f t="shared" ref="AP117:AP125" si="622">AO117-AN117</f>
        <v>0</v>
      </c>
      <c r="AQ117" s="298">
        <f t="shared" ref="AQ117:AR117" si="623">AQ6*AQ26</f>
        <v>0</v>
      </c>
      <c r="AR117" s="299">
        <f t="shared" si="623"/>
        <v>0</v>
      </c>
      <c r="AS117" s="262">
        <f t="shared" ref="AS117:AS125" si="624">AR117-AQ117</f>
        <v>0</v>
      </c>
      <c r="AT117" s="298">
        <f t="shared" ref="AT117:AU117" si="625">AT6*AT26</f>
        <v>0</v>
      </c>
      <c r="AU117" s="299">
        <f t="shared" si="625"/>
        <v>0</v>
      </c>
      <c r="AV117" s="262">
        <f t="shared" ref="AV117:AV125" si="626">AU117-AT117</f>
        <v>0</v>
      </c>
      <c r="AW117" s="298">
        <f t="shared" ref="AW117:AX117" si="627">AW6*AW26</f>
        <v>0</v>
      </c>
      <c r="AX117" s="299">
        <f t="shared" si="627"/>
        <v>0</v>
      </c>
      <c r="AY117" s="262">
        <f t="shared" ref="AY117:AY125" si="628">AX117-AW117</f>
        <v>0</v>
      </c>
      <c r="AZ117" s="298">
        <f t="shared" ref="AZ117:BA117" si="629">AZ6*AZ26</f>
        <v>0</v>
      </c>
      <c r="BA117" s="299">
        <f t="shared" si="629"/>
        <v>0</v>
      </c>
      <c r="BB117" s="262">
        <f t="shared" ref="BB117:BB125" si="630">BA117-AZ117</f>
        <v>0</v>
      </c>
      <c r="BC117" s="298">
        <f t="shared" ref="BC117:BD117" si="631">BC6*BC26</f>
        <v>0</v>
      </c>
      <c r="BD117" s="299">
        <f t="shared" si="631"/>
        <v>0</v>
      </c>
      <c r="BE117" s="262">
        <f t="shared" ref="BE117:BE125" si="632">BD117-BC117</f>
        <v>0</v>
      </c>
      <c r="BF117" s="298">
        <f t="shared" ref="BF117:BG117" si="633">BF6*BF26</f>
        <v>0</v>
      </c>
      <c r="BG117" s="299">
        <f t="shared" si="633"/>
        <v>0</v>
      </c>
      <c r="BH117" s="262">
        <f t="shared" ref="BH117:BH125" si="634">BG117-BF117</f>
        <v>0</v>
      </c>
      <c r="BI117" s="298">
        <f t="shared" si="597"/>
        <v>0</v>
      </c>
      <c r="BJ117" s="299">
        <f t="shared" si="597"/>
        <v>0</v>
      </c>
      <c r="BK117" s="262">
        <f t="shared" ref="BK117:BK125" si="635">BJ117-BI117</f>
        <v>0</v>
      </c>
      <c r="BL117" s="298">
        <f t="shared" si="598"/>
        <v>0</v>
      </c>
      <c r="BM117" s="299">
        <f t="shared" si="598"/>
        <v>0</v>
      </c>
      <c r="BN117" s="262">
        <f t="shared" ref="BN117:BN125" si="636">BM117-BL117</f>
        <v>0</v>
      </c>
      <c r="BO117" s="298">
        <f t="shared" si="599"/>
        <v>0</v>
      </c>
      <c r="BP117" s="299">
        <f t="shared" si="599"/>
        <v>0</v>
      </c>
      <c r="BQ117" s="262">
        <f t="shared" ref="BQ117:BQ125" si="637">BP117-BO117</f>
        <v>0</v>
      </c>
    </row>
    <row r="118" spans="1:70">
      <c r="A118" s="835"/>
      <c r="B118" s="837"/>
      <c r="C118" s="290" t="s">
        <v>27</v>
      </c>
      <c r="D118" s="291">
        <f t="shared" si="577"/>
        <v>0</v>
      </c>
      <c r="E118" s="292">
        <f t="shared" si="161"/>
        <v>0</v>
      </c>
      <c r="F118" s="293">
        <f t="shared" si="578"/>
        <v>0</v>
      </c>
      <c r="G118" s="298">
        <f t="shared" si="579"/>
        <v>0</v>
      </c>
      <c r="H118" s="299">
        <f t="shared" si="579"/>
        <v>0</v>
      </c>
      <c r="I118" s="262">
        <f t="shared" si="600"/>
        <v>0</v>
      </c>
      <c r="J118" s="298">
        <f t="shared" ref="J118:K118" si="638">J7*J27</f>
        <v>0</v>
      </c>
      <c r="K118" s="299">
        <f t="shared" si="638"/>
        <v>0</v>
      </c>
      <c r="L118" s="262">
        <f t="shared" si="602"/>
        <v>0</v>
      </c>
      <c r="M118" s="298">
        <f t="shared" ref="M118:N118" si="639">M7*M27</f>
        <v>0</v>
      </c>
      <c r="N118" s="299">
        <f t="shared" si="639"/>
        <v>0</v>
      </c>
      <c r="O118" s="262">
        <f t="shared" si="604"/>
        <v>0</v>
      </c>
      <c r="P118" s="298">
        <f t="shared" ref="P118:Q118" si="640">P7*P27</f>
        <v>0</v>
      </c>
      <c r="Q118" s="299">
        <f t="shared" si="640"/>
        <v>0</v>
      </c>
      <c r="R118" s="262">
        <f t="shared" si="606"/>
        <v>0</v>
      </c>
      <c r="S118" s="298">
        <f t="shared" ref="S118:T118" si="641">S7*S27</f>
        <v>0</v>
      </c>
      <c r="T118" s="299">
        <f t="shared" si="641"/>
        <v>0</v>
      </c>
      <c r="U118" s="262">
        <f t="shared" si="608"/>
        <v>0</v>
      </c>
      <c r="V118" s="298">
        <f t="shared" ref="V118:W118" si="642">V7*V27</f>
        <v>0</v>
      </c>
      <c r="W118" s="299">
        <f t="shared" si="642"/>
        <v>0</v>
      </c>
      <c r="X118" s="262">
        <f t="shared" si="610"/>
        <v>0</v>
      </c>
      <c r="Y118" s="298">
        <f t="shared" ref="Y118:Z118" si="643">Y7*Y27</f>
        <v>0</v>
      </c>
      <c r="Z118" s="299">
        <f t="shared" si="643"/>
        <v>0</v>
      </c>
      <c r="AA118" s="262">
        <f t="shared" si="612"/>
        <v>0</v>
      </c>
      <c r="AB118" s="298">
        <f t="shared" ref="AB118:AC118" si="644">AB7*AB27</f>
        <v>0</v>
      </c>
      <c r="AC118" s="299">
        <f t="shared" si="644"/>
        <v>0</v>
      </c>
      <c r="AD118" s="262">
        <f t="shared" si="614"/>
        <v>0</v>
      </c>
      <c r="AE118" s="298">
        <f t="shared" ref="AE118:AF118" si="645">AE7*AE27</f>
        <v>0</v>
      </c>
      <c r="AF118" s="299">
        <f t="shared" si="645"/>
        <v>0</v>
      </c>
      <c r="AG118" s="262">
        <f t="shared" si="616"/>
        <v>0</v>
      </c>
      <c r="AH118" s="298">
        <f t="shared" ref="AH118:AI118" si="646">AH7*AH27</f>
        <v>0</v>
      </c>
      <c r="AI118" s="299">
        <f t="shared" si="646"/>
        <v>0</v>
      </c>
      <c r="AJ118" s="262">
        <f t="shared" si="618"/>
        <v>0</v>
      </c>
      <c r="AK118" s="298">
        <f t="shared" ref="AK118:AL118" si="647">AK7*AK27</f>
        <v>0</v>
      </c>
      <c r="AL118" s="299">
        <f t="shared" si="647"/>
        <v>0</v>
      </c>
      <c r="AM118" s="262">
        <f t="shared" si="620"/>
        <v>0</v>
      </c>
      <c r="AN118" s="298">
        <f t="shared" ref="AN118:AO118" si="648">AN7*AN27</f>
        <v>0</v>
      </c>
      <c r="AO118" s="299">
        <f t="shared" si="648"/>
        <v>0</v>
      </c>
      <c r="AP118" s="262">
        <f t="shared" si="622"/>
        <v>0</v>
      </c>
      <c r="AQ118" s="298">
        <f t="shared" ref="AQ118:AR118" si="649">AQ7*AQ27</f>
        <v>0</v>
      </c>
      <c r="AR118" s="299">
        <f t="shared" si="649"/>
        <v>0</v>
      </c>
      <c r="AS118" s="262">
        <f t="shared" si="624"/>
        <v>0</v>
      </c>
      <c r="AT118" s="298">
        <f t="shared" ref="AT118:AU118" si="650">AT7*AT27</f>
        <v>0</v>
      </c>
      <c r="AU118" s="299">
        <f t="shared" si="650"/>
        <v>0</v>
      </c>
      <c r="AV118" s="262">
        <f t="shared" si="626"/>
        <v>0</v>
      </c>
      <c r="AW118" s="298">
        <f t="shared" ref="AW118:AX118" si="651">AW7*AW27</f>
        <v>0</v>
      </c>
      <c r="AX118" s="299">
        <f t="shared" si="651"/>
        <v>0</v>
      </c>
      <c r="AY118" s="262">
        <f t="shared" si="628"/>
        <v>0</v>
      </c>
      <c r="AZ118" s="298">
        <f t="shared" ref="AZ118:BA118" si="652">AZ7*AZ27</f>
        <v>0</v>
      </c>
      <c r="BA118" s="299">
        <f t="shared" si="652"/>
        <v>0</v>
      </c>
      <c r="BB118" s="262">
        <f t="shared" si="630"/>
        <v>0</v>
      </c>
      <c r="BC118" s="298">
        <f t="shared" ref="BC118:BD118" si="653">BC7*BC27</f>
        <v>0</v>
      </c>
      <c r="BD118" s="299">
        <f t="shared" si="653"/>
        <v>0</v>
      </c>
      <c r="BE118" s="262">
        <f t="shared" si="632"/>
        <v>0</v>
      </c>
      <c r="BF118" s="298">
        <f t="shared" ref="BF118:BG118" si="654">BF7*BF27</f>
        <v>0</v>
      </c>
      <c r="BG118" s="299">
        <f t="shared" si="654"/>
        <v>0</v>
      </c>
      <c r="BH118" s="262">
        <f t="shared" si="634"/>
        <v>0</v>
      </c>
      <c r="BI118" s="298">
        <f t="shared" si="597"/>
        <v>0</v>
      </c>
      <c r="BJ118" s="299">
        <f t="shared" si="597"/>
        <v>0</v>
      </c>
      <c r="BK118" s="262">
        <f t="shared" si="635"/>
        <v>0</v>
      </c>
      <c r="BL118" s="298">
        <f t="shared" si="598"/>
        <v>0</v>
      </c>
      <c r="BM118" s="299">
        <f t="shared" si="598"/>
        <v>0</v>
      </c>
      <c r="BN118" s="262">
        <f t="shared" si="636"/>
        <v>0</v>
      </c>
      <c r="BO118" s="298">
        <f t="shared" si="599"/>
        <v>0</v>
      </c>
      <c r="BP118" s="299">
        <f t="shared" si="599"/>
        <v>0</v>
      </c>
      <c r="BQ118" s="262">
        <f t="shared" si="637"/>
        <v>0</v>
      </c>
    </row>
    <row r="119" spans="1:70">
      <c r="A119" s="835"/>
      <c r="B119" s="837"/>
      <c r="C119" s="290" t="s">
        <v>28</v>
      </c>
      <c r="D119" s="291">
        <f t="shared" si="577"/>
        <v>0</v>
      </c>
      <c r="E119" s="292">
        <f t="shared" si="161"/>
        <v>0</v>
      </c>
      <c r="F119" s="293">
        <f t="shared" si="578"/>
        <v>0</v>
      </c>
      <c r="G119" s="298">
        <f t="shared" si="579"/>
        <v>0</v>
      </c>
      <c r="H119" s="299">
        <f t="shared" si="579"/>
        <v>0</v>
      </c>
      <c r="I119" s="262">
        <f t="shared" si="600"/>
        <v>0</v>
      </c>
      <c r="J119" s="298">
        <f t="shared" ref="J119:K119" si="655">J8*J28</f>
        <v>0</v>
      </c>
      <c r="K119" s="299">
        <f t="shared" si="655"/>
        <v>0</v>
      </c>
      <c r="L119" s="262">
        <f t="shared" si="602"/>
        <v>0</v>
      </c>
      <c r="M119" s="298">
        <f t="shared" ref="M119:N119" si="656">M8*M28</f>
        <v>0</v>
      </c>
      <c r="N119" s="299">
        <f t="shared" si="656"/>
        <v>0</v>
      </c>
      <c r="O119" s="262">
        <f t="shared" si="604"/>
        <v>0</v>
      </c>
      <c r="P119" s="298">
        <f t="shared" ref="P119:Q119" si="657">P8*P28</f>
        <v>0</v>
      </c>
      <c r="Q119" s="299">
        <f t="shared" si="657"/>
        <v>0</v>
      </c>
      <c r="R119" s="262">
        <f t="shared" si="606"/>
        <v>0</v>
      </c>
      <c r="S119" s="298">
        <f t="shared" ref="S119:T119" si="658">S8*S28</f>
        <v>0</v>
      </c>
      <c r="T119" s="299">
        <f t="shared" si="658"/>
        <v>0</v>
      </c>
      <c r="U119" s="262">
        <f t="shared" si="608"/>
        <v>0</v>
      </c>
      <c r="V119" s="298">
        <f t="shared" ref="V119:W119" si="659">V8*V28</f>
        <v>0</v>
      </c>
      <c r="W119" s="299">
        <f t="shared" si="659"/>
        <v>0</v>
      </c>
      <c r="X119" s="262">
        <f t="shared" si="610"/>
        <v>0</v>
      </c>
      <c r="Y119" s="298">
        <f t="shared" ref="Y119:Z119" si="660">Y8*Y28</f>
        <v>0</v>
      </c>
      <c r="Z119" s="299">
        <f t="shared" si="660"/>
        <v>0</v>
      </c>
      <c r="AA119" s="262">
        <f t="shared" si="612"/>
        <v>0</v>
      </c>
      <c r="AB119" s="298">
        <f t="shared" ref="AB119:AC119" si="661">AB8*AB28</f>
        <v>0</v>
      </c>
      <c r="AC119" s="299">
        <f t="shared" si="661"/>
        <v>0</v>
      </c>
      <c r="AD119" s="262">
        <f t="shared" si="614"/>
        <v>0</v>
      </c>
      <c r="AE119" s="298">
        <f t="shared" ref="AE119:AF119" si="662">AE8*AE28</f>
        <v>0</v>
      </c>
      <c r="AF119" s="299">
        <f t="shared" si="662"/>
        <v>0</v>
      </c>
      <c r="AG119" s="262">
        <f t="shared" si="616"/>
        <v>0</v>
      </c>
      <c r="AH119" s="298">
        <f t="shared" ref="AH119:AI119" si="663">AH8*AH28</f>
        <v>0</v>
      </c>
      <c r="AI119" s="299">
        <f t="shared" si="663"/>
        <v>0</v>
      </c>
      <c r="AJ119" s="262">
        <f t="shared" si="618"/>
        <v>0</v>
      </c>
      <c r="AK119" s="298">
        <f t="shared" ref="AK119:AL119" si="664">AK8*AK28</f>
        <v>0</v>
      </c>
      <c r="AL119" s="299">
        <f t="shared" si="664"/>
        <v>0</v>
      </c>
      <c r="AM119" s="262">
        <f t="shared" si="620"/>
        <v>0</v>
      </c>
      <c r="AN119" s="298">
        <f t="shared" ref="AN119:AO119" si="665">AN8*AN28</f>
        <v>0</v>
      </c>
      <c r="AO119" s="299">
        <f t="shared" si="665"/>
        <v>0</v>
      </c>
      <c r="AP119" s="262">
        <f t="shared" si="622"/>
        <v>0</v>
      </c>
      <c r="AQ119" s="298">
        <f t="shared" ref="AQ119:AR119" si="666">AQ8*AQ28</f>
        <v>0</v>
      </c>
      <c r="AR119" s="299">
        <f t="shared" si="666"/>
        <v>0</v>
      </c>
      <c r="AS119" s="262">
        <f t="shared" si="624"/>
        <v>0</v>
      </c>
      <c r="AT119" s="298">
        <f t="shared" ref="AT119:AU119" si="667">AT8*AT28</f>
        <v>0</v>
      </c>
      <c r="AU119" s="299">
        <f t="shared" si="667"/>
        <v>0</v>
      </c>
      <c r="AV119" s="262">
        <f t="shared" si="626"/>
        <v>0</v>
      </c>
      <c r="AW119" s="298">
        <f t="shared" ref="AW119:AX119" si="668">AW8*AW28</f>
        <v>0</v>
      </c>
      <c r="AX119" s="299">
        <f t="shared" si="668"/>
        <v>0</v>
      </c>
      <c r="AY119" s="262">
        <f t="shared" si="628"/>
        <v>0</v>
      </c>
      <c r="AZ119" s="298">
        <f t="shared" ref="AZ119:BA119" si="669">AZ8*AZ28</f>
        <v>0</v>
      </c>
      <c r="BA119" s="299">
        <f t="shared" si="669"/>
        <v>0</v>
      </c>
      <c r="BB119" s="262">
        <f t="shared" si="630"/>
        <v>0</v>
      </c>
      <c r="BC119" s="298">
        <f t="shared" ref="BC119:BD119" si="670">BC8*BC28</f>
        <v>0</v>
      </c>
      <c r="BD119" s="299">
        <f t="shared" si="670"/>
        <v>0</v>
      </c>
      <c r="BE119" s="262">
        <f t="shared" si="632"/>
        <v>0</v>
      </c>
      <c r="BF119" s="298">
        <f t="shared" ref="BF119:BG119" si="671">BF8*BF28</f>
        <v>0</v>
      </c>
      <c r="BG119" s="299">
        <f t="shared" si="671"/>
        <v>0</v>
      </c>
      <c r="BH119" s="262">
        <f t="shared" si="634"/>
        <v>0</v>
      </c>
      <c r="BI119" s="298">
        <f t="shared" si="597"/>
        <v>0</v>
      </c>
      <c r="BJ119" s="299">
        <f t="shared" si="597"/>
        <v>0</v>
      </c>
      <c r="BK119" s="262">
        <f t="shared" si="635"/>
        <v>0</v>
      </c>
      <c r="BL119" s="298">
        <f t="shared" si="598"/>
        <v>0</v>
      </c>
      <c r="BM119" s="299">
        <f t="shared" si="598"/>
        <v>0</v>
      </c>
      <c r="BN119" s="262">
        <f t="shared" si="636"/>
        <v>0</v>
      </c>
      <c r="BO119" s="298">
        <f t="shared" si="599"/>
        <v>0</v>
      </c>
      <c r="BP119" s="299">
        <f t="shared" si="599"/>
        <v>0</v>
      </c>
      <c r="BQ119" s="262">
        <f t="shared" si="637"/>
        <v>0</v>
      </c>
    </row>
    <row r="120" spans="1:70">
      <c r="A120" s="835"/>
      <c r="B120" s="837"/>
      <c r="C120" s="290" t="s">
        <v>29</v>
      </c>
      <c r="D120" s="291">
        <f t="shared" si="577"/>
        <v>0</v>
      </c>
      <c r="E120" s="292">
        <f t="shared" si="161"/>
        <v>0</v>
      </c>
      <c r="F120" s="293">
        <f t="shared" si="578"/>
        <v>0</v>
      </c>
      <c r="G120" s="298">
        <f t="shared" si="579"/>
        <v>0</v>
      </c>
      <c r="H120" s="299">
        <f t="shared" si="579"/>
        <v>0</v>
      </c>
      <c r="I120" s="262">
        <f t="shared" si="600"/>
        <v>0</v>
      </c>
      <c r="J120" s="298">
        <f t="shared" ref="J120:K120" si="672">J9*J29</f>
        <v>0</v>
      </c>
      <c r="K120" s="299">
        <f t="shared" si="672"/>
        <v>0</v>
      </c>
      <c r="L120" s="262">
        <f t="shared" si="602"/>
        <v>0</v>
      </c>
      <c r="M120" s="298">
        <f t="shared" ref="M120:N120" si="673">M9*M29</f>
        <v>0</v>
      </c>
      <c r="N120" s="299">
        <f t="shared" si="673"/>
        <v>0</v>
      </c>
      <c r="O120" s="262">
        <f t="shared" si="604"/>
        <v>0</v>
      </c>
      <c r="P120" s="298">
        <f t="shared" ref="P120:Q120" si="674">P9*P29</f>
        <v>0</v>
      </c>
      <c r="Q120" s="299">
        <f t="shared" si="674"/>
        <v>0</v>
      </c>
      <c r="R120" s="262">
        <f t="shared" si="606"/>
        <v>0</v>
      </c>
      <c r="S120" s="298">
        <f t="shared" ref="S120:T120" si="675">S9*S29</f>
        <v>0</v>
      </c>
      <c r="T120" s="299">
        <f t="shared" si="675"/>
        <v>0</v>
      </c>
      <c r="U120" s="262">
        <f t="shared" si="608"/>
        <v>0</v>
      </c>
      <c r="V120" s="298">
        <f t="shared" ref="V120:W120" si="676">V9*V29</f>
        <v>0</v>
      </c>
      <c r="W120" s="299">
        <f t="shared" si="676"/>
        <v>0</v>
      </c>
      <c r="X120" s="262">
        <f t="shared" si="610"/>
        <v>0</v>
      </c>
      <c r="Y120" s="298">
        <f t="shared" ref="Y120:Z120" si="677">Y9*Y29</f>
        <v>0</v>
      </c>
      <c r="Z120" s="299">
        <f t="shared" si="677"/>
        <v>0</v>
      </c>
      <c r="AA120" s="262">
        <f t="shared" si="612"/>
        <v>0</v>
      </c>
      <c r="AB120" s="298">
        <f t="shared" ref="AB120:AC120" si="678">AB9*AB29</f>
        <v>0</v>
      </c>
      <c r="AC120" s="299">
        <f t="shared" si="678"/>
        <v>0</v>
      </c>
      <c r="AD120" s="262">
        <f t="shared" si="614"/>
        <v>0</v>
      </c>
      <c r="AE120" s="298">
        <f t="shared" ref="AE120:AF120" si="679">AE9*AE29</f>
        <v>0</v>
      </c>
      <c r="AF120" s="299">
        <f t="shared" si="679"/>
        <v>0</v>
      </c>
      <c r="AG120" s="262">
        <f t="shared" si="616"/>
        <v>0</v>
      </c>
      <c r="AH120" s="298">
        <f t="shared" ref="AH120:AI120" si="680">AH9*AH29</f>
        <v>0</v>
      </c>
      <c r="AI120" s="299">
        <f t="shared" si="680"/>
        <v>0</v>
      </c>
      <c r="AJ120" s="262">
        <f t="shared" si="618"/>
        <v>0</v>
      </c>
      <c r="AK120" s="298">
        <f t="shared" ref="AK120:AL120" si="681">AK9*AK29</f>
        <v>0</v>
      </c>
      <c r="AL120" s="299">
        <f t="shared" si="681"/>
        <v>0</v>
      </c>
      <c r="AM120" s="262">
        <f t="shared" si="620"/>
        <v>0</v>
      </c>
      <c r="AN120" s="298">
        <f t="shared" ref="AN120:AO120" si="682">AN9*AN29</f>
        <v>0</v>
      </c>
      <c r="AO120" s="299">
        <f t="shared" si="682"/>
        <v>0</v>
      </c>
      <c r="AP120" s="262">
        <f t="shared" si="622"/>
        <v>0</v>
      </c>
      <c r="AQ120" s="298">
        <f t="shared" ref="AQ120:AR120" si="683">AQ9*AQ29</f>
        <v>0</v>
      </c>
      <c r="AR120" s="299">
        <f t="shared" si="683"/>
        <v>0</v>
      </c>
      <c r="AS120" s="262">
        <f t="shared" si="624"/>
        <v>0</v>
      </c>
      <c r="AT120" s="298">
        <f t="shared" ref="AT120:AU120" si="684">AT9*AT29</f>
        <v>0</v>
      </c>
      <c r="AU120" s="299">
        <f t="shared" si="684"/>
        <v>0</v>
      </c>
      <c r="AV120" s="262">
        <f t="shared" si="626"/>
        <v>0</v>
      </c>
      <c r="AW120" s="298">
        <f t="shared" ref="AW120:AX120" si="685">AW9*AW29</f>
        <v>0</v>
      </c>
      <c r="AX120" s="299">
        <f t="shared" si="685"/>
        <v>0</v>
      </c>
      <c r="AY120" s="262">
        <f t="shared" si="628"/>
        <v>0</v>
      </c>
      <c r="AZ120" s="298">
        <f t="shared" ref="AZ120:BA120" si="686">AZ9*AZ29</f>
        <v>0</v>
      </c>
      <c r="BA120" s="299">
        <f t="shared" si="686"/>
        <v>0</v>
      </c>
      <c r="BB120" s="262">
        <f t="shared" si="630"/>
        <v>0</v>
      </c>
      <c r="BC120" s="298">
        <f t="shared" ref="BC120:BD120" si="687">BC9*BC29</f>
        <v>0</v>
      </c>
      <c r="BD120" s="299">
        <f t="shared" si="687"/>
        <v>0</v>
      </c>
      <c r="BE120" s="262">
        <f t="shared" si="632"/>
        <v>0</v>
      </c>
      <c r="BF120" s="298">
        <f t="shared" ref="BF120:BG120" si="688">BF9*BF29</f>
        <v>0</v>
      </c>
      <c r="BG120" s="299">
        <f t="shared" si="688"/>
        <v>0</v>
      </c>
      <c r="BH120" s="262">
        <f t="shared" si="634"/>
        <v>0</v>
      </c>
      <c r="BI120" s="298">
        <f t="shared" si="597"/>
        <v>0</v>
      </c>
      <c r="BJ120" s="299">
        <f t="shared" si="597"/>
        <v>0</v>
      </c>
      <c r="BK120" s="262">
        <f t="shared" si="635"/>
        <v>0</v>
      </c>
      <c r="BL120" s="298">
        <f t="shared" si="598"/>
        <v>0</v>
      </c>
      <c r="BM120" s="299">
        <f t="shared" si="598"/>
        <v>0</v>
      </c>
      <c r="BN120" s="262">
        <f t="shared" si="636"/>
        <v>0</v>
      </c>
      <c r="BO120" s="298">
        <f t="shared" si="599"/>
        <v>0</v>
      </c>
      <c r="BP120" s="299">
        <f t="shared" si="599"/>
        <v>0</v>
      </c>
      <c r="BQ120" s="262">
        <f t="shared" si="637"/>
        <v>0</v>
      </c>
    </row>
    <row r="121" spans="1:70">
      <c r="A121" s="835"/>
      <c r="B121" s="837"/>
      <c r="C121" s="290" t="s">
        <v>30</v>
      </c>
      <c r="D121" s="291">
        <f t="shared" si="577"/>
        <v>0</v>
      </c>
      <c r="E121" s="292">
        <f t="shared" si="161"/>
        <v>0</v>
      </c>
      <c r="F121" s="293">
        <f t="shared" si="578"/>
        <v>0</v>
      </c>
      <c r="G121" s="298">
        <f t="shared" si="579"/>
        <v>0</v>
      </c>
      <c r="H121" s="299">
        <f t="shared" si="579"/>
        <v>0</v>
      </c>
      <c r="I121" s="262">
        <f t="shared" si="600"/>
        <v>0</v>
      </c>
      <c r="J121" s="298">
        <f t="shared" ref="J121:K121" si="689">J10*J30</f>
        <v>0</v>
      </c>
      <c r="K121" s="299">
        <f t="shared" si="689"/>
        <v>0</v>
      </c>
      <c r="L121" s="262">
        <f t="shared" si="602"/>
        <v>0</v>
      </c>
      <c r="M121" s="298">
        <f t="shared" ref="M121:N121" si="690">M10*M30</f>
        <v>0</v>
      </c>
      <c r="N121" s="299">
        <f t="shared" si="690"/>
        <v>0</v>
      </c>
      <c r="O121" s="262">
        <f t="shared" si="604"/>
        <v>0</v>
      </c>
      <c r="P121" s="298">
        <f t="shared" ref="P121:Q121" si="691">P10*P30</f>
        <v>0</v>
      </c>
      <c r="Q121" s="299">
        <f t="shared" si="691"/>
        <v>0</v>
      </c>
      <c r="R121" s="262">
        <f t="shared" si="606"/>
        <v>0</v>
      </c>
      <c r="S121" s="298">
        <f t="shared" ref="S121:T121" si="692">S10*S30</f>
        <v>0</v>
      </c>
      <c r="T121" s="299">
        <f t="shared" si="692"/>
        <v>0</v>
      </c>
      <c r="U121" s="262">
        <f t="shared" si="608"/>
        <v>0</v>
      </c>
      <c r="V121" s="298">
        <f t="shared" ref="V121:W121" si="693">V10*V30</f>
        <v>0</v>
      </c>
      <c r="W121" s="299">
        <f t="shared" si="693"/>
        <v>0</v>
      </c>
      <c r="X121" s="262">
        <f t="shared" si="610"/>
        <v>0</v>
      </c>
      <c r="Y121" s="298">
        <f t="shared" ref="Y121:Z121" si="694">Y10*Y30</f>
        <v>0</v>
      </c>
      <c r="Z121" s="299">
        <f t="shared" si="694"/>
        <v>0</v>
      </c>
      <c r="AA121" s="262">
        <f t="shared" si="612"/>
        <v>0</v>
      </c>
      <c r="AB121" s="298">
        <f t="shared" ref="AB121:AC121" si="695">AB10*AB30</f>
        <v>0</v>
      </c>
      <c r="AC121" s="299">
        <f t="shared" si="695"/>
        <v>0</v>
      </c>
      <c r="AD121" s="262">
        <f t="shared" si="614"/>
        <v>0</v>
      </c>
      <c r="AE121" s="298">
        <f t="shared" ref="AE121:AF121" si="696">AE10*AE30</f>
        <v>0</v>
      </c>
      <c r="AF121" s="299">
        <f t="shared" si="696"/>
        <v>0</v>
      </c>
      <c r="AG121" s="262">
        <f t="shared" si="616"/>
        <v>0</v>
      </c>
      <c r="AH121" s="298">
        <f t="shared" ref="AH121:AI121" si="697">AH10*AH30</f>
        <v>0</v>
      </c>
      <c r="AI121" s="299">
        <f t="shared" si="697"/>
        <v>0</v>
      </c>
      <c r="AJ121" s="262">
        <f t="shared" si="618"/>
        <v>0</v>
      </c>
      <c r="AK121" s="298">
        <f t="shared" ref="AK121:AL121" si="698">AK10*AK30</f>
        <v>0</v>
      </c>
      <c r="AL121" s="299">
        <f t="shared" si="698"/>
        <v>0</v>
      </c>
      <c r="AM121" s="262">
        <f t="shared" si="620"/>
        <v>0</v>
      </c>
      <c r="AN121" s="298">
        <f t="shared" ref="AN121:AO121" si="699">AN10*AN30</f>
        <v>0</v>
      </c>
      <c r="AO121" s="299">
        <f t="shared" si="699"/>
        <v>0</v>
      </c>
      <c r="AP121" s="262">
        <f t="shared" si="622"/>
        <v>0</v>
      </c>
      <c r="AQ121" s="298">
        <f t="shared" ref="AQ121:AR121" si="700">AQ10*AQ30</f>
        <v>0</v>
      </c>
      <c r="AR121" s="299">
        <f t="shared" si="700"/>
        <v>0</v>
      </c>
      <c r="AS121" s="262">
        <f t="shared" si="624"/>
        <v>0</v>
      </c>
      <c r="AT121" s="298">
        <f t="shared" ref="AT121:AU121" si="701">AT10*AT30</f>
        <v>0</v>
      </c>
      <c r="AU121" s="299">
        <f t="shared" si="701"/>
        <v>0</v>
      </c>
      <c r="AV121" s="262">
        <f t="shared" si="626"/>
        <v>0</v>
      </c>
      <c r="AW121" s="298">
        <f t="shared" ref="AW121:AX121" si="702">AW10*AW30</f>
        <v>0</v>
      </c>
      <c r="AX121" s="299">
        <f t="shared" si="702"/>
        <v>0</v>
      </c>
      <c r="AY121" s="262">
        <f t="shared" si="628"/>
        <v>0</v>
      </c>
      <c r="AZ121" s="298">
        <f t="shared" ref="AZ121:BA121" si="703">AZ10*AZ30</f>
        <v>0</v>
      </c>
      <c r="BA121" s="299">
        <f t="shared" si="703"/>
        <v>0</v>
      </c>
      <c r="BB121" s="262">
        <f t="shared" si="630"/>
        <v>0</v>
      </c>
      <c r="BC121" s="298">
        <f t="shared" ref="BC121:BD121" si="704">BC10*BC30</f>
        <v>0</v>
      </c>
      <c r="BD121" s="299">
        <f t="shared" si="704"/>
        <v>0</v>
      </c>
      <c r="BE121" s="262">
        <f t="shared" si="632"/>
        <v>0</v>
      </c>
      <c r="BF121" s="298">
        <f t="shared" ref="BF121:BG121" si="705">BF10*BF30</f>
        <v>0</v>
      </c>
      <c r="BG121" s="299">
        <f t="shared" si="705"/>
        <v>0</v>
      </c>
      <c r="BH121" s="262">
        <f t="shared" si="634"/>
        <v>0</v>
      </c>
      <c r="BI121" s="298">
        <f t="shared" si="597"/>
        <v>0</v>
      </c>
      <c r="BJ121" s="299">
        <f t="shared" si="597"/>
        <v>0</v>
      </c>
      <c r="BK121" s="262">
        <f t="shared" si="635"/>
        <v>0</v>
      </c>
      <c r="BL121" s="298">
        <f t="shared" si="598"/>
        <v>0</v>
      </c>
      <c r="BM121" s="299">
        <f t="shared" si="598"/>
        <v>0</v>
      </c>
      <c r="BN121" s="262">
        <f t="shared" si="636"/>
        <v>0</v>
      </c>
      <c r="BO121" s="298">
        <f t="shared" si="599"/>
        <v>0</v>
      </c>
      <c r="BP121" s="299">
        <f t="shared" si="599"/>
        <v>0</v>
      </c>
      <c r="BQ121" s="262">
        <f t="shared" si="637"/>
        <v>0</v>
      </c>
    </row>
    <row r="122" spans="1:70">
      <c r="A122" s="835"/>
      <c r="B122" s="837"/>
      <c r="C122" s="290" t="s">
        <v>31</v>
      </c>
      <c r="D122" s="291">
        <f t="shared" si="577"/>
        <v>0</v>
      </c>
      <c r="E122" s="292">
        <f t="shared" si="161"/>
        <v>0</v>
      </c>
      <c r="F122" s="293">
        <f t="shared" si="578"/>
        <v>0</v>
      </c>
      <c r="G122" s="298">
        <f t="shared" si="579"/>
        <v>0</v>
      </c>
      <c r="H122" s="299">
        <f t="shared" si="579"/>
        <v>0</v>
      </c>
      <c r="I122" s="262">
        <f t="shared" si="600"/>
        <v>0</v>
      </c>
      <c r="J122" s="298">
        <f t="shared" ref="J122:K122" si="706">J11*J31</f>
        <v>0</v>
      </c>
      <c r="K122" s="299">
        <f t="shared" si="706"/>
        <v>0</v>
      </c>
      <c r="L122" s="262">
        <f t="shared" si="602"/>
        <v>0</v>
      </c>
      <c r="M122" s="298">
        <f t="shared" ref="M122:N122" si="707">M11*M31</f>
        <v>0</v>
      </c>
      <c r="N122" s="299">
        <f t="shared" si="707"/>
        <v>0</v>
      </c>
      <c r="O122" s="262">
        <f t="shared" si="604"/>
        <v>0</v>
      </c>
      <c r="P122" s="298">
        <f t="shared" ref="P122:Q122" si="708">P11*P31</f>
        <v>0</v>
      </c>
      <c r="Q122" s="299">
        <f t="shared" si="708"/>
        <v>0</v>
      </c>
      <c r="R122" s="262">
        <f t="shared" si="606"/>
        <v>0</v>
      </c>
      <c r="S122" s="298">
        <f t="shared" ref="S122:T122" si="709">S11*S31</f>
        <v>0</v>
      </c>
      <c r="T122" s="299">
        <f t="shared" si="709"/>
        <v>0</v>
      </c>
      <c r="U122" s="262">
        <f t="shared" si="608"/>
        <v>0</v>
      </c>
      <c r="V122" s="298">
        <f t="shared" ref="V122:W122" si="710">V11*V31</f>
        <v>0</v>
      </c>
      <c r="W122" s="299">
        <f t="shared" si="710"/>
        <v>0</v>
      </c>
      <c r="X122" s="262">
        <f t="shared" si="610"/>
        <v>0</v>
      </c>
      <c r="Y122" s="298">
        <f t="shared" ref="Y122:Z122" si="711">Y11*Y31</f>
        <v>0</v>
      </c>
      <c r="Z122" s="299">
        <f t="shared" si="711"/>
        <v>0</v>
      </c>
      <c r="AA122" s="262">
        <f t="shared" si="612"/>
        <v>0</v>
      </c>
      <c r="AB122" s="298">
        <f t="shared" ref="AB122:AC122" si="712">AB11*AB31</f>
        <v>0</v>
      </c>
      <c r="AC122" s="299">
        <f t="shared" si="712"/>
        <v>0</v>
      </c>
      <c r="AD122" s="262">
        <f t="shared" si="614"/>
        <v>0</v>
      </c>
      <c r="AE122" s="298">
        <f t="shared" ref="AE122:AF122" si="713">AE11*AE31</f>
        <v>0</v>
      </c>
      <c r="AF122" s="299">
        <f t="shared" si="713"/>
        <v>0</v>
      </c>
      <c r="AG122" s="262">
        <f t="shared" si="616"/>
        <v>0</v>
      </c>
      <c r="AH122" s="298">
        <f t="shared" ref="AH122:AI122" si="714">AH11*AH31</f>
        <v>0</v>
      </c>
      <c r="AI122" s="299">
        <f t="shared" si="714"/>
        <v>0</v>
      </c>
      <c r="AJ122" s="262">
        <f t="shared" si="618"/>
        <v>0</v>
      </c>
      <c r="AK122" s="298">
        <f t="shared" ref="AK122:AL122" si="715">AK11*AK31</f>
        <v>0</v>
      </c>
      <c r="AL122" s="299">
        <f t="shared" si="715"/>
        <v>0</v>
      </c>
      <c r="AM122" s="262">
        <f t="shared" si="620"/>
        <v>0</v>
      </c>
      <c r="AN122" s="298">
        <f t="shared" ref="AN122:AO122" si="716">AN11*AN31</f>
        <v>0</v>
      </c>
      <c r="AO122" s="299">
        <f t="shared" si="716"/>
        <v>0</v>
      </c>
      <c r="AP122" s="262">
        <f t="shared" si="622"/>
        <v>0</v>
      </c>
      <c r="AQ122" s="298">
        <f t="shared" ref="AQ122:AR122" si="717">AQ11*AQ31</f>
        <v>0</v>
      </c>
      <c r="AR122" s="299">
        <f t="shared" si="717"/>
        <v>0</v>
      </c>
      <c r="AS122" s="262">
        <f t="shared" si="624"/>
        <v>0</v>
      </c>
      <c r="AT122" s="298">
        <f t="shared" ref="AT122:AU122" si="718">AT11*AT31</f>
        <v>0</v>
      </c>
      <c r="AU122" s="299">
        <f t="shared" si="718"/>
        <v>0</v>
      </c>
      <c r="AV122" s="262">
        <f t="shared" si="626"/>
        <v>0</v>
      </c>
      <c r="AW122" s="298">
        <f t="shared" ref="AW122:AX122" si="719">AW11*AW31</f>
        <v>0</v>
      </c>
      <c r="AX122" s="299">
        <f t="shared" si="719"/>
        <v>0</v>
      </c>
      <c r="AY122" s="262">
        <f t="shared" si="628"/>
        <v>0</v>
      </c>
      <c r="AZ122" s="298">
        <f t="shared" ref="AZ122:BA122" si="720">AZ11*AZ31</f>
        <v>0</v>
      </c>
      <c r="BA122" s="299">
        <f t="shared" si="720"/>
        <v>0</v>
      </c>
      <c r="BB122" s="262">
        <f t="shared" si="630"/>
        <v>0</v>
      </c>
      <c r="BC122" s="298">
        <f t="shared" ref="BC122:BD122" si="721">BC11*BC31</f>
        <v>0</v>
      </c>
      <c r="BD122" s="299">
        <f t="shared" si="721"/>
        <v>0</v>
      </c>
      <c r="BE122" s="262">
        <f t="shared" si="632"/>
        <v>0</v>
      </c>
      <c r="BF122" s="298">
        <f t="shared" ref="BF122:BG122" si="722">BF11*BF31</f>
        <v>0</v>
      </c>
      <c r="BG122" s="299">
        <f t="shared" si="722"/>
        <v>0</v>
      </c>
      <c r="BH122" s="262">
        <f t="shared" si="634"/>
        <v>0</v>
      </c>
      <c r="BI122" s="298">
        <f t="shared" si="597"/>
        <v>0</v>
      </c>
      <c r="BJ122" s="299">
        <f t="shared" si="597"/>
        <v>0</v>
      </c>
      <c r="BK122" s="262">
        <f t="shared" si="635"/>
        <v>0</v>
      </c>
      <c r="BL122" s="298">
        <f t="shared" si="598"/>
        <v>0</v>
      </c>
      <c r="BM122" s="299">
        <f t="shared" si="598"/>
        <v>0</v>
      </c>
      <c r="BN122" s="262">
        <f t="shared" si="636"/>
        <v>0</v>
      </c>
      <c r="BO122" s="298">
        <f t="shared" si="599"/>
        <v>0</v>
      </c>
      <c r="BP122" s="299">
        <f t="shared" si="599"/>
        <v>0</v>
      </c>
      <c r="BQ122" s="262">
        <f t="shared" si="637"/>
        <v>0</v>
      </c>
    </row>
    <row r="123" spans="1:70">
      <c r="A123" s="835"/>
      <c r="B123" s="837"/>
      <c r="C123" s="290" t="s">
        <v>32</v>
      </c>
      <c r="D123" s="291">
        <f t="shared" si="577"/>
        <v>0</v>
      </c>
      <c r="E123" s="292">
        <f t="shared" si="161"/>
        <v>0</v>
      </c>
      <c r="F123" s="293">
        <f t="shared" si="578"/>
        <v>0</v>
      </c>
      <c r="G123" s="298">
        <f t="shared" si="579"/>
        <v>0</v>
      </c>
      <c r="H123" s="299">
        <f t="shared" si="579"/>
        <v>0</v>
      </c>
      <c r="I123" s="262">
        <f t="shared" si="600"/>
        <v>0</v>
      </c>
      <c r="J123" s="298">
        <f t="shared" ref="J123:K123" si="723">J12*J32</f>
        <v>0</v>
      </c>
      <c r="K123" s="299">
        <f t="shared" si="723"/>
        <v>0</v>
      </c>
      <c r="L123" s="262">
        <f t="shared" si="602"/>
        <v>0</v>
      </c>
      <c r="M123" s="298">
        <f t="shared" ref="M123:N123" si="724">M12*M32</f>
        <v>0</v>
      </c>
      <c r="N123" s="299">
        <f t="shared" si="724"/>
        <v>0</v>
      </c>
      <c r="O123" s="262">
        <f t="shared" si="604"/>
        <v>0</v>
      </c>
      <c r="P123" s="298">
        <f t="shared" ref="P123:Q123" si="725">P12*P32</f>
        <v>0</v>
      </c>
      <c r="Q123" s="299">
        <f t="shared" si="725"/>
        <v>0</v>
      </c>
      <c r="R123" s="262">
        <f t="shared" si="606"/>
        <v>0</v>
      </c>
      <c r="S123" s="298">
        <f t="shared" ref="S123:T123" si="726">S12*S32</f>
        <v>0</v>
      </c>
      <c r="T123" s="299">
        <f t="shared" si="726"/>
        <v>0</v>
      </c>
      <c r="U123" s="262">
        <f t="shared" si="608"/>
        <v>0</v>
      </c>
      <c r="V123" s="298">
        <f t="shared" ref="V123:W123" si="727">V12*V32</f>
        <v>0</v>
      </c>
      <c r="W123" s="299">
        <f t="shared" si="727"/>
        <v>0</v>
      </c>
      <c r="X123" s="262">
        <f t="shared" si="610"/>
        <v>0</v>
      </c>
      <c r="Y123" s="298">
        <f t="shared" ref="Y123:Z123" si="728">Y12*Y32</f>
        <v>0</v>
      </c>
      <c r="Z123" s="299">
        <f t="shared" si="728"/>
        <v>0</v>
      </c>
      <c r="AA123" s="262">
        <f t="shared" si="612"/>
        <v>0</v>
      </c>
      <c r="AB123" s="298">
        <f t="shared" ref="AB123:AC123" si="729">AB12*AB32</f>
        <v>0</v>
      </c>
      <c r="AC123" s="299">
        <f t="shared" si="729"/>
        <v>0</v>
      </c>
      <c r="AD123" s="262">
        <f t="shared" si="614"/>
        <v>0</v>
      </c>
      <c r="AE123" s="298">
        <f t="shared" ref="AE123:AF123" si="730">AE12*AE32</f>
        <v>0</v>
      </c>
      <c r="AF123" s="299">
        <f t="shared" si="730"/>
        <v>0</v>
      </c>
      <c r="AG123" s="262">
        <f t="shared" si="616"/>
        <v>0</v>
      </c>
      <c r="AH123" s="298">
        <f t="shared" ref="AH123:AI123" si="731">AH12*AH32</f>
        <v>0</v>
      </c>
      <c r="AI123" s="299">
        <f t="shared" si="731"/>
        <v>0</v>
      </c>
      <c r="AJ123" s="262">
        <f t="shared" si="618"/>
        <v>0</v>
      </c>
      <c r="AK123" s="298">
        <f t="shared" ref="AK123:AL123" si="732">AK12*AK32</f>
        <v>0</v>
      </c>
      <c r="AL123" s="299">
        <f t="shared" si="732"/>
        <v>0</v>
      </c>
      <c r="AM123" s="262">
        <f t="shared" si="620"/>
        <v>0</v>
      </c>
      <c r="AN123" s="298">
        <f t="shared" ref="AN123:AO123" si="733">AN12*AN32</f>
        <v>0</v>
      </c>
      <c r="AO123" s="299">
        <f t="shared" si="733"/>
        <v>0</v>
      </c>
      <c r="AP123" s="262">
        <f t="shared" si="622"/>
        <v>0</v>
      </c>
      <c r="AQ123" s="298">
        <f t="shared" ref="AQ123:AR123" si="734">AQ12*AQ32</f>
        <v>0</v>
      </c>
      <c r="AR123" s="299">
        <f t="shared" si="734"/>
        <v>0</v>
      </c>
      <c r="AS123" s="262">
        <f t="shared" si="624"/>
        <v>0</v>
      </c>
      <c r="AT123" s="298">
        <f t="shared" ref="AT123:AU123" si="735">AT12*AT32</f>
        <v>0</v>
      </c>
      <c r="AU123" s="299">
        <f t="shared" si="735"/>
        <v>0</v>
      </c>
      <c r="AV123" s="262">
        <f t="shared" si="626"/>
        <v>0</v>
      </c>
      <c r="AW123" s="298">
        <f t="shared" ref="AW123:AX123" si="736">AW12*AW32</f>
        <v>0</v>
      </c>
      <c r="AX123" s="299">
        <f t="shared" si="736"/>
        <v>0</v>
      </c>
      <c r="AY123" s="262">
        <f t="shared" si="628"/>
        <v>0</v>
      </c>
      <c r="AZ123" s="298">
        <f t="shared" ref="AZ123:BA123" si="737">AZ12*AZ32</f>
        <v>0</v>
      </c>
      <c r="BA123" s="299">
        <f t="shared" si="737"/>
        <v>0</v>
      </c>
      <c r="BB123" s="262">
        <f t="shared" si="630"/>
        <v>0</v>
      </c>
      <c r="BC123" s="298">
        <f t="shared" ref="BC123:BD123" si="738">BC12*BC32</f>
        <v>0</v>
      </c>
      <c r="BD123" s="299">
        <f t="shared" si="738"/>
        <v>0</v>
      </c>
      <c r="BE123" s="262">
        <f t="shared" si="632"/>
        <v>0</v>
      </c>
      <c r="BF123" s="298">
        <f t="shared" ref="BF123:BG123" si="739">BF12*BF32</f>
        <v>0</v>
      </c>
      <c r="BG123" s="299">
        <f t="shared" si="739"/>
        <v>0</v>
      </c>
      <c r="BH123" s="262">
        <f t="shared" si="634"/>
        <v>0</v>
      </c>
      <c r="BI123" s="298">
        <f t="shared" si="597"/>
        <v>0</v>
      </c>
      <c r="BJ123" s="299">
        <f t="shared" si="597"/>
        <v>0</v>
      </c>
      <c r="BK123" s="262">
        <f t="shared" si="635"/>
        <v>0</v>
      </c>
      <c r="BL123" s="298">
        <f t="shared" si="598"/>
        <v>0</v>
      </c>
      <c r="BM123" s="299">
        <f t="shared" si="598"/>
        <v>0</v>
      </c>
      <c r="BN123" s="262">
        <f t="shared" si="636"/>
        <v>0</v>
      </c>
      <c r="BO123" s="298">
        <f t="shared" si="599"/>
        <v>0</v>
      </c>
      <c r="BP123" s="299">
        <f t="shared" si="599"/>
        <v>0</v>
      </c>
      <c r="BQ123" s="262">
        <f t="shared" si="637"/>
        <v>0</v>
      </c>
    </row>
    <row r="124" spans="1:70">
      <c r="A124" s="835"/>
      <c r="B124" s="837"/>
      <c r="C124" s="290" t="s">
        <v>33</v>
      </c>
      <c r="D124" s="291">
        <f t="shared" si="577"/>
        <v>0</v>
      </c>
      <c r="E124" s="292">
        <f t="shared" si="161"/>
        <v>0</v>
      </c>
      <c r="F124" s="293">
        <f t="shared" si="578"/>
        <v>0</v>
      </c>
      <c r="G124" s="298">
        <f t="shared" si="579"/>
        <v>0</v>
      </c>
      <c r="H124" s="299">
        <f t="shared" si="579"/>
        <v>0</v>
      </c>
      <c r="I124" s="262">
        <f t="shared" si="600"/>
        <v>0</v>
      </c>
      <c r="J124" s="298">
        <f t="shared" ref="J124:K124" si="740">J13*J33</f>
        <v>0</v>
      </c>
      <c r="K124" s="299">
        <f t="shared" si="740"/>
        <v>0</v>
      </c>
      <c r="L124" s="262">
        <f t="shared" si="602"/>
        <v>0</v>
      </c>
      <c r="M124" s="298">
        <f t="shared" ref="M124:N124" si="741">M13*M33</f>
        <v>0</v>
      </c>
      <c r="N124" s="299">
        <f t="shared" si="741"/>
        <v>0</v>
      </c>
      <c r="O124" s="262">
        <f t="shared" si="604"/>
        <v>0</v>
      </c>
      <c r="P124" s="298">
        <f t="shared" ref="P124:Q124" si="742">P13*P33</f>
        <v>0</v>
      </c>
      <c r="Q124" s="299">
        <f t="shared" si="742"/>
        <v>0</v>
      </c>
      <c r="R124" s="262">
        <f t="shared" si="606"/>
        <v>0</v>
      </c>
      <c r="S124" s="298">
        <f t="shared" ref="S124:T124" si="743">S13*S33</f>
        <v>0</v>
      </c>
      <c r="T124" s="299">
        <f t="shared" si="743"/>
        <v>0</v>
      </c>
      <c r="U124" s="262">
        <f t="shared" si="608"/>
        <v>0</v>
      </c>
      <c r="V124" s="298">
        <f t="shared" ref="V124:W124" si="744">V13*V33</f>
        <v>0</v>
      </c>
      <c r="W124" s="299">
        <f t="shared" si="744"/>
        <v>0</v>
      </c>
      <c r="X124" s="262">
        <f t="shared" si="610"/>
        <v>0</v>
      </c>
      <c r="Y124" s="298">
        <f t="shared" ref="Y124:Z124" si="745">Y13*Y33</f>
        <v>0</v>
      </c>
      <c r="Z124" s="299">
        <f t="shared" si="745"/>
        <v>0</v>
      </c>
      <c r="AA124" s="262">
        <f t="shared" si="612"/>
        <v>0</v>
      </c>
      <c r="AB124" s="298">
        <f t="shared" ref="AB124:AC124" si="746">AB13*AB33</f>
        <v>0</v>
      </c>
      <c r="AC124" s="299">
        <f t="shared" si="746"/>
        <v>0</v>
      </c>
      <c r="AD124" s="262">
        <f t="shared" si="614"/>
        <v>0</v>
      </c>
      <c r="AE124" s="298">
        <f t="shared" ref="AE124:AF124" si="747">AE13*AE33</f>
        <v>0</v>
      </c>
      <c r="AF124" s="299">
        <f t="shared" si="747"/>
        <v>0</v>
      </c>
      <c r="AG124" s="262">
        <f t="shared" si="616"/>
        <v>0</v>
      </c>
      <c r="AH124" s="298">
        <f t="shared" ref="AH124:AI124" si="748">AH13*AH33</f>
        <v>0</v>
      </c>
      <c r="AI124" s="299">
        <f t="shared" si="748"/>
        <v>0</v>
      </c>
      <c r="AJ124" s="262">
        <f t="shared" si="618"/>
        <v>0</v>
      </c>
      <c r="AK124" s="298">
        <f t="shared" ref="AK124:AL124" si="749">AK13*AK33</f>
        <v>0</v>
      </c>
      <c r="AL124" s="299">
        <f t="shared" si="749"/>
        <v>0</v>
      </c>
      <c r="AM124" s="262">
        <f t="shared" si="620"/>
        <v>0</v>
      </c>
      <c r="AN124" s="298">
        <f t="shared" ref="AN124:AO124" si="750">AN13*AN33</f>
        <v>0</v>
      </c>
      <c r="AO124" s="299">
        <f t="shared" si="750"/>
        <v>0</v>
      </c>
      <c r="AP124" s="262">
        <f t="shared" si="622"/>
        <v>0</v>
      </c>
      <c r="AQ124" s="298">
        <f t="shared" ref="AQ124:AR124" si="751">AQ13*AQ33</f>
        <v>0</v>
      </c>
      <c r="AR124" s="299">
        <f t="shared" si="751"/>
        <v>0</v>
      </c>
      <c r="AS124" s="262">
        <f t="shared" si="624"/>
        <v>0</v>
      </c>
      <c r="AT124" s="298">
        <f t="shared" ref="AT124:AU124" si="752">AT13*AT33</f>
        <v>0</v>
      </c>
      <c r="AU124" s="299">
        <f t="shared" si="752"/>
        <v>0</v>
      </c>
      <c r="AV124" s="262">
        <f t="shared" si="626"/>
        <v>0</v>
      </c>
      <c r="AW124" s="298">
        <f t="shared" ref="AW124:AX124" si="753">AW13*AW33</f>
        <v>0</v>
      </c>
      <c r="AX124" s="299">
        <f t="shared" si="753"/>
        <v>0</v>
      </c>
      <c r="AY124" s="262">
        <f t="shared" si="628"/>
        <v>0</v>
      </c>
      <c r="AZ124" s="298">
        <f t="shared" ref="AZ124:BA124" si="754">AZ13*AZ33</f>
        <v>0</v>
      </c>
      <c r="BA124" s="299">
        <f t="shared" si="754"/>
        <v>0</v>
      </c>
      <c r="BB124" s="262">
        <f t="shared" si="630"/>
        <v>0</v>
      </c>
      <c r="BC124" s="298">
        <f t="shared" ref="BC124:BD124" si="755">BC13*BC33</f>
        <v>0</v>
      </c>
      <c r="BD124" s="299">
        <f t="shared" si="755"/>
        <v>0</v>
      </c>
      <c r="BE124" s="262">
        <f t="shared" si="632"/>
        <v>0</v>
      </c>
      <c r="BF124" s="298">
        <f t="shared" ref="BF124:BG124" si="756">BF13*BF33</f>
        <v>0</v>
      </c>
      <c r="BG124" s="299">
        <f t="shared" si="756"/>
        <v>0</v>
      </c>
      <c r="BH124" s="262">
        <f t="shared" si="634"/>
        <v>0</v>
      </c>
      <c r="BI124" s="298">
        <f t="shared" si="597"/>
        <v>0</v>
      </c>
      <c r="BJ124" s="299">
        <f t="shared" si="597"/>
        <v>0</v>
      </c>
      <c r="BK124" s="262">
        <f t="shared" si="635"/>
        <v>0</v>
      </c>
      <c r="BL124" s="298">
        <f t="shared" si="598"/>
        <v>0</v>
      </c>
      <c r="BM124" s="299">
        <f t="shared" si="598"/>
        <v>0</v>
      </c>
      <c r="BN124" s="262">
        <f t="shared" si="636"/>
        <v>0</v>
      </c>
      <c r="BO124" s="298">
        <f t="shared" si="599"/>
        <v>0</v>
      </c>
      <c r="BP124" s="299">
        <f t="shared" si="599"/>
        <v>0</v>
      </c>
      <c r="BQ124" s="262">
        <f t="shared" si="637"/>
        <v>0</v>
      </c>
    </row>
    <row r="125" spans="1:70" ht="15.75" thickBot="1">
      <c r="A125" s="836"/>
      <c r="B125" s="838"/>
      <c r="C125" s="300" t="s">
        <v>34</v>
      </c>
      <c r="D125" s="301">
        <f t="shared" si="577"/>
        <v>0</v>
      </c>
      <c r="E125" s="302">
        <f t="shared" si="161"/>
        <v>0</v>
      </c>
      <c r="F125" s="303">
        <f t="shared" si="578"/>
        <v>0</v>
      </c>
      <c r="G125" s="304">
        <f t="shared" si="579"/>
        <v>0</v>
      </c>
      <c r="H125" s="305">
        <f t="shared" si="579"/>
        <v>0</v>
      </c>
      <c r="I125" s="267">
        <f t="shared" si="600"/>
        <v>0</v>
      </c>
      <c r="J125" s="304">
        <f t="shared" ref="J125:K125" si="757">J14*J34</f>
        <v>0</v>
      </c>
      <c r="K125" s="305">
        <f t="shared" si="757"/>
        <v>0</v>
      </c>
      <c r="L125" s="267">
        <f t="shared" si="602"/>
        <v>0</v>
      </c>
      <c r="M125" s="304">
        <f t="shared" ref="M125:N125" si="758">M14*M34</f>
        <v>0</v>
      </c>
      <c r="N125" s="305">
        <f t="shared" si="758"/>
        <v>0</v>
      </c>
      <c r="O125" s="267">
        <f t="shared" si="604"/>
        <v>0</v>
      </c>
      <c r="P125" s="304">
        <f t="shared" ref="P125:Q125" si="759">P14*P34</f>
        <v>0</v>
      </c>
      <c r="Q125" s="305">
        <f t="shared" si="759"/>
        <v>0</v>
      </c>
      <c r="R125" s="267">
        <f t="shared" si="606"/>
        <v>0</v>
      </c>
      <c r="S125" s="304">
        <f t="shared" ref="S125:T125" si="760">S14*S34</f>
        <v>0</v>
      </c>
      <c r="T125" s="305">
        <f t="shared" si="760"/>
        <v>0</v>
      </c>
      <c r="U125" s="267">
        <f t="shared" si="608"/>
        <v>0</v>
      </c>
      <c r="V125" s="304">
        <f t="shared" ref="V125:W125" si="761">V14*V34</f>
        <v>0</v>
      </c>
      <c r="W125" s="305">
        <f t="shared" si="761"/>
        <v>0</v>
      </c>
      <c r="X125" s="267">
        <f t="shared" si="610"/>
        <v>0</v>
      </c>
      <c r="Y125" s="304">
        <f t="shared" ref="Y125:Z125" si="762">Y14*Y34</f>
        <v>0</v>
      </c>
      <c r="Z125" s="305">
        <f t="shared" si="762"/>
        <v>0</v>
      </c>
      <c r="AA125" s="267">
        <f t="shared" si="612"/>
        <v>0</v>
      </c>
      <c r="AB125" s="304">
        <f t="shared" ref="AB125:AC125" si="763">AB14*AB34</f>
        <v>0</v>
      </c>
      <c r="AC125" s="305">
        <f t="shared" si="763"/>
        <v>0</v>
      </c>
      <c r="AD125" s="267">
        <f t="shared" si="614"/>
        <v>0</v>
      </c>
      <c r="AE125" s="304">
        <f t="shared" ref="AE125:AF125" si="764">AE14*AE34</f>
        <v>0</v>
      </c>
      <c r="AF125" s="305">
        <f t="shared" si="764"/>
        <v>0</v>
      </c>
      <c r="AG125" s="267">
        <f t="shared" si="616"/>
        <v>0</v>
      </c>
      <c r="AH125" s="304">
        <f t="shared" ref="AH125:AI125" si="765">AH14*AH34</f>
        <v>0</v>
      </c>
      <c r="AI125" s="305">
        <f t="shared" si="765"/>
        <v>0</v>
      </c>
      <c r="AJ125" s="267">
        <f t="shared" si="618"/>
        <v>0</v>
      </c>
      <c r="AK125" s="304">
        <f t="shared" ref="AK125:AL125" si="766">AK14*AK34</f>
        <v>0</v>
      </c>
      <c r="AL125" s="305">
        <f t="shared" si="766"/>
        <v>0</v>
      </c>
      <c r="AM125" s="267">
        <f t="shared" si="620"/>
        <v>0</v>
      </c>
      <c r="AN125" s="304">
        <f t="shared" ref="AN125:AO125" si="767">AN14*AN34</f>
        <v>0</v>
      </c>
      <c r="AO125" s="305">
        <f t="shared" si="767"/>
        <v>0</v>
      </c>
      <c r="AP125" s="267">
        <f t="shared" si="622"/>
        <v>0</v>
      </c>
      <c r="AQ125" s="304">
        <f t="shared" ref="AQ125:AR125" si="768">AQ14*AQ34</f>
        <v>0</v>
      </c>
      <c r="AR125" s="305">
        <f t="shared" si="768"/>
        <v>0</v>
      </c>
      <c r="AS125" s="267">
        <f t="shared" si="624"/>
        <v>0</v>
      </c>
      <c r="AT125" s="304">
        <f t="shared" ref="AT125:AU125" si="769">AT14*AT34</f>
        <v>0</v>
      </c>
      <c r="AU125" s="305">
        <f t="shared" si="769"/>
        <v>0</v>
      </c>
      <c r="AV125" s="267">
        <f t="shared" si="626"/>
        <v>0</v>
      </c>
      <c r="AW125" s="304">
        <f t="shared" ref="AW125:AX125" si="770">AW14*AW34</f>
        <v>0</v>
      </c>
      <c r="AX125" s="305">
        <f t="shared" si="770"/>
        <v>0</v>
      </c>
      <c r="AY125" s="267">
        <f t="shared" si="628"/>
        <v>0</v>
      </c>
      <c r="AZ125" s="304">
        <f t="shared" ref="AZ125:BA125" si="771">AZ14*AZ34</f>
        <v>0</v>
      </c>
      <c r="BA125" s="305">
        <f t="shared" si="771"/>
        <v>0</v>
      </c>
      <c r="BB125" s="267">
        <f t="shared" si="630"/>
        <v>0</v>
      </c>
      <c r="BC125" s="304">
        <f t="shared" ref="BC125:BD125" si="772">BC14*BC34</f>
        <v>0</v>
      </c>
      <c r="BD125" s="305">
        <f t="shared" si="772"/>
        <v>0</v>
      </c>
      <c r="BE125" s="267">
        <f t="shared" si="632"/>
        <v>0</v>
      </c>
      <c r="BF125" s="304">
        <f t="shared" ref="BF125:BG125" si="773">BF14*BF34</f>
        <v>0</v>
      </c>
      <c r="BG125" s="305">
        <f t="shared" si="773"/>
        <v>0</v>
      </c>
      <c r="BH125" s="267">
        <f t="shared" si="634"/>
        <v>0</v>
      </c>
      <c r="BI125" s="304">
        <f t="shared" si="597"/>
        <v>0</v>
      </c>
      <c r="BJ125" s="305">
        <f t="shared" si="597"/>
        <v>0</v>
      </c>
      <c r="BK125" s="267">
        <f t="shared" si="635"/>
        <v>0</v>
      </c>
      <c r="BL125" s="304">
        <f t="shared" si="598"/>
        <v>0</v>
      </c>
      <c r="BM125" s="305">
        <f t="shared" si="598"/>
        <v>0</v>
      </c>
      <c r="BN125" s="267">
        <f t="shared" si="636"/>
        <v>0</v>
      </c>
      <c r="BO125" s="304">
        <f t="shared" si="599"/>
        <v>0</v>
      </c>
      <c r="BP125" s="305">
        <f t="shared" si="599"/>
        <v>0</v>
      </c>
      <c r="BQ125" s="267">
        <f t="shared" si="637"/>
        <v>0</v>
      </c>
    </row>
    <row r="126" spans="1:70">
      <c r="A126" s="835" t="s">
        <v>39</v>
      </c>
      <c r="B126" s="837" t="s">
        <v>13</v>
      </c>
      <c r="C126" s="290" t="s">
        <v>25</v>
      </c>
      <c r="D126" s="291">
        <f t="shared" si="577"/>
        <v>0</v>
      </c>
      <c r="E126" s="292">
        <f t="shared" si="161"/>
        <v>0</v>
      </c>
      <c r="F126" s="293">
        <f t="shared" si="578"/>
        <v>0</v>
      </c>
      <c r="G126" s="306">
        <f>G55</f>
        <v>0</v>
      </c>
      <c r="H126" s="307">
        <f t="shared" ref="H126:H135" si="774">H55*(1+$BR$126)</f>
        <v>0</v>
      </c>
      <c r="I126" s="257">
        <f>H126-G126</f>
        <v>0</v>
      </c>
      <c r="J126" s="306">
        <f>J55</f>
        <v>0</v>
      </c>
      <c r="K126" s="307">
        <f>K55*(1+$BR$126)</f>
        <v>0</v>
      </c>
      <c r="L126" s="257">
        <f>K126-J126</f>
        <v>0</v>
      </c>
      <c r="M126" s="306">
        <f>M55</f>
        <v>0</v>
      </c>
      <c r="N126" s="307">
        <f>N55*(1+$BR$126)</f>
        <v>0</v>
      </c>
      <c r="O126" s="257">
        <f>N126-M126</f>
        <v>0</v>
      </c>
      <c r="P126" s="306">
        <f t="shared" ref="P126:P135" si="775">P55</f>
        <v>0</v>
      </c>
      <c r="Q126" s="307">
        <f t="shared" ref="Q126:Q135" si="776">Q55*(1+$BR$126)</f>
        <v>0</v>
      </c>
      <c r="R126" s="257">
        <f>Q126-P126</f>
        <v>0</v>
      </c>
      <c r="S126" s="306">
        <f t="shared" ref="S126:S135" si="777">S55</f>
        <v>0</v>
      </c>
      <c r="T126" s="307">
        <f t="shared" ref="T126:T135" si="778">T55*(1+$BR$126)</f>
        <v>0</v>
      </c>
      <c r="U126" s="257">
        <f>T126-S126</f>
        <v>0</v>
      </c>
      <c r="V126" s="306">
        <f t="shared" ref="V126:V135" si="779">V55</f>
        <v>0</v>
      </c>
      <c r="W126" s="307">
        <f t="shared" ref="W126:W135" si="780">W55*(1+$BR$126)</f>
        <v>0</v>
      </c>
      <c r="X126" s="257">
        <f>W126-V126</f>
        <v>0</v>
      </c>
      <c r="Y126" s="306">
        <f>Y55</f>
        <v>0</v>
      </c>
      <c r="Z126" s="307">
        <f>Z55*(1+$BR$126)</f>
        <v>0</v>
      </c>
      <c r="AA126" s="257">
        <f>Z126-Y126</f>
        <v>0</v>
      </c>
      <c r="AB126" s="306">
        <f>AB55</f>
        <v>0</v>
      </c>
      <c r="AC126" s="307">
        <f>AC55*(1+$BR$126)</f>
        <v>0</v>
      </c>
      <c r="AD126" s="257">
        <f>AC126-AB126</f>
        <v>0</v>
      </c>
      <c r="AE126" s="306">
        <f t="shared" ref="AE126:AE135" si="781">AE55</f>
        <v>0</v>
      </c>
      <c r="AF126" s="307">
        <f t="shared" ref="AF126:AF135" si="782">AF55*(1+$BR$126)</f>
        <v>0</v>
      </c>
      <c r="AG126" s="257">
        <f>AF126-AE126</f>
        <v>0</v>
      </c>
      <c r="AH126" s="306">
        <f t="shared" ref="AH126:AH135" si="783">AH55</f>
        <v>0</v>
      </c>
      <c r="AI126" s="307">
        <f t="shared" ref="AI126:AI135" si="784">AI55*(1+$BR$126)</f>
        <v>0</v>
      </c>
      <c r="AJ126" s="257">
        <f>AI126-AH126</f>
        <v>0</v>
      </c>
      <c r="AK126" s="306">
        <f t="shared" ref="AK126:AK135" si="785">AK55</f>
        <v>0</v>
      </c>
      <c r="AL126" s="307">
        <f t="shared" ref="AL126:AL135" si="786">AL55*(1+$BR$126)</f>
        <v>0</v>
      </c>
      <c r="AM126" s="257">
        <f>AL126-AK126</f>
        <v>0</v>
      </c>
      <c r="AN126" s="306">
        <f>AN55</f>
        <v>0</v>
      </c>
      <c r="AO126" s="307">
        <f>AO55*(1+$BR$126)</f>
        <v>0</v>
      </c>
      <c r="AP126" s="257">
        <f>AO126-AN126</f>
        <v>0</v>
      </c>
      <c r="AQ126" s="306">
        <f>AQ55</f>
        <v>0</v>
      </c>
      <c r="AR126" s="307">
        <f>AR55*(1+$BR$126)</f>
        <v>0</v>
      </c>
      <c r="AS126" s="257">
        <f>AR126-AQ126</f>
        <v>0</v>
      </c>
      <c r="AT126" s="306">
        <f t="shared" ref="AT126:AT135" si="787">AT55</f>
        <v>0</v>
      </c>
      <c r="AU126" s="307">
        <f t="shared" ref="AU126:AU135" si="788">AU55*(1+$BR$126)</f>
        <v>0</v>
      </c>
      <c r="AV126" s="257">
        <f>AU126-AT126</f>
        <v>0</v>
      </c>
      <c r="AW126" s="306">
        <f t="shared" ref="AW126:AW135" si="789">AW55</f>
        <v>0</v>
      </c>
      <c r="AX126" s="307">
        <f t="shared" ref="AX126:AX135" si="790">AX55*(1+$BR$126)</f>
        <v>0</v>
      </c>
      <c r="AY126" s="257">
        <f>AX126-AW126</f>
        <v>0</v>
      </c>
      <c r="AZ126" s="306">
        <f t="shared" ref="AZ126:AZ135" si="791">AZ55</f>
        <v>0</v>
      </c>
      <c r="BA126" s="307">
        <f t="shared" ref="BA126:BA135" si="792">BA55*(1+$BR$126)</f>
        <v>0</v>
      </c>
      <c r="BB126" s="257">
        <f>BA126-AZ126</f>
        <v>0</v>
      </c>
      <c r="BC126" s="306">
        <f>BC55</f>
        <v>0</v>
      </c>
      <c r="BD126" s="307">
        <f>BD55*(1+$BR$126)</f>
        <v>0</v>
      </c>
      <c r="BE126" s="257">
        <f>BD126-BC126</f>
        <v>0</v>
      </c>
      <c r="BF126" s="306">
        <f>BF55</f>
        <v>0</v>
      </c>
      <c r="BG126" s="307">
        <f>BG55*(1+$BR$126)</f>
        <v>0</v>
      </c>
      <c r="BH126" s="257">
        <f>BG126-BF126</f>
        <v>0</v>
      </c>
      <c r="BI126" s="306">
        <f t="shared" ref="BI126:BI135" si="793">BI55</f>
        <v>0</v>
      </c>
      <c r="BJ126" s="307">
        <f t="shared" ref="BJ126:BJ135" si="794">BJ55*(1+$BR$126)</f>
        <v>0</v>
      </c>
      <c r="BK126" s="257">
        <f>BJ126-BI126</f>
        <v>0</v>
      </c>
      <c r="BL126" s="306">
        <f t="shared" ref="BL126:BL135" si="795">BL55</f>
        <v>0</v>
      </c>
      <c r="BM126" s="307">
        <f t="shared" ref="BM126:BM135" si="796">BM55*(1+$BR$126)</f>
        <v>0</v>
      </c>
      <c r="BN126" s="257">
        <f>BM126-BL126</f>
        <v>0</v>
      </c>
      <c r="BO126" s="306">
        <f t="shared" ref="BO126:BO135" si="797">BO55</f>
        <v>0</v>
      </c>
      <c r="BP126" s="307">
        <f t="shared" ref="BP126:BP135" si="798">BP55*(1+$BR$126)</f>
        <v>0</v>
      </c>
      <c r="BQ126" s="257">
        <f>BP126-BO126</f>
        <v>0</v>
      </c>
      <c r="BR126" s="258">
        <f>'Analyza citlivosti - AgendovéIS'!H7</f>
        <v>0</v>
      </c>
    </row>
    <row r="127" spans="1:70">
      <c r="A127" s="835"/>
      <c r="B127" s="837"/>
      <c r="C127" s="290" t="s">
        <v>26</v>
      </c>
      <c r="D127" s="291">
        <f t="shared" si="577"/>
        <v>0</v>
      </c>
      <c r="E127" s="292">
        <f t="shared" si="161"/>
        <v>0</v>
      </c>
      <c r="F127" s="293">
        <f t="shared" si="578"/>
        <v>0</v>
      </c>
      <c r="G127" s="298">
        <f t="shared" ref="G127:G135" si="799">G56</f>
        <v>0</v>
      </c>
      <c r="H127" s="299">
        <f t="shared" si="774"/>
        <v>0</v>
      </c>
      <c r="I127" s="262">
        <f t="shared" ref="I127:I135" si="800">H127-G127</f>
        <v>0</v>
      </c>
      <c r="J127" s="298">
        <f t="shared" ref="J127:J135" si="801">J56</f>
        <v>0</v>
      </c>
      <c r="K127" s="299">
        <f t="shared" ref="K127:K135" si="802">K56*(1+$BR$126)</f>
        <v>0</v>
      </c>
      <c r="L127" s="262">
        <f t="shared" ref="L127:L135" si="803">K127-J127</f>
        <v>0</v>
      </c>
      <c r="M127" s="298">
        <f t="shared" ref="M127:M135" si="804">M56</f>
        <v>0</v>
      </c>
      <c r="N127" s="299">
        <f t="shared" ref="N127:N135" si="805">N56*(1+$BR$126)</f>
        <v>0</v>
      </c>
      <c r="O127" s="262">
        <f t="shared" ref="O127:O135" si="806">N127-M127</f>
        <v>0</v>
      </c>
      <c r="P127" s="298">
        <f t="shared" si="775"/>
        <v>0</v>
      </c>
      <c r="Q127" s="299">
        <f t="shared" si="776"/>
        <v>0</v>
      </c>
      <c r="R127" s="262">
        <f t="shared" ref="R127:R135" si="807">Q127-P127</f>
        <v>0</v>
      </c>
      <c r="S127" s="298">
        <f t="shared" si="777"/>
        <v>0</v>
      </c>
      <c r="T127" s="299">
        <f t="shared" si="778"/>
        <v>0</v>
      </c>
      <c r="U127" s="262">
        <f t="shared" ref="U127:U135" si="808">T127-S127</f>
        <v>0</v>
      </c>
      <c r="V127" s="298">
        <f t="shared" si="779"/>
        <v>0</v>
      </c>
      <c r="W127" s="299">
        <f t="shared" si="780"/>
        <v>0</v>
      </c>
      <c r="X127" s="262">
        <f t="shared" ref="X127:X135" si="809">W127-V127</f>
        <v>0</v>
      </c>
      <c r="Y127" s="298">
        <f t="shared" ref="Y127:Y135" si="810">Y56</f>
        <v>0</v>
      </c>
      <c r="Z127" s="299">
        <f t="shared" ref="Z127:Z135" si="811">Z56*(1+$BR$126)</f>
        <v>0</v>
      </c>
      <c r="AA127" s="262">
        <f t="shared" ref="AA127:AA135" si="812">Z127-Y127</f>
        <v>0</v>
      </c>
      <c r="AB127" s="298">
        <f t="shared" ref="AB127:AB135" si="813">AB56</f>
        <v>0</v>
      </c>
      <c r="AC127" s="299">
        <f t="shared" ref="AC127:AC135" si="814">AC56*(1+$BR$126)</f>
        <v>0</v>
      </c>
      <c r="AD127" s="262">
        <f t="shared" ref="AD127:AD135" si="815">AC127-AB127</f>
        <v>0</v>
      </c>
      <c r="AE127" s="298">
        <f t="shared" si="781"/>
        <v>0</v>
      </c>
      <c r="AF127" s="299">
        <f t="shared" si="782"/>
        <v>0</v>
      </c>
      <c r="AG127" s="262">
        <f t="shared" ref="AG127:AG135" si="816">AF127-AE127</f>
        <v>0</v>
      </c>
      <c r="AH127" s="298">
        <f t="shared" si="783"/>
        <v>0</v>
      </c>
      <c r="AI127" s="299">
        <f t="shared" si="784"/>
        <v>0</v>
      </c>
      <c r="AJ127" s="262">
        <f t="shared" ref="AJ127:AJ135" si="817">AI127-AH127</f>
        <v>0</v>
      </c>
      <c r="AK127" s="298">
        <f t="shared" si="785"/>
        <v>0</v>
      </c>
      <c r="AL127" s="299">
        <f t="shared" si="786"/>
        <v>0</v>
      </c>
      <c r="AM127" s="262">
        <f t="shared" ref="AM127:AM135" si="818">AL127-AK127</f>
        <v>0</v>
      </c>
      <c r="AN127" s="298">
        <f t="shared" ref="AN127:AN135" si="819">AN56</f>
        <v>0</v>
      </c>
      <c r="AO127" s="299">
        <f t="shared" ref="AO127:AO135" si="820">AO56*(1+$BR$126)</f>
        <v>0</v>
      </c>
      <c r="AP127" s="262">
        <f t="shared" ref="AP127:AP135" si="821">AO127-AN127</f>
        <v>0</v>
      </c>
      <c r="AQ127" s="298">
        <f t="shared" ref="AQ127:AQ135" si="822">AQ56</f>
        <v>0</v>
      </c>
      <c r="AR127" s="299">
        <f t="shared" ref="AR127:AR135" si="823">AR56*(1+$BR$126)</f>
        <v>0</v>
      </c>
      <c r="AS127" s="262">
        <f t="shared" ref="AS127:AS135" si="824">AR127-AQ127</f>
        <v>0</v>
      </c>
      <c r="AT127" s="298">
        <f t="shared" si="787"/>
        <v>0</v>
      </c>
      <c r="AU127" s="299">
        <f t="shared" si="788"/>
        <v>0</v>
      </c>
      <c r="AV127" s="262">
        <f t="shared" ref="AV127:AV135" si="825">AU127-AT127</f>
        <v>0</v>
      </c>
      <c r="AW127" s="298">
        <f t="shared" si="789"/>
        <v>0</v>
      </c>
      <c r="AX127" s="299">
        <f t="shared" si="790"/>
        <v>0</v>
      </c>
      <c r="AY127" s="262">
        <f t="shared" ref="AY127:AY135" si="826">AX127-AW127</f>
        <v>0</v>
      </c>
      <c r="AZ127" s="298">
        <f t="shared" si="791"/>
        <v>0</v>
      </c>
      <c r="BA127" s="299">
        <f t="shared" si="792"/>
        <v>0</v>
      </c>
      <c r="BB127" s="262">
        <f t="shared" ref="BB127:BB135" si="827">BA127-AZ127</f>
        <v>0</v>
      </c>
      <c r="BC127" s="298">
        <f t="shared" ref="BC127:BC135" si="828">BC56</f>
        <v>0</v>
      </c>
      <c r="BD127" s="299">
        <f t="shared" ref="BD127:BD135" si="829">BD56*(1+$BR$126)</f>
        <v>0</v>
      </c>
      <c r="BE127" s="262">
        <f t="shared" ref="BE127:BE135" si="830">BD127-BC127</f>
        <v>0</v>
      </c>
      <c r="BF127" s="298">
        <f t="shared" ref="BF127:BF135" si="831">BF56</f>
        <v>0</v>
      </c>
      <c r="BG127" s="299">
        <f t="shared" ref="BG127:BG135" si="832">BG56*(1+$BR$126)</f>
        <v>0</v>
      </c>
      <c r="BH127" s="262">
        <f t="shared" ref="BH127:BH135" si="833">BG127-BF127</f>
        <v>0</v>
      </c>
      <c r="BI127" s="298">
        <f t="shared" si="793"/>
        <v>0</v>
      </c>
      <c r="BJ127" s="299">
        <f t="shared" si="794"/>
        <v>0</v>
      </c>
      <c r="BK127" s="262">
        <f t="shared" ref="BK127:BK135" si="834">BJ127-BI127</f>
        <v>0</v>
      </c>
      <c r="BL127" s="298">
        <f t="shared" si="795"/>
        <v>0</v>
      </c>
      <c r="BM127" s="299">
        <f t="shared" si="796"/>
        <v>0</v>
      </c>
      <c r="BN127" s="262">
        <f t="shared" ref="BN127:BN135" si="835">BM127-BL127</f>
        <v>0</v>
      </c>
      <c r="BO127" s="298">
        <f t="shared" si="797"/>
        <v>0</v>
      </c>
      <c r="BP127" s="299">
        <f t="shared" si="798"/>
        <v>0</v>
      </c>
      <c r="BQ127" s="262">
        <f t="shared" ref="BQ127:BQ135" si="836">BP127-BO127</f>
        <v>0</v>
      </c>
    </row>
    <row r="128" spans="1:70">
      <c r="A128" s="835"/>
      <c r="B128" s="837"/>
      <c r="C128" s="290" t="s">
        <v>27</v>
      </c>
      <c r="D128" s="291">
        <f t="shared" si="577"/>
        <v>0</v>
      </c>
      <c r="E128" s="292">
        <f t="shared" si="161"/>
        <v>107637.67405745521</v>
      </c>
      <c r="F128" s="293">
        <f t="shared" si="578"/>
        <v>107637.67405745521</v>
      </c>
      <c r="G128" s="298">
        <f t="shared" si="799"/>
        <v>0</v>
      </c>
      <c r="H128" s="299">
        <f t="shared" si="774"/>
        <v>0</v>
      </c>
      <c r="I128" s="262">
        <f t="shared" si="800"/>
        <v>0</v>
      </c>
      <c r="J128" s="298">
        <f t="shared" si="801"/>
        <v>0</v>
      </c>
      <c r="K128" s="299">
        <f t="shared" si="802"/>
        <v>0</v>
      </c>
      <c r="L128" s="262">
        <f t="shared" si="803"/>
        <v>0</v>
      </c>
      <c r="M128" s="298">
        <f t="shared" si="804"/>
        <v>0</v>
      </c>
      <c r="N128" s="299">
        <f t="shared" si="805"/>
        <v>107637.67405745521</v>
      </c>
      <c r="O128" s="262">
        <f t="shared" si="806"/>
        <v>107637.67405745521</v>
      </c>
      <c r="P128" s="298">
        <f t="shared" si="775"/>
        <v>0</v>
      </c>
      <c r="Q128" s="299">
        <f t="shared" si="776"/>
        <v>0</v>
      </c>
      <c r="R128" s="262">
        <f t="shared" si="807"/>
        <v>0</v>
      </c>
      <c r="S128" s="298">
        <f t="shared" si="777"/>
        <v>0</v>
      </c>
      <c r="T128" s="299">
        <f t="shared" si="778"/>
        <v>0</v>
      </c>
      <c r="U128" s="262">
        <f t="shared" si="808"/>
        <v>0</v>
      </c>
      <c r="V128" s="298">
        <f t="shared" si="779"/>
        <v>0</v>
      </c>
      <c r="W128" s="299">
        <f t="shared" si="780"/>
        <v>0</v>
      </c>
      <c r="X128" s="262">
        <f t="shared" si="809"/>
        <v>0</v>
      </c>
      <c r="Y128" s="298">
        <f t="shared" si="810"/>
        <v>0</v>
      </c>
      <c r="Z128" s="299">
        <f t="shared" si="811"/>
        <v>0</v>
      </c>
      <c r="AA128" s="262">
        <f t="shared" si="812"/>
        <v>0</v>
      </c>
      <c r="AB128" s="298">
        <f t="shared" si="813"/>
        <v>0</v>
      </c>
      <c r="AC128" s="299">
        <f t="shared" si="814"/>
        <v>0</v>
      </c>
      <c r="AD128" s="262">
        <f t="shared" si="815"/>
        <v>0</v>
      </c>
      <c r="AE128" s="298">
        <f t="shared" si="781"/>
        <v>0</v>
      </c>
      <c r="AF128" s="299">
        <f t="shared" si="782"/>
        <v>0</v>
      </c>
      <c r="AG128" s="262">
        <f t="shared" si="816"/>
        <v>0</v>
      </c>
      <c r="AH128" s="298">
        <f t="shared" si="783"/>
        <v>0</v>
      </c>
      <c r="AI128" s="299">
        <f t="shared" si="784"/>
        <v>0</v>
      </c>
      <c r="AJ128" s="262">
        <f t="shared" si="817"/>
        <v>0</v>
      </c>
      <c r="AK128" s="298">
        <f t="shared" si="785"/>
        <v>0</v>
      </c>
      <c r="AL128" s="299">
        <f t="shared" si="786"/>
        <v>0</v>
      </c>
      <c r="AM128" s="262">
        <f t="shared" si="818"/>
        <v>0</v>
      </c>
      <c r="AN128" s="298">
        <f t="shared" si="819"/>
        <v>0</v>
      </c>
      <c r="AO128" s="299">
        <f t="shared" si="820"/>
        <v>0</v>
      </c>
      <c r="AP128" s="262">
        <f t="shared" si="821"/>
        <v>0</v>
      </c>
      <c r="AQ128" s="298">
        <f t="shared" si="822"/>
        <v>0</v>
      </c>
      <c r="AR128" s="299">
        <f t="shared" si="823"/>
        <v>0</v>
      </c>
      <c r="AS128" s="262">
        <f t="shared" si="824"/>
        <v>0</v>
      </c>
      <c r="AT128" s="298">
        <f t="shared" si="787"/>
        <v>0</v>
      </c>
      <c r="AU128" s="299">
        <f t="shared" si="788"/>
        <v>0</v>
      </c>
      <c r="AV128" s="262">
        <f t="shared" si="825"/>
        <v>0</v>
      </c>
      <c r="AW128" s="298">
        <f t="shared" si="789"/>
        <v>0</v>
      </c>
      <c r="AX128" s="299">
        <f t="shared" si="790"/>
        <v>0</v>
      </c>
      <c r="AY128" s="262">
        <f t="shared" si="826"/>
        <v>0</v>
      </c>
      <c r="AZ128" s="298">
        <f t="shared" si="791"/>
        <v>0</v>
      </c>
      <c r="BA128" s="299">
        <f t="shared" si="792"/>
        <v>0</v>
      </c>
      <c r="BB128" s="262">
        <f t="shared" si="827"/>
        <v>0</v>
      </c>
      <c r="BC128" s="298">
        <f t="shared" si="828"/>
        <v>0</v>
      </c>
      <c r="BD128" s="299">
        <f t="shared" si="829"/>
        <v>0</v>
      </c>
      <c r="BE128" s="262">
        <f t="shared" si="830"/>
        <v>0</v>
      </c>
      <c r="BF128" s="298">
        <f t="shared" si="831"/>
        <v>0</v>
      </c>
      <c r="BG128" s="299">
        <f t="shared" si="832"/>
        <v>0</v>
      </c>
      <c r="BH128" s="262">
        <f t="shared" si="833"/>
        <v>0</v>
      </c>
      <c r="BI128" s="298">
        <f t="shared" si="793"/>
        <v>0</v>
      </c>
      <c r="BJ128" s="299">
        <f t="shared" si="794"/>
        <v>0</v>
      </c>
      <c r="BK128" s="262">
        <f t="shared" si="834"/>
        <v>0</v>
      </c>
      <c r="BL128" s="298">
        <f t="shared" si="795"/>
        <v>0</v>
      </c>
      <c r="BM128" s="299">
        <f t="shared" si="796"/>
        <v>0</v>
      </c>
      <c r="BN128" s="262">
        <f t="shared" si="835"/>
        <v>0</v>
      </c>
      <c r="BO128" s="298">
        <f t="shared" si="797"/>
        <v>0</v>
      </c>
      <c r="BP128" s="299">
        <f t="shared" si="798"/>
        <v>0</v>
      </c>
      <c r="BQ128" s="262">
        <f t="shared" si="836"/>
        <v>0</v>
      </c>
    </row>
    <row r="129" spans="1:69">
      <c r="A129" s="835"/>
      <c r="B129" s="837"/>
      <c r="C129" s="290" t="s">
        <v>28</v>
      </c>
      <c r="D129" s="291">
        <f t="shared" si="577"/>
        <v>0</v>
      </c>
      <c r="E129" s="292">
        <f t="shared" si="161"/>
        <v>215275.34811491042</v>
      </c>
      <c r="F129" s="293">
        <f t="shared" si="578"/>
        <v>215275.34811491042</v>
      </c>
      <c r="G129" s="298">
        <f t="shared" si="799"/>
        <v>0</v>
      </c>
      <c r="H129" s="299">
        <f t="shared" si="774"/>
        <v>0</v>
      </c>
      <c r="I129" s="262">
        <f t="shared" si="800"/>
        <v>0</v>
      </c>
      <c r="J129" s="298">
        <f t="shared" si="801"/>
        <v>0</v>
      </c>
      <c r="K129" s="299">
        <f t="shared" si="802"/>
        <v>0</v>
      </c>
      <c r="L129" s="262">
        <f t="shared" si="803"/>
        <v>0</v>
      </c>
      <c r="M129" s="298">
        <f t="shared" si="804"/>
        <v>0</v>
      </c>
      <c r="N129" s="299">
        <f t="shared" si="805"/>
        <v>215275.34811491042</v>
      </c>
      <c r="O129" s="262">
        <f t="shared" si="806"/>
        <v>215275.34811491042</v>
      </c>
      <c r="P129" s="298">
        <f t="shared" si="775"/>
        <v>0</v>
      </c>
      <c r="Q129" s="299">
        <f t="shared" si="776"/>
        <v>0</v>
      </c>
      <c r="R129" s="262">
        <f t="shared" si="807"/>
        <v>0</v>
      </c>
      <c r="S129" s="298">
        <f t="shared" si="777"/>
        <v>0</v>
      </c>
      <c r="T129" s="299">
        <f t="shared" si="778"/>
        <v>0</v>
      </c>
      <c r="U129" s="262">
        <f t="shared" si="808"/>
        <v>0</v>
      </c>
      <c r="V129" s="298">
        <f t="shared" si="779"/>
        <v>0</v>
      </c>
      <c r="W129" s="299">
        <f t="shared" si="780"/>
        <v>0</v>
      </c>
      <c r="X129" s="262">
        <f t="shared" si="809"/>
        <v>0</v>
      </c>
      <c r="Y129" s="298">
        <f t="shared" si="810"/>
        <v>0</v>
      </c>
      <c r="Z129" s="299">
        <f t="shared" si="811"/>
        <v>0</v>
      </c>
      <c r="AA129" s="262">
        <f t="shared" si="812"/>
        <v>0</v>
      </c>
      <c r="AB129" s="298">
        <f t="shared" si="813"/>
        <v>0</v>
      </c>
      <c r="AC129" s="299">
        <f t="shared" si="814"/>
        <v>0</v>
      </c>
      <c r="AD129" s="262">
        <f t="shared" si="815"/>
        <v>0</v>
      </c>
      <c r="AE129" s="298">
        <f t="shared" si="781"/>
        <v>0</v>
      </c>
      <c r="AF129" s="299">
        <f t="shared" si="782"/>
        <v>0</v>
      </c>
      <c r="AG129" s="262">
        <f t="shared" si="816"/>
        <v>0</v>
      </c>
      <c r="AH129" s="298">
        <f t="shared" si="783"/>
        <v>0</v>
      </c>
      <c r="AI129" s="299">
        <f t="shared" si="784"/>
        <v>0</v>
      </c>
      <c r="AJ129" s="262">
        <f t="shared" si="817"/>
        <v>0</v>
      </c>
      <c r="AK129" s="298">
        <f t="shared" si="785"/>
        <v>0</v>
      </c>
      <c r="AL129" s="299">
        <f t="shared" si="786"/>
        <v>0</v>
      </c>
      <c r="AM129" s="262">
        <f t="shared" si="818"/>
        <v>0</v>
      </c>
      <c r="AN129" s="298">
        <f t="shared" si="819"/>
        <v>0</v>
      </c>
      <c r="AO129" s="299">
        <f t="shared" si="820"/>
        <v>0</v>
      </c>
      <c r="AP129" s="262">
        <f t="shared" si="821"/>
        <v>0</v>
      </c>
      <c r="AQ129" s="298">
        <f t="shared" si="822"/>
        <v>0</v>
      </c>
      <c r="AR129" s="299">
        <f t="shared" si="823"/>
        <v>0</v>
      </c>
      <c r="AS129" s="262">
        <f t="shared" si="824"/>
        <v>0</v>
      </c>
      <c r="AT129" s="298">
        <f t="shared" si="787"/>
        <v>0</v>
      </c>
      <c r="AU129" s="299">
        <f t="shared" si="788"/>
        <v>0</v>
      </c>
      <c r="AV129" s="262">
        <f t="shared" si="825"/>
        <v>0</v>
      </c>
      <c r="AW129" s="298">
        <f t="shared" si="789"/>
        <v>0</v>
      </c>
      <c r="AX129" s="299">
        <f t="shared" si="790"/>
        <v>0</v>
      </c>
      <c r="AY129" s="262">
        <f t="shared" si="826"/>
        <v>0</v>
      </c>
      <c r="AZ129" s="298">
        <f t="shared" si="791"/>
        <v>0</v>
      </c>
      <c r="BA129" s="299">
        <f t="shared" si="792"/>
        <v>0</v>
      </c>
      <c r="BB129" s="262">
        <f t="shared" si="827"/>
        <v>0</v>
      </c>
      <c r="BC129" s="298">
        <f t="shared" si="828"/>
        <v>0</v>
      </c>
      <c r="BD129" s="299">
        <f t="shared" si="829"/>
        <v>0</v>
      </c>
      <c r="BE129" s="262">
        <f t="shared" si="830"/>
        <v>0</v>
      </c>
      <c r="BF129" s="298">
        <f t="shared" si="831"/>
        <v>0</v>
      </c>
      <c r="BG129" s="299">
        <f t="shared" si="832"/>
        <v>0</v>
      </c>
      <c r="BH129" s="262">
        <f t="shared" si="833"/>
        <v>0</v>
      </c>
      <c r="BI129" s="298">
        <f t="shared" si="793"/>
        <v>0</v>
      </c>
      <c r="BJ129" s="299">
        <f t="shared" si="794"/>
        <v>0</v>
      </c>
      <c r="BK129" s="262">
        <f t="shared" si="834"/>
        <v>0</v>
      </c>
      <c r="BL129" s="298">
        <f t="shared" si="795"/>
        <v>0</v>
      </c>
      <c r="BM129" s="299">
        <f t="shared" si="796"/>
        <v>0</v>
      </c>
      <c r="BN129" s="262">
        <f t="shared" si="835"/>
        <v>0</v>
      </c>
      <c r="BO129" s="298">
        <f t="shared" si="797"/>
        <v>0</v>
      </c>
      <c r="BP129" s="299">
        <f t="shared" si="798"/>
        <v>0</v>
      </c>
      <c r="BQ129" s="262">
        <f t="shared" si="836"/>
        <v>0</v>
      </c>
    </row>
    <row r="130" spans="1:69">
      <c r="A130" s="835"/>
      <c r="B130" s="837"/>
      <c r="C130" s="290" t="s">
        <v>29</v>
      </c>
      <c r="D130" s="291">
        <f t="shared" si="577"/>
        <v>0</v>
      </c>
      <c r="E130" s="292">
        <f t="shared" si="161"/>
        <v>322913.02217236557</v>
      </c>
      <c r="F130" s="293">
        <f t="shared" si="578"/>
        <v>322913.02217236557</v>
      </c>
      <c r="G130" s="298">
        <f t="shared" si="799"/>
        <v>0</v>
      </c>
      <c r="H130" s="299">
        <f t="shared" si="774"/>
        <v>0</v>
      </c>
      <c r="I130" s="262">
        <f t="shared" si="800"/>
        <v>0</v>
      </c>
      <c r="J130" s="298">
        <f t="shared" si="801"/>
        <v>0</v>
      </c>
      <c r="K130" s="299">
        <f t="shared" si="802"/>
        <v>0</v>
      </c>
      <c r="L130" s="262">
        <f t="shared" si="803"/>
        <v>0</v>
      </c>
      <c r="M130" s="298">
        <f t="shared" si="804"/>
        <v>0</v>
      </c>
      <c r="N130" s="299">
        <f t="shared" si="805"/>
        <v>322913.02217236557</v>
      </c>
      <c r="O130" s="262">
        <f t="shared" si="806"/>
        <v>322913.02217236557</v>
      </c>
      <c r="P130" s="298">
        <f t="shared" si="775"/>
        <v>0</v>
      </c>
      <c r="Q130" s="299">
        <f t="shared" si="776"/>
        <v>0</v>
      </c>
      <c r="R130" s="262">
        <f t="shared" si="807"/>
        <v>0</v>
      </c>
      <c r="S130" s="298">
        <f t="shared" si="777"/>
        <v>0</v>
      </c>
      <c r="T130" s="299">
        <f t="shared" si="778"/>
        <v>0</v>
      </c>
      <c r="U130" s="262">
        <f t="shared" si="808"/>
        <v>0</v>
      </c>
      <c r="V130" s="298">
        <f t="shared" si="779"/>
        <v>0</v>
      </c>
      <c r="W130" s="299">
        <f t="shared" si="780"/>
        <v>0</v>
      </c>
      <c r="X130" s="262">
        <f t="shared" si="809"/>
        <v>0</v>
      </c>
      <c r="Y130" s="298">
        <f t="shared" si="810"/>
        <v>0</v>
      </c>
      <c r="Z130" s="299">
        <f t="shared" si="811"/>
        <v>0</v>
      </c>
      <c r="AA130" s="262">
        <f t="shared" si="812"/>
        <v>0</v>
      </c>
      <c r="AB130" s="298">
        <f t="shared" si="813"/>
        <v>0</v>
      </c>
      <c r="AC130" s="299">
        <f t="shared" si="814"/>
        <v>0</v>
      </c>
      <c r="AD130" s="262">
        <f t="shared" si="815"/>
        <v>0</v>
      </c>
      <c r="AE130" s="298">
        <f t="shared" si="781"/>
        <v>0</v>
      </c>
      <c r="AF130" s="299">
        <f t="shared" si="782"/>
        <v>0</v>
      </c>
      <c r="AG130" s="262">
        <f t="shared" si="816"/>
        <v>0</v>
      </c>
      <c r="AH130" s="298">
        <f t="shared" si="783"/>
        <v>0</v>
      </c>
      <c r="AI130" s="299">
        <f t="shared" si="784"/>
        <v>0</v>
      </c>
      <c r="AJ130" s="262">
        <f t="shared" si="817"/>
        <v>0</v>
      </c>
      <c r="AK130" s="298">
        <f t="shared" si="785"/>
        <v>0</v>
      </c>
      <c r="AL130" s="299">
        <f t="shared" si="786"/>
        <v>0</v>
      </c>
      <c r="AM130" s="262">
        <f t="shared" si="818"/>
        <v>0</v>
      </c>
      <c r="AN130" s="298">
        <f t="shared" si="819"/>
        <v>0</v>
      </c>
      <c r="AO130" s="299">
        <f t="shared" si="820"/>
        <v>0</v>
      </c>
      <c r="AP130" s="262">
        <f t="shared" si="821"/>
        <v>0</v>
      </c>
      <c r="AQ130" s="298">
        <f t="shared" si="822"/>
        <v>0</v>
      </c>
      <c r="AR130" s="299">
        <f t="shared" si="823"/>
        <v>0</v>
      </c>
      <c r="AS130" s="262">
        <f t="shared" si="824"/>
        <v>0</v>
      </c>
      <c r="AT130" s="298">
        <f t="shared" si="787"/>
        <v>0</v>
      </c>
      <c r="AU130" s="299">
        <f t="shared" si="788"/>
        <v>0</v>
      </c>
      <c r="AV130" s="262">
        <f t="shared" si="825"/>
        <v>0</v>
      </c>
      <c r="AW130" s="298">
        <f t="shared" si="789"/>
        <v>0</v>
      </c>
      <c r="AX130" s="299">
        <f t="shared" si="790"/>
        <v>0</v>
      </c>
      <c r="AY130" s="262">
        <f t="shared" si="826"/>
        <v>0</v>
      </c>
      <c r="AZ130" s="298">
        <f t="shared" si="791"/>
        <v>0</v>
      </c>
      <c r="BA130" s="299">
        <f t="shared" si="792"/>
        <v>0</v>
      </c>
      <c r="BB130" s="262">
        <f t="shared" si="827"/>
        <v>0</v>
      </c>
      <c r="BC130" s="298">
        <f t="shared" si="828"/>
        <v>0</v>
      </c>
      <c r="BD130" s="299">
        <f t="shared" si="829"/>
        <v>0</v>
      </c>
      <c r="BE130" s="262">
        <f t="shared" si="830"/>
        <v>0</v>
      </c>
      <c r="BF130" s="298">
        <f t="shared" si="831"/>
        <v>0</v>
      </c>
      <c r="BG130" s="299">
        <f t="shared" si="832"/>
        <v>0</v>
      </c>
      <c r="BH130" s="262">
        <f t="shared" si="833"/>
        <v>0</v>
      </c>
      <c r="BI130" s="298">
        <f t="shared" si="793"/>
        <v>0</v>
      </c>
      <c r="BJ130" s="299">
        <f t="shared" si="794"/>
        <v>0</v>
      </c>
      <c r="BK130" s="262">
        <f t="shared" si="834"/>
        <v>0</v>
      </c>
      <c r="BL130" s="298">
        <f t="shared" si="795"/>
        <v>0</v>
      </c>
      <c r="BM130" s="299">
        <f t="shared" si="796"/>
        <v>0</v>
      </c>
      <c r="BN130" s="262">
        <f t="shared" si="835"/>
        <v>0</v>
      </c>
      <c r="BO130" s="298">
        <f t="shared" si="797"/>
        <v>0</v>
      </c>
      <c r="BP130" s="299">
        <f t="shared" si="798"/>
        <v>0</v>
      </c>
      <c r="BQ130" s="262">
        <f t="shared" si="836"/>
        <v>0</v>
      </c>
    </row>
    <row r="131" spans="1:69">
      <c r="A131" s="835"/>
      <c r="B131" s="837"/>
      <c r="C131" s="290" t="s">
        <v>30</v>
      </c>
      <c r="D131" s="291">
        <f t="shared" si="577"/>
        <v>0</v>
      </c>
      <c r="E131" s="292">
        <f t="shared" si="161"/>
        <v>430550.69622982084</v>
      </c>
      <c r="F131" s="293">
        <f t="shared" si="578"/>
        <v>430550.69622982084</v>
      </c>
      <c r="G131" s="298">
        <f t="shared" si="799"/>
        <v>0</v>
      </c>
      <c r="H131" s="299">
        <f t="shared" si="774"/>
        <v>0</v>
      </c>
      <c r="I131" s="262">
        <f t="shared" si="800"/>
        <v>0</v>
      </c>
      <c r="J131" s="298">
        <f t="shared" si="801"/>
        <v>0</v>
      </c>
      <c r="K131" s="299">
        <f t="shared" si="802"/>
        <v>0</v>
      </c>
      <c r="L131" s="262">
        <f t="shared" si="803"/>
        <v>0</v>
      </c>
      <c r="M131" s="298">
        <f t="shared" si="804"/>
        <v>0</v>
      </c>
      <c r="N131" s="299">
        <f t="shared" si="805"/>
        <v>430550.69622982084</v>
      </c>
      <c r="O131" s="262">
        <f t="shared" si="806"/>
        <v>430550.69622982084</v>
      </c>
      <c r="P131" s="298">
        <f t="shared" si="775"/>
        <v>0</v>
      </c>
      <c r="Q131" s="299">
        <f t="shared" si="776"/>
        <v>0</v>
      </c>
      <c r="R131" s="262">
        <f t="shared" si="807"/>
        <v>0</v>
      </c>
      <c r="S131" s="298">
        <f t="shared" si="777"/>
        <v>0</v>
      </c>
      <c r="T131" s="299">
        <f t="shared" si="778"/>
        <v>0</v>
      </c>
      <c r="U131" s="262">
        <f t="shared" si="808"/>
        <v>0</v>
      </c>
      <c r="V131" s="298">
        <f t="shared" si="779"/>
        <v>0</v>
      </c>
      <c r="W131" s="299">
        <f t="shared" si="780"/>
        <v>0</v>
      </c>
      <c r="X131" s="262">
        <f t="shared" si="809"/>
        <v>0</v>
      </c>
      <c r="Y131" s="298">
        <f t="shared" si="810"/>
        <v>0</v>
      </c>
      <c r="Z131" s="299">
        <f t="shared" si="811"/>
        <v>0</v>
      </c>
      <c r="AA131" s="262">
        <f t="shared" si="812"/>
        <v>0</v>
      </c>
      <c r="AB131" s="298">
        <f t="shared" si="813"/>
        <v>0</v>
      </c>
      <c r="AC131" s="299">
        <f t="shared" si="814"/>
        <v>0</v>
      </c>
      <c r="AD131" s="262">
        <f t="shared" si="815"/>
        <v>0</v>
      </c>
      <c r="AE131" s="298">
        <f t="shared" si="781"/>
        <v>0</v>
      </c>
      <c r="AF131" s="299">
        <f t="shared" si="782"/>
        <v>0</v>
      </c>
      <c r="AG131" s="262">
        <f t="shared" si="816"/>
        <v>0</v>
      </c>
      <c r="AH131" s="298">
        <f t="shared" si="783"/>
        <v>0</v>
      </c>
      <c r="AI131" s="299">
        <f t="shared" si="784"/>
        <v>0</v>
      </c>
      <c r="AJ131" s="262">
        <f t="shared" si="817"/>
        <v>0</v>
      </c>
      <c r="AK131" s="298">
        <f t="shared" si="785"/>
        <v>0</v>
      </c>
      <c r="AL131" s="299">
        <f t="shared" si="786"/>
        <v>0</v>
      </c>
      <c r="AM131" s="262">
        <f t="shared" si="818"/>
        <v>0</v>
      </c>
      <c r="AN131" s="298">
        <f t="shared" si="819"/>
        <v>0</v>
      </c>
      <c r="AO131" s="299">
        <f t="shared" si="820"/>
        <v>0</v>
      </c>
      <c r="AP131" s="262">
        <f t="shared" si="821"/>
        <v>0</v>
      </c>
      <c r="AQ131" s="298">
        <f t="shared" si="822"/>
        <v>0</v>
      </c>
      <c r="AR131" s="299">
        <f t="shared" si="823"/>
        <v>0</v>
      </c>
      <c r="AS131" s="262">
        <f t="shared" si="824"/>
        <v>0</v>
      </c>
      <c r="AT131" s="298">
        <f t="shared" si="787"/>
        <v>0</v>
      </c>
      <c r="AU131" s="299">
        <f t="shared" si="788"/>
        <v>0</v>
      </c>
      <c r="AV131" s="262">
        <f t="shared" si="825"/>
        <v>0</v>
      </c>
      <c r="AW131" s="298">
        <f t="shared" si="789"/>
        <v>0</v>
      </c>
      <c r="AX131" s="299">
        <f t="shared" si="790"/>
        <v>0</v>
      </c>
      <c r="AY131" s="262">
        <f t="shared" si="826"/>
        <v>0</v>
      </c>
      <c r="AZ131" s="298">
        <f t="shared" si="791"/>
        <v>0</v>
      </c>
      <c r="BA131" s="299">
        <f t="shared" si="792"/>
        <v>0</v>
      </c>
      <c r="BB131" s="262">
        <f t="shared" si="827"/>
        <v>0</v>
      </c>
      <c r="BC131" s="298">
        <f t="shared" si="828"/>
        <v>0</v>
      </c>
      <c r="BD131" s="299">
        <f t="shared" si="829"/>
        <v>0</v>
      </c>
      <c r="BE131" s="262">
        <f t="shared" si="830"/>
        <v>0</v>
      </c>
      <c r="BF131" s="298">
        <f t="shared" si="831"/>
        <v>0</v>
      </c>
      <c r="BG131" s="299">
        <f t="shared" si="832"/>
        <v>0</v>
      </c>
      <c r="BH131" s="262">
        <f t="shared" si="833"/>
        <v>0</v>
      </c>
      <c r="BI131" s="298">
        <f t="shared" si="793"/>
        <v>0</v>
      </c>
      <c r="BJ131" s="299">
        <f t="shared" si="794"/>
        <v>0</v>
      </c>
      <c r="BK131" s="262">
        <f t="shared" si="834"/>
        <v>0</v>
      </c>
      <c r="BL131" s="298">
        <f t="shared" si="795"/>
        <v>0</v>
      </c>
      <c r="BM131" s="299">
        <f t="shared" si="796"/>
        <v>0</v>
      </c>
      <c r="BN131" s="262">
        <f t="shared" si="835"/>
        <v>0</v>
      </c>
      <c r="BO131" s="298">
        <f t="shared" si="797"/>
        <v>0</v>
      </c>
      <c r="BP131" s="299">
        <f t="shared" si="798"/>
        <v>0</v>
      </c>
      <c r="BQ131" s="262">
        <f t="shared" si="836"/>
        <v>0</v>
      </c>
    </row>
    <row r="132" spans="1:69">
      <c r="A132" s="835"/>
      <c r="B132" s="837"/>
      <c r="C132" s="290" t="s">
        <v>31</v>
      </c>
      <c r="D132" s="291">
        <f t="shared" ref="D132:D135" si="837">SUM(G132,J132,M132,P132,S132,V132,Y132,AB132,AE132,AH132,AK132,AN132,AQ132,AT132,AW132,AZ132,AZ132,BC132,BF132,BI132,BL132,BO132)</f>
        <v>0</v>
      </c>
      <c r="E132" s="292">
        <f t="shared" si="161"/>
        <v>538188.37028727599</v>
      </c>
      <c r="F132" s="293">
        <f t="shared" si="578"/>
        <v>538188.37028727599</v>
      </c>
      <c r="G132" s="298">
        <f t="shared" si="799"/>
        <v>0</v>
      </c>
      <c r="H132" s="299">
        <f t="shared" si="774"/>
        <v>0</v>
      </c>
      <c r="I132" s="262">
        <f t="shared" si="800"/>
        <v>0</v>
      </c>
      <c r="J132" s="298">
        <f t="shared" si="801"/>
        <v>0</v>
      </c>
      <c r="K132" s="299">
        <f t="shared" si="802"/>
        <v>0</v>
      </c>
      <c r="L132" s="262">
        <f t="shared" si="803"/>
        <v>0</v>
      </c>
      <c r="M132" s="298">
        <f t="shared" si="804"/>
        <v>0</v>
      </c>
      <c r="N132" s="299">
        <f t="shared" si="805"/>
        <v>538188.37028727599</v>
      </c>
      <c r="O132" s="262">
        <f t="shared" si="806"/>
        <v>538188.37028727599</v>
      </c>
      <c r="P132" s="298">
        <f t="shared" si="775"/>
        <v>0</v>
      </c>
      <c r="Q132" s="299">
        <f t="shared" si="776"/>
        <v>0</v>
      </c>
      <c r="R132" s="262">
        <f t="shared" si="807"/>
        <v>0</v>
      </c>
      <c r="S132" s="298">
        <f t="shared" si="777"/>
        <v>0</v>
      </c>
      <c r="T132" s="299">
        <f t="shared" si="778"/>
        <v>0</v>
      </c>
      <c r="U132" s="262">
        <f t="shared" si="808"/>
        <v>0</v>
      </c>
      <c r="V132" s="298">
        <f t="shared" si="779"/>
        <v>0</v>
      </c>
      <c r="W132" s="299">
        <f t="shared" si="780"/>
        <v>0</v>
      </c>
      <c r="X132" s="262">
        <f t="shared" si="809"/>
        <v>0</v>
      </c>
      <c r="Y132" s="298">
        <f t="shared" si="810"/>
        <v>0</v>
      </c>
      <c r="Z132" s="299">
        <f t="shared" si="811"/>
        <v>0</v>
      </c>
      <c r="AA132" s="262">
        <f t="shared" si="812"/>
        <v>0</v>
      </c>
      <c r="AB132" s="298">
        <f t="shared" si="813"/>
        <v>0</v>
      </c>
      <c r="AC132" s="299">
        <f t="shared" si="814"/>
        <v>0</v>
      </c>
      <c r="AD132" s="262">
        <f t="shared" si="815"/>
        <v>0</v>
      </c>
      <c r="AE132" s="298">
        <f t="shared" si="781"/>
        <v>0</v>
      </c>
      <c r="AF132" s="299">
        <f t="shared" si="782"/>
        <v>0</v>
      </c>
      <c r="AG132" s="262">
        <f t="shared" si="816"/>
        <v>0</v>
      </c>
      <c r="AH132" s="298">
        <f t="shared" si="783"/>
        <v>0</v>
      </c>
      <c r="AI132" s="299">
        <f t="shared" si="784"/>
        <v>0</v>
      </c>
      <c r="AJ132" s="262">
        <f t="shared" si="817"/>
        <v>0</v>
      </c>
      <c r="AK132" s="298">
        <f t="shared" si="785"/>
        <v>0</v>
      </c>
      <c r="AL132" s="299">
        <f t="shared" si="786"/>
        <v>0</v>
      </c>
      <c r="AM132" s="262">
        <f t="shared" si="818"/>
        <v>0</v>
      </c>
      <c r="AN132" s="298">
        <f t="shared" si="819"/>
        <v>0</v>
      </c>
      <c r="AO132" s="299">
        <f t="shared" si="820"/>
        <v>0</v>
      </c>
      <c r="AP132" s="262">
        <f t="shared" si="821"/>
        <v>0</v>
      </c>
      <c r="AQ132" s="298">
        <f t="shared" si="822"/>
        <v>0</v>
      </c>
      <c r="AR132" s="299">
        <f t="shared" si="823"/>
        <v>0</v>
      </c>
      <c r="AS132" s="262">
        <f t="shared" si="824"/>
        <v>0</v>
      </c>
      <c r="AT132" s="298">
        <f t="shared" si="787"/>
        <v>0</v>
      </c>
      <c r="AU132" s="299">
        <f t="shared" si="788"/>
        <v>0</v>
      </c>
      <c r="AV132" s="262">
        <f t="shared" si="825"/>
        <v>0</v>
      </c>
      <c r="AW132" s="298">
        <f t="shared" si="789"/>
        <v>0</v>
      </c>
      <c r="AX132" s="299">
        <f t="shared" si="790"/>
        <v>0</v>
      </c>
      <c r="AY132" s="262">
        <f t="shared" si="826"/>
        <v>0</v>
      </c>
      <c r="AZ132" s="298">
        <f t="shared" si="791"/>
        <v>0</v>
      </c>
      <c r="BA132" s="299">
        <f t="shared" si="792"/>
        <v>0</v>
      </c>
      <c r="BB132" s="262">
        <f t="shared" si="827"/>
        <v>0</v>
      </c>
      <c r="BC132" s="298">
        <f t="shared" si="828"/>
        <v>0</v>
      </c>
      <c r="BD132" s="299">
        <f t="shared" si="829"/>
        <v>0</v>
      </c>
      <c r="BE132" s="262">
        <f t="shared" si="830"/>
        <v>0</v>
      </c>
      <c r="BF132" s="298">
        <f t="shared" si="831"/>
        <v>0</v>
      </c>
      <c r="BG132" s="299">
        <f t="shared" si="832"/>
        <v>0</v>
      </c>
      <c r="BH132" s="262">
        <f t="shared" si="833"/>
        <v>0</v>
      </c>
      <c r="BI132" s="298">
        <f t="shared" si="793"/>
        <v>0</v>
      </c>
      <c r="BJ132" s="299">
        <f t="shared" si="794"/>
        <v>0</v>
      </c>
      <c r="BK132" s="262">
        <f t="shared" si="834"/>
        <v>0</v>
      </c>
      <c r="BL132" s="298">
        <f t="shared" si="795"/>
        <v>0</v>
      </c>
      <c r="BM132" s="299">
        <f t="shared" si="796"/>
        <v>0</v>
      </c>
      <c r="BN132" s="262">
        <f t="shared" si="835"/>
        <v>0</v>
      </c>
      <c r="BO132" s="298">
        <f t="shared" si="797"/>
        <v>0</v>
      </c>
      <c r="BP132" s="299">
        <f t="shared" si="798"/>
        <v>0</v>
      </c>
      <c r="BQ132" s="262">
        <f t="shared" si="836"/>
        <v>0</v>
      </c>
    </row>
    <row r="133" spans="1:69">
      <c r="A133" s="835"/>
      <c r="B133" s="837"/>
      <c r="C133" s="290" t="s">
        <v>32</v>
      </c>
      <c r="D133" s="291">
        <f t="shared" si="837"/>
        <v>0</v>
      </c>
      <c r="E133" s="292">
        <f t="shared" si="161"/>
        <v>645826.04434473114</v>
      </c>
      <c r="F133" s="293">
        <f t="shared" si="578"/>
        <v>645826.04434473114</v>
      </c>
      <c r="G133" s="298">
        <f t="shared" si="799"/>
        <v>0</v>
      </c>
      <c r="H133" s="299">
        <f t="shared" si="774"/>
        <v>0</v>
      </c>
      <c r="I133" s="262">
        <f t="shared" si="800"/>
        <v>0</v>
      </c>
      <c r="J133" s="298">
        <f t="shared" si="801"/>
        <v>0</v>
      </c>
      <c r="K133" s="299">
        <f t="shared" si="802"/>
        <v>0</v>
      </c>
      <c r="L133" s="262">
        <f t="shared" si="803"/>
        <v>0</v>
      </c>
      <c r="M133" s="298">
        <f t="shared" si="804"/>
        <v>0</v>
      </c>
      <c r="N133" s="299">
        <f t="shared" si="805"/>
        <v>645826.04434473114</v>
      </c>
      <c r="O133" s="262">
        <f t="shared" si="806"/>
        <v>645826.04434473114</v>
      </c>
      <c r="P133" s="298">
        <f t="shared" si="775"/>
        <v>0</v>
      </c>
      <c r="Q133" s="299">
        <f t="shared" si="776"/>
        <v>0</v>
      </c>
      <c r="R133" s="262">
        <f t="shared" si="807"/>
        <v>0</v>
      </c>
      <c r="S133" s="298">
        <f t="shared" si="777"/>
        <v>0</v>
      </c>
      <c r="T133" s="299">
        <f t="shared" si="778"/>
        <v>0</v>
      </c>
      <c r="U133" s="262">
        <f t="shared" si="808"/>
        <v>0</v>
      </c>
      <c r="V133" s="298">
        <f t="shared" si="779"/>
        <v>0</v>
      </c>
      <c r="W133" s="299">
        <f t="shared" si="780"/>
        <v>0</v>
      </c>
      <c r="X133" s="262">
        <f t="shared" si="809"/>
        <v>0</v>
      </c>
      <c r="Y133" s="298">
        <f t="shared" si="810"/>
        <v>0</v>
      </c>
      <c r="Z133" s="299">
        <f t="shared" si="811"/>
        <v>0</v>
      </c>
      <c r="AA133" s="262">
        <f t="shared" si="812"/>
        <v>0</v>
      </c>
      <c r="AB133" s="298">
        <f t="shared" si="813"/>
        <v>0</v>
      </c>
      <c r="AC133" s="299">
        <f t="shared" si="814"/>
        <v>0</v>
      </c>
      <c r="AD133" s="262">
        <f t="shared" si="815"/>
        <v>0</v>
      </c>
      <c r="AE133" s="298">
        <f t="shared" si="781"/>
        <v>0</v>
      </c>
      <c r="AF133" s="299">
        <f t="shared" si="782"/>
        <v>0</v>
      </c>
      <c r="AG133" s="262">
        <f t="shared" si="816"/>
        <v>0</v>
      </c>
      <c r="AH133" s="298">
        <f t="shared" si="783"/>
        <v>0</v>
      </c>
      <c r="AI133" s="299">
        <f t="shared" si="784"/>
        <v>0</v>
      </c>
      <c r="AJ133" s="262">
        <f t="shared" si="817"/>
        <v>0</v>
      </c>
      <c r="AK133" s="298">
        <f t="shared" si="785"/>
        <v>0</v>
      </c>
      <c r="AL133" s="299">
        <f t="shared" si="786"/>
        <v>0</v>
      </c>
      <c r="AM133" s="262">
        <f t="shared" si="818"/>
        <v>0</v>
      </c>
      <c r="AN133" s="298">
        <f t="shared" si="819"/>
        <v>0</v>
      </c>
      <c r="AO133" s="299">
        <f t="shared" si="820"/>
        <v>0</v>
      </c>
      <c r="AP133" s="262">
        <f t="shared" si="821"/>
        <v>0</v>
      </c>
      <c r="AQ133" s="298">
        <f t="shared" si="822"/>
        <v>0</v>
      </c>
      <c r="AR133" s="299">
        <f t="shared" si="823"/>
        <v>0</v>
      </c>
      <c r="AS133" s="262">
        <f t="shared" si="824"/>
        <v>0</v>
      </c>
      <c r="AT133" s="298">
        <f t="shared" si="787"/>
        <v>0</v>
      </c>
      <c r="AU133" s="299">
        <f t="shared" si="788"/>
        <v>0</v>
      </c>
      <c r="AV133" s="262">
        <f t="shared" si="825"/>
        <v>0</v>
      </c>
      <c r="AW133" s="298">
        <f t="shared" si="789"/>
        <v>0</v>
      </c>
      <c r="AX133" s="299">
        <f t="shared" si="790"/>
        <v>0</v>
      </c>
      <c r="AY133" s="262">
        <f t="shared" si="826"/>
        <v>0</v>
      </c>
      <c r="AZ133" s="298">
        <f t="shared" si="791"/>
        <v>0</v>
      </c>
      <c r="BA133" s="299">
        <f t="shared" si="792"/>
        <v>0</v>
      </c>
      <c r="BB133" s="262">
        <f t="shared" si="827"/>
        <v>0</v>
      </c>
      <c r="BC133" s="298">
        <f t="shared" si="828"/>
        <v>0</v>
      </c>
      <c r="BD133" s="299">
        <f t="shared" si="829"/>
        <v>0</v>
      </c>
      <c r="BE133" s="262">
        <f t="shared" si="830"/>
        <v>0</v>
      </c>
      <c r="BF133" s="298">
        <f t="shared" si="831"/>
        <v>0</v>
      </c>
      <c r="BG133" s="299">
        <f t="shared" si="832"/>
        <v>0</v>
      </c>
      <c r="BH133" s="262">
        <f t="shared" si="833"/>
        <v>0</v>
      </c>
      <c r="BI133" s="298">
        <f t="shared" si="793"/>
        <v>0</v>
      </c>
      <c r="BJ133" s="299">
        <f t="shared" si="794"/>
        <v>0</v>
      </c>
      <c r="BK133" s="262">
        <f t="shared" si="834"/>
        <v>0</v>
      </c>
      <c r="BL133" s="298">
        <f t="shared" si="795"/>
        <v>0</v>
      </c>
      <c r="BM133" s="299">
        <f t="shared" si="796"/>
        <v>0</v>
      </c>
      <c r="BN133" s="262">
        <f t="shared" si="835"/>
        <v>0</v>
      </c>
      <c r="BO133" s="298">
        <f t="shared" si="797"/>
        <v>0</v>
      </c>
      <c r="BP133" s="299">
        <f t="shared" si="798"/>
        <v>0</v>
      </c>
      <c r="BQ133" s="262">
        <f t="shared" si="836"/>
        <v>0</v>
      </c>
    </row>
    <row r="134" spans="1:69">
      <c r="A134" s="835"/>
      <c r="B134" s="837"/>
      <c r="C134" s="290" t="s">
        <v>33</v>
      </c>
      <c r="D134" s="291">
        <f t="shared" si="837"/>
        <v>0</v>
      </c>
      <c r="E134" s="292">
        <f t="shared" si="161"/>
        <v>753463.71840218629</v>
      </c>
      <c r="F134" s="293">
        <f t="shared" si="578"/>
        <v>753463.71840218629</v>
      </c>
      <c r="G134" s="298">
        <f t="shared" si="799"/>
        <v>0</v>
      </c>
      <c r="H134" s="299">
        <f t="shared" si="774"/>
        <v>0</v>
      </c>
      <c r="I134" s="262">
        <f t="shared" si="800"/>
        <v>0</v>
      </c>
      <c r="J134" s="298">
        <f t="shared" si="801"/>
        <v>0</v>
      </c>
      <c r="K134" s="299">
        <f t="shared" si="802"/>
        <v>0</v>
      </c>
      <c r="L134" s="262">
        <f t="shared" si="803"/>
        <v>0</v>
      </c>
      <c r="M134" s="298">
        <f t="shared" si="804"/>
        <v>0</v>
      </c>
      <c r="N134" s="299">
        <f t="shared" si="805"/>
        <v>753463.71840218629</v>
      </c>
      <c r="O134" s="262">
        <f t="shared" si="806"/>
        <v>753463.71840218629</v>
      </c>
      <c r="P134" s="298">
        <f t="shared" si="775"/>
        <v>0</v>
      </c>
      <c r="Q134" s="299">
        <f t="shared" si="776"/>
        <v>0</v>
      </c>
      <c r="R134" s="262">
        <f t="shared" si="807"/>
        <v>0</v>
      </c>
      <c r="S134" s="298">
        <f t="shared" si="777"/>
        <v>0</v>
      </c>
      <c r="T134" s="299">
        <f t="shared" si="778"/>
        <v>0</v>
      </c>
      <c r="U134" s="262">
        <f t="shared" si="808"/>
        <v>0</v>
      </c>
      <c r="V134" s="298">
        <f t="shared" si="779"/>
        <v>0</v>
      </c>
      <c r="W134" s="299">
        <f t="shared" si="780"/>
        <v>0</v>
      </c>
      <c r="X134" s="262">
        <f t="shared" si="809"/>
        <v>0</v>
      </c>
      <c r="Y134" s="298">
        <f t="shared" si="810"/>
        <v>0</v>
      </c>
      <c r="Z134" s="299">
        <f t="shared" si="811"/>
        <v>0</v>
      </c>
      <c r="AA134" s="262">
        <f t="shared" si="812"/>
        <v>0</v>
      </c>
      <c r="AB134" s="298">
        <f t="shared" si="813"/>
        <v>0</v>
      </c>
      <c r="AC134" s="299">
        <f t="shared" si="814"/>
        <v>0</v>
      </c>
      <c r="AD134" s="262">
        <f t="shared" si="815"/>
        <v>0</v>
      </c>
      <c r="AE134" s="298">
        <f t="shared" si="781"/>
        <v>0</v>
      </c>
      <c r="AF134" s="299">
        <f t="shared" si="782"/>
        <v>0</v>
      </c>
      <c r="AG134" s="262">
        <f t="shared" si="816"/>
        <v>0</v>
      </c>
      <c r="AH134" s="298">
        <f t="shared" si="783"/>
        <v>0</v>
      </c>
      <c r="AI134" s="299">
        <f t="shared" si="784"/>
        <v>0</v>
      </c>
      <c r="AJ134" s="262">
        <f t="shared" si="817"/>
        <v>0</v>
      </c>
      <c r="AK134" s="298">
        <f t="shared" si="785"/>
        <v>0</v>
      </c>
      <c r="AL134" s="299">
        <f t="shared" si="786"/>
        <v>0</v>
      </c>
      <c r="AM134" s="262">
        <f t="shared" si="818"/>
        <v>0</v>
      </c>
      <c r="AN134" s="298">
        <f t="shared" si="819"/>
        <v>0</v>
      </c>
      <c r="AO134" s="299">
        <f t="shared" si="820"/>
        <v>0</v>
      </c>
      <c r="AP134" s="262">
        <f t="shared" si="821"/>
        <v>0</v>
      </c>
      <c r="AQ134" s="298">
        <f t="shared" si="822"/>
        <v>0</v>
      </c>
      <c r="AR134" s="299">
        <f t="shared" si="823"/>
        <v>0</v>
      </c>
      <c r="AS134" s="262">
        <f t="shared" si="824"/>
        <v>0</v>
      </c>
      <c r="AT134" s="298">
        <f t="shared" si="787"/>
        <v>0</v>
      </c>
      <c r="AU134" s="299">
        <f t="shared" si="788"/>
        <v>0</v>
      </c>
      <c r="AV134" s="262">
        <f t="shared" si="825"/>
        <v>0</v>
      </c>
      <c r="AW134" s="298">
        <f t="shared" si="789"/>
        <v>0</v>
      </c>
      <c r="AX134" s="299">
        <f t="shared" si="790"/>
        <v>0</v>
      </c>
      <c r="AY134" s="262">
        <f t="shared" si="826"/>
        <v>0</v>
      </c>
      <c r="AZ134" s="298">
        <f t="shared" si="791"/>
        <v>0</v>
      </c>
      <c r="BA134" s="299">
        <f t="shared" si="792"/>
        <v>0</v>
      </c>
      <c r="BB134" s="262">
        <f t="shared" si="827"/>
        <v>0</v>
      </c>
      <c r="BC134" s="298">
        <f t="shared" si="828"/>
        <v>0</v>
      </c>
      <c r="BD134" s="299">
        <f t="shared" si="829"/>
        <v>0</v>
      </c>
      <c r="BE134" s="262">
        <f t="shared" si="830"/>
        <v>0</v>
      </c>
      <c r="BF134" s="298">
        <f t="shared" si="831"/>
        <v>0</v>
      </c>
      <c r="BG134" s="299">
        <f t="shared" si="832"/>
        <v>0</v>
      </c>
      <c r="BH134" s="262">
        <f t="shared" si="833"/>
        <v>0</v>
      </c>
      <c r="BI134" s="298">
        <f t="shared" si="793"/>
        <v>0</v>
      </c>
      <c r="BJ134" s="299">
        <f t="shared" si="794"/>
        <v>0</v>
      </c>
      <c r="BK134" s="262">
        <f t="shared" si="834"/>
        <v>0</v>
      </c>
      <c r="BL134" s="298">
        <f t="shared" si="795"/>
        <v>0</v>
      </c>
      <c r="BM134" s="299">
        <f t="shared" si="796"/>
        <v>0</v>
      </c>
      <c r="BN134" s="262">
        <f t="shared" si="835"/>
        <v>0</v>
      </c>
      <c r="BO134" s="298">
        <f t="shared" si="797"/>
        <v>0</v>
      </c>
      <c r="BP134" s="299">
        <f t="shared" si="798"/>
        <v>0</v>
      </c>
      <c r="BQ134" s="262">
        <f t="shared" si="836"/>
        <v>0</v>
      </c>
    </row>
    <row r="135" spans="1:69" ht="15.75" thickBot="1">
      <c r="A135" s="836"/>
      <c r="B135" s="838"/>
      <c r="C135" s="300" t="s">
        <v>34</v>
      </c>
      <c r="D135" s="301">
        <f t="shared" si="837"/>
        <v>0</v>
      </c>
      <c r="E135" s="302">
        <f t="shared" si="161"/>
        <v>861101.39245964168</v>
      </c>
      <c r="F135" s="303">
        <f t="shared" si="578"/>
        <v>861101.39245964168</v>
      </c>
      <c r="G135" s="304">
        <f t="shared" si="799"/>
        <v>0</v>
      </c>
      <c r="H135" s="305">
        <f t="shared" si="774"/>
        <v>0</v>
      </c>
      <c r="I135" s="267">
        <f t="shared" si="800"/>
        <v>0</v>
      </c>
      <c r="J135" s="304">
        <f t="shared" si="801"/>
        <v>0</v>
      </c>
      <c r="K135" s="305">
        <f t="shared" si="802"/>
        <v>0</v>
      </c>
      <c r="L135" s="267">
        <f t="shared" si="803"/>
        <v>0</v>
      </c>
      <c r="M135" s="304">
        <f t="shared" si="804"/>
        <v>0</v>
      </c>
      <c r="N135" s="305">
        <f t="shared" si="805"/>
        <v>861101.39245964168</v>
      </c>
      <c r="O135" s="267">
        <f t="shared" si="806"/>
        <v>861101.39245964168</v>
      </c>
      <c r="P135" s="304">
        <f t="shared" si="775"/>
        <v>0</v>
      </c>
      <c r="Q135" s="305">
        <f t="shared" si="776"/>
        <v>0</v>
      </c>
      <c r="R135" s="267">
        <f t="shared" si="807"/>
        <v>0</v>
      </c>
      <c r="S135" s="304">
        <f t="shared" si="777"/>
        <v>0</v>
      </c>
      <c r="T135" s="305">
        <f t="shared" si="778"/>
        <v>0</v>
      </c>
      <c r="U135" s="267">
        <f t="shared" si="808"/>
        <v>0</v>
      </c>
      <c r="V135" s="304">
        <f t="shared" si="779"/>
        <v>0</v>
      </c>
      <c r="W135" s="305">
        <f t="shared" si="780"/>
        <v>0</v>
      </c>
      <c r="X135" s="267">
        <f t="shared" si="809"/>
        <v>0</v>
      </c>
      <c r="Y135" s="304">
        <f t="shared" si="810"/>
        <v>0</v>
      </c>
      <c r="Z135" s="305">
        <f t="shared" si="811"/>
        <v>0</v>
      </c>
      <c r="AA135" s="267">
        <f t="shared" si="812"/>
        <v>0</v>
      </c>
      <c r="AB135" s="304">
        <f t="shared" si="813"/>
        <v>0</v>
      </c>
      <c r="AC135" s="305">
        <f t="shared" si="814"/>
        <v>0</v>
      </c>
      <c r="AD135" s="267">
        <f t="shared" si="815"/>
        <v>0</v>
      </c>
      <c r="AE135" s="304">
        <f t="shared" si="781"/>
        <v>0</v>
      </c>
      <c r="AF135" s="305">
        <f t="shared" si="782"/>
        <v>0</v>
      </c>
      <c r="AG135" s="267">
        <f t="shared" si="816"/>
        <v>0</v>
      </c>
      <c r="AH135" s="304">
        <f t="shared" si="783"/>
        <v>0</v>
      </c>
      <c r="AI135" s="305">
        <f t="shared" si="784"/>
        <v>0</v>
      </c>
      <c r="AJ135" s="267">
        <f t="shared" si="817"/>
        <v>0</v>
      </c>
      <c r="AK135" s="304">
        <f t="shared" si="785"/>
        <v>0</v>
      </c>
      <c r="AL135" s="305">
        <f t="shared" si="786"/>
        <v>0</v>
      </c>
      <c r="AM135" s="267">
        <f t="shared" si="818"/>
        <v>0</v>
      </c>
      <c r="AN135" s="304">
        <f t="shared" si="819"/>
        <v>0</v>
      </c>
      <c r="AO135" s="305">
        <f t="shared" si="820"/>
        <v>0</v>
      </c>
      <c r="AP135" s="267">
        <f t="shared" si="821"/>
        <v>0</v>
      </c>
      <c r="AQ135" s="304">
        <f t="shared" si="822"/>
        <v>0</v>
      </c>
      <c r="AR135" s="305">
        <f t="shared" si="823"/>
        <v>0</v>
      </c>
      <c r="AS135" s="267">
        <f t="shared" si="824"/>
        <v>0</v>
      </c>
      <c r="AT135" s="304">
        <f t="shared" si="787"/>
        <v>0</v>
      </c>
      <c r="AU135" s="305">
        <f t="shared" si="788"/>
        <v>0</v>
      </c>
      <c r="AV135" s="267">
        <f t="shared" si="825"/>
        <v>0</v>
      </c>
      <c r="AW135" s="304">
        <f t="shared" si="789"/>
        <v>0</v>
      </c>
      <c r="AX135" s="305">
        <f t="shared" si="790"/>
        <v>0</v>
      </c>
      <c r="AY135" s="267">
        <f t="shared" si="826"/>
        <v>0</v>
      </c>
      <c r="AZ135" s="304">
        <f t="shared" si="791"/>
        <v>0</v>
      </c>
      <c r="BA135" s="305">
        <f t="shared" si="792"/>
        <v>0</v>
      </c>
      <c r="BB135" s="267">
        <f t="shared" si="827"/>
        <v>0</v>
      </c>
      <c r="BC135" s="304">
        <f t="shared" si="828"/>
        <v>0</v>
      </c>
      <c r="BD135" s="305">
        <f t="shared" si="829"/>
        <v>0</v>
      </c>
      <c r="BE135" s="267">
        <f t="shared" si="830"/>
        <v>0</v>
      </c>
      <c r="BF135" s="304">
        <f t="shared" si="831"/>
        <v>0</v>
      </c>
      <c r="BG135" s="305">
        <f t="shared" si="832"/>
        <v>0</v>
      </c>
      <c r="BH135" s="267">
        <f t="shared" si="833"/>
        <v>0</v>
      </c>
      <c r="BI135" s="304">
        <f t="shared" si="793"/>
        <v>0</v>
      </c>
      <c r="BJ135" s="305">
        <f t="shared" si="794"/>
        <v>0</v>
      </c>
      <c r="BK135" s="267">
        <f t="shared" si="834"/>
        <v>0</v>
      </c>
      <c r="BL135" s="304">
        <f t="shared" si="795"/>
        <v>0</v>
      </c>
      <c r="BM135" s="305">
        <f t="shared" si="796"/>
        <v>0</v>
      </c>
      <c r="BN135" s="267">
        <f t="shared" si="835"/>
        <v>0</v>
      </c>
      <c r="BO135" s="304">
        <f t="shared" si="797"/>
        <v>0</v>
      </c>
      <c r="BP135" s="305">
        <f t="shared" si="798"/>
        <v>0</v>
      </c>
      <c r="BQ135" s="267">
        <f t="shared" si="836"/>
        <v>0</v>
      </c>
    </row>
  </sheetData>
  <sheetProtection insertColumns="0" deleteColumns="0"/>
  <mergeCells count="71">
    <mergeCell ref="AE3:AG3"/>
    <mergeCell ref="AH3:AJ3"/>
    <mergeCell ref="AK3:AM3"/>
    <mergeCell ref="V2:X2"/>
    <mergeCell ref="Y2:AA2"/>
    <mergeCell ref="P3:R3"/>
    <mergeCell ref="S3:U3"/>
    <mergeCell ref="V3:X3"/>
    <mergeCell ref="Y3:AA3"/>
    <mergeCell ref="AB3:AD3"/>
    <mergeCell ref="A5:A14"/>
    <mergeCell ref="AH2:AJ2"/>
    <mergeCell ref="A1:F1"/>
    <mergeCell ref="BL3:BN3"/>
    <mergeCell ref="AN2:AP2"/>
    <mergeCell ref="AQ2:AS2"/>
    <mergeCell ref="AT2:AV2"/>
    <mergeCell ref="AW2:AY2"/>
    <mergeCell ref="AZ2:BB2"/>
    <mergeCell ref="B5:B14"/>
    <mergeCell ref="AE2:AG2"/>
    <mergeCell ref="AN3:AP3"/>
    <mergeCell ref="G1:BQ1"/>
    <mergeCell ref="AK2:AM2"/>
    <mergeCell ref="J3:L3"/>
    <mergeCell ref="M3:O3"/>
    <mergeCell ref="BO3:BQ3"/>
    <mergeCell ref="BL2:BN2"/>
    <mergeCell ref="BO2:BQ2"/>
    <mergeCell ref="BC2:BE2"/>
    <mergeCell ref="BC3:BE3"/>
    <mergeCell ref="BF2:BH2"/>
    <mergeCell ref="BF3:BH3"/>
    <mergeCell ref="A66:A75"/>
    <mergeCell ref="B66:B75"/>
    <mergeCell ref="A126:A135"/>
    <mergeCell ref="B126:B135"/>
    <mergeCell ref="A106:A115"/>
    <mergeCell ref="B106:B115"/>
    <mergeCell ref="A86:A95"/>
    <mergeCell ref="B86:B95"/>
    <mergeCell ref="A116:A125"/>
    <mergeCell ref="B116:B125"/>
    <mergeCell ref="A96:A105"/>
    <mergeCell ref="B96:B105"/>
    <mergeCell ref="A76:A85"/>
    <mergeCell ref="B76:B85"/>
    <mergeCell ref="A15:A24"/>
    <mergeCell ref="B15:B24"/>
    <mergeCell ref="BI2:BK2"/>
    <mergeCell ref="D2:F2"/>
    <mergeCell ref="G2:I2"/>
    <mergeCell ref="G3:I3"/>
    <mergeCell ref="BI3:BK3"/>
    <mergeCell ref="AT3:AV3"/>
    <mergeCell ref="AW3:AY3"/>
    <mergeCell ref="AZ3:BB3"/>
    <mergeCell ref="J2:L2"/>
    <mergeCell ref="M2:O2"/>
    <mergeCell ref="P2:R2"/>
    <mergeCell ref="S2:U2"/>
    <mergeCell ref="AQ3:AS3"/>
    <mergeCell ref="AB2:AD2"/>
    <mergeCell ref="A25:A34"/>
    <mergeCell ref="B25:B34"/>
    <mergeCell ref="A35:A44"/>
    <mergeCell ref="B35:B44"/>
    <mergeCell ref="A55:A64"/>
    <mergeCell ref="B55:B64"/>
    <mergeCell ref="A45:A54"/>
    <mergeCell ref="B45:B54"/>
  </mergeCells>
  <pageMargins left="0.7" right="0.7" top="0.75" bottom="0.75" header="0.3" footer="0.3"/>
  <pageSetup paperSize="9" scale="33"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24">
    <tabColor rgb="FFFFC000"/>
  </sheetPr>
  <dimension ref="A1:Q23"/>
  <sheetViews>
    <sheetView zoomScale="130" zoomScaleNormal="130" workbookViewId="0">
      <selection activeCell="K3" sqref="K3:K21"/>
    </sheetView>
  </sheetViews>
  <sheetFormatPr defaultColWidth="8.85546875" defaultRowHeight="12.75"/>
  <cols>
    <col min="1" max="1" width="8.85546875" style="410"/>
    <col min="2" max="2" width="72.140625" style="410" customWidth="1"/>
    <col min="3" max="13" width="10.140625" style="410" customWidth="1"/>
    <col min="14" max="14" width="11" style="410" customWidth="1"/>
    <col min="15" max="15" width="19.140625" style="410" customWidth="1"/>
    <col min="16" max="16" width="48.42578125" style="410" bestFit="1" customWidth="1"/>
    <col min="17" max="16384" width="8.85546875" style="410"/>
  </cols>
  <sheetData>
    <row r="1" spans="1:17">
      <c r="J1" s="508">
        <f>SUM(J3:J23)</f>
        <v>13865</v>
      </c>
      <c r="O1" s="673">
        <f>AKTIVITY_POZICIE!K1</f>
        <v>12408</v>
      </c>
    </row>
    <row r="2" spans="1:17" s="491" customFormat="1" ht="38.25">
      <c r="A2" s="493" t="s">
        <v>271</v>
      </c>
      <c r="B2" s="492" t="s">
        <v>294</v>
      </c>
      <c r="C2" s="492" t="s">
        <v>325</v>
      </c>
      <c r="D2" s="492" t="s">
        <v>326</v>
      </c>
      <c r="E2" s="492" t="s">
        <v>327</v>
      </c>
      <c r="F2" s="492" t="s">
        <v>340</v>
      </c>
      <c r="G2" s="492" t="s">
        <v>267</v>
      </c>
      <c r="H2" s="492" t="s">
        <v>293</v>
      </c>
      <c r="I2" s="492" t="s">
        <v>339</v>
      </c>
      <c r="J2" s="492" t="s">
        <v>739</v>
      </c>
      <c r="K2" s="492" t="s">
        <v>422</v>
      </c>
      <c r="L2" s="492" t="s">
        <v>295</v>
      </c>
      <c r="M2" s="492" t="s">
        <v>423</v>
      </c>
      <c r="N2" s="492"/>
      <c r="O2" s="492" t="s">
        <v>765</v>
      </c>
      <c r="P2" s="492" t="s">
        <v>2491</v>
      </c>
      <c r="Q2" s="492" t="s">
        <v>2492</v>
      </c>
    </row>
    <row r="3" spans="1:17">
      <c r="A3" s="415" t="s">
        <v>272</v>
      </c>
      <c r="B3" s="414" t="s">
        <v>784</v>
      </c>
      <c r="C3" s="412">
        <f>IF(ISBLANK(B3),"",TCF_v02!$B$2)</f>
        <v>0.99</v>
      </c>
      <c r="D3" s="412">
        <f>IF(ISBLANK(B3),"",ECF_v02!$B$2)</f>
        <v>0.99499999999999988</v>
      </c>
      <c r="E3" s="412">
        <f>IFERROR(VLOOKUP(B3,UAW_v02!A6:B26,2,0),"")</f>
        <v>36</v>
      </c>
      <c r="F3" s="413">
        <v>20</v>
      </c>
      <c r="G3" s="413" t="s">
        <v>296</v>
      </c>
      <c r="H3" s="412">
        <f>IFERROR(YEAR(VLOOKUP(G3,INKREMENTY!$A$2:$F$21,4,0)),"")</f>
        <v>2025</v>
      </c>
      <c r="I3" s="411">
        <f>IFERROR(VLOOKUP(G3,INKREMENTY!$A$2:$F$21,6,0),"")</f>
        <v>3</v>
      </c>
      <c r="J3" s="674">
        <f>IFERROR(ROUND((SUMIF(KATALOG_POZIADAVKY!$G$3:$G$850,MODULY_CBA!B3,KATALOG_POZIADAVKY!$P$3:$P$850)/8),0),"")</f>
        <v>889</v>
      </c>
      <c r="K3" s="430">
        <v>0.06</v>
      </c>
      <c r="L3" s="430">
        <v>0</v>
      </c>
      <c r="M3" s="430">
        <v>0</v>
      </c>
      <c r="N3" s="507">
        <v>3</v>
      </c>
      <c r="O3" s="672">
        <f>IFERROR($O$1*J3/$J$1,"")</f>
        <v>795.5796610169491</v>
      </c>
      <c r="P3" s="507" t="s">
        <v>2490</v>
      </c>
      <c r="Q3" s="507" t="s">
        <v>2489</v>
      </c>
    </row>
    <row r="4" spans="1:17">
      <c r="A4" s="415" t="s">
        <v>273</v>
      </c>
      <c r="B4" s="414" t="s">
        <v>785</v>
      </c>
      <c r="C4" s="412">
        <f>IF(ISBLANK(B4),"",TCF_v02!$B$2)</f>
        <v>0.99</v>
      </c>
      <c r="D4" s="412">
        <f>IF(ISBLANK(B4),"",ECF_v02!$B$2)</f>
        <v>0.99499999999999988</v>
      </c>
      <c r="E4" s="412">
        <f>IFERROR(VLOOKUP(B4,UAW_v02!A7:B27,2,0),"")</f>
        <v>18</v>
      </c>
      <c r="F4" s="413">
        <v>20</v>
      </c>
      <c r="G4" s="413" t="s">
        <v>296</v>
      </c>
      <c r="H4" s="412">
        <f>IFERROR(YEAR(VLOOKUP(G4,INKREMENTY!$A$2:$F$21,4,0)),"")</f>
        <v>2025</v>
      </c>
      <c r="I4" s="411">
        <f>IFERROR(VLOOKUP(G4,INKREMENTY!$A$2:$F$21,6,0),"")</f>
        <v>3</v>
      </c>
      <c r="J4" s="674">
        <f>IFERROR(ROUND((SUMIF(KATALOG_POZIADAVKY!$G$3:$G$850,MODULY_CBA!B4,KATALOG_POZIADAVKY!$P$3:$P$850)/8),0),"")</f>
        <v>2997</v>
      </c>
      <c r="K4" s="430">
        <v>0.06</v>
      </c>
      <c r="L4" s="430">
        <v>0</v>
      </c>
      <c r="M4" s="430">
        <v>0</v>
      </c>
      <c r="N4" s="507">
        <v>3</v>
      </c>
      <c r="O4" s="672">
        <f t="shared" ref="O4:O8" si="0">IFERROR($O$1*J4/$J$1,"")</f>
        <v>2682.0610169491524</v>
      </c>
      <c r="P4" s="507" t="s">
        <v>2490</v>
      </c>
      <c r="Q4" s="507" t="s">
        <v>2488</v>
      </c>
    </row>
    <row r="5" spans="1:17">
      <c r="A5" s="415" t="s">
        <v>274</v>
      </c>
      <c r="B5" s="414" t="s">
        <v>786</v>
      </c>
      <c r="C5" s="412">
        <f>IF(ISBLANK(B5),"",TCF_v02!$B$2)</f>
        <v>0.99</v>
      </c>
      <c r="D5" s="412">
        <f>IF(ISBLANK(B5),"",ECF_v02!$B$2)</f>
        <v>0.99499999999999988</v>
      </c>
      <c r="E5" s="412">
        <f>IFERROR(VLOOKUP(B5,UAW_v02!A8:B28,2,0),"")</f>
        <v>24</v>
      </c>
      <c r="F5" s="413">
        <v>20</v>
      </c>
      <c r="G5" s="413" t="s">
        <v>296</v>
      </c>
      <c r="H5" s="412">
        <f>IFERROR(YEAR(VLOOKUP(G5,INKREMENTY!$A$2:$F$21,4,0)),"")</f>
        <v>2025</v>
      </c>
      <c r="I5" s="411">
        <f>IFERROR(VLOOKUP(G5,INKREMENTY!$A$2:$F$21,6,0),"")</f>
        <v>3</v>
      </c>
      <c r="J5" s="674">
        <f>IFERROR(ROUND((SUMIF(KATALOG_POZIADAVKY!$G$3:$G$650,MODULY_CBA!B5,KATALOG_POZIADAVKY!$P$3:$P$650)/8),0),"")</f>
        <v>2963</v>
      </c>
      <c r="K5" s="430">
        <v>0.06</v>
      </c>
      <c r="L5" s="430">
        <v>0</v>
      </c>
      <c r="M5" s="430">
        <v>0</v>
      </c>
      <c r="N5" s="507">
        <v>3</v>
      </c>
      <c r="O5" s="672">
        <f t="shared" si="0"/>
        <v>2651.6338983050846</v>
      </c>
      <c r="P5" s="507" t="s">
        <v>2487</v>
      </c>
      <c r="Q5" s="507" t="s">
        <v>2489</v>
      </c>
    </row>
    <row r="6" spans="1:17">
      <c r="A6" s="415" t="s">
        <v>275</v>
      </c>
      <c r="B6" s="414" t="s">
        <v>787</v>
      </c>
      <c r="C6" s="412">
        <f>IF(ISBLANK(B6),"",TCF_v02!$B$2)</f>
        <v>0.99</v>
      </c>
      <c r="D6" s="412">
        <f>IF(ISBLANK(B6),"",ECF_v02!$B$2)</f>
        <v>0.99499999999999988</v>
      </c>
      <c r="E6" s="412">
        <f>IFERROR(VLOOKUP(B6,UAW_v02!A9:B29,2,0),"")</f>
        <v>18</v>
      </c>
      <c r="F6" s="413">
        <v>20</v>
      </c>
      <c r="G6" s="413" t="s">
        <v>296</v>
      </c>
      <c r="H6" s="412">
        <f>IFERROR(YEAR(VLOOKUP(G6,INKREMENTY!$A$2:$F$21,4,0)),"")</f>
        <v>2025</v>
      </c>
      <c r="I6" s="411">
        <f>IFERROR(VLOOKUP(G6,INKREMENTY!$A$2:$F$21,6,0),"")</f>
        <v>3</v>
      </c>
      <c r="J6" s="674">
        <f>IFERROR(ROUND((SUMIF(KATALOG_POZIADAVKY!$G$3:$G$650,MODULY_CBA!B6,KATALOG_POZIADAVKY!$P$3:$P$650)/8),0),"")</f>
        <v>589</v>
      </c>
      <c r="K6" s="430">
        <v>0.06</v>
      </c>
      <c r="L6" s="430">
        <v>0</v>
      </c>
      <c r="M6" s="430">
        <v>0</v>
      </c>
      <c r="N6" s="507">
        <v>3</v>
      </c>
      <c r="O6" s="672">
        <f t="shared" si="0"/>
        <v>527.10508474576272</v>
      </c>
      <c r="P6" s="507" t="s">
        <v>2487</v>
      </c>
      <c r="Q6" s="507" t="s">
        <v>2489</v>
      </c>
    </row>
    <row r="7" spans="1:17">
      <c r="A7" s="415" t="s">
        <v>276</v>
      </c>
      <c r="B7" s="414" t="s">
        <v>788</v>
      </c>
      <c r="C7" s="412">
        <f>IF(ISBLANK(B7),"",TCF_v02!$B$2)</f>
        <v>0.99</v>
      </c>
      <c r="D7" s="412">
        <f>IF(ISBLANK(B7),"",ECF_v02!$B$2)</f>
        <v>0.99499999999999988</v>
      </c>
      <c r="E7" s="412">
        <f>IFERROR(VLOOKUP(B7,UAW_v02!A10:B30,2,0),"")</f>
        <v>30</v>
      </c>
      <c r="F7" s="413">
        <v>20</v>
      </c>
      <c r="G7" s="413" t="s">
        <v>296</v>
      </c>
      <c r="H7" s="412">
        <f>IFERROR(YEAR(VLOOKUP(G7,INKREMENTY!$A$2:$F$21,4,0)),"")</f>
        <v>2025</v>
      </c>
      <c r="I7" s="411">
        <f>IFERROR(VLOOKUP(G7,INKREMENTY!$A$2:$F$21,6,0),"")</f>
        <v>3</v>
      </c>
      <c r="J7" s="674">
        <f>IFERROR(ROUND((SUMIF(KATALOG_POZIADAVKY!$G$3:$G$650,MODULY_CBA!B7,KATALOG_POZIADAVKY!$P$3:$P$650)/8),0),"")</f>
        <v>1768</v>
      </c>
      <c r="K7" s="430">
        <v>0.06</v>
      </c>
      <c r="L7" s="430">
        <v>0</v>
      </c>
      <c r="M7" s="430">
        <v>0</v>
      </c>
      <c r="N7" s="507">
        <v>3</v>
      </c>
      <c r="O7" s="672">
        <f t="shared" si="0"/>
        <v>1582.2101694915254</v>
      </c>
      <c r="P7" s="507" t="s">
        <v>2487</v>
      </c>
      <c r="Q7" s="507" t="s">
        <v>2489</v>
      </c>
    </row>
    <row r="8" spans="1:17">
      <c r="A8" s="415" t="s">
        <v>277</v>
      </c>
      <c r="B8" s="414" t="s">
        <v>789</v>
      </c>
      <c r="C8" s="412">
        <f>IF(ISBLANK(B8),"",TCF_v02!$B$2)</f>
        <v>0.99</v>
      </c>
      <c r="D8" s="412">
        <f>IF(ISBLANK(B8),"",ECF_v02!$B$2)</f>
        <v>0.99499999999999988</v>
      </c>
      <c r="E8" s="412">
        <f>IFERROR(VLOOKUP(B8,UAW_v02!A11:B31,2,0),"")</f>
        <v>18</v>
      </c>
      <c r="F8" s="413">
        <v>25</v>
      </c>
      <c r="G8" s="413" t="s">
        <v>296</v>
      </c>
      <c r="H8" s="412">
        <f>IFERROR(YEAR(VLOOKUP(G8,INKREMENTY!$A$2:$F$21,4,0)),"")</f>
        <v>2025</v>
      </c>
      <c r="I8" s="411">
        <f>IFERROR(VLOOKUP(G8,INKREMENTY!$A$2:$F$21,6,0),"")</f>
        <v>3</v>
      </c>
      <c r="J8" s="674">
        <f>IFERROR(ROUND((SUMIF(KATALOG_POZIADAVKY!$G$3:$G$650,MODULY_CBA!B8,KATALOG_POZIADAVKY!$P$3:$P$650)/8),0),"")</f>
        <v>496</v>
      </c>
      <c r="K8" s="430">
        <v>0.06</v>
      </c>
      <c r="L8" s="430">
        <v>0</v>
      </c>
      <c r="M8" s="430">
        <v>0</v>
      </c>
      <c r="N8" s="507">
        <v>3</v>
      </c>
      <c r="O8" s="672">
        <f t="shared" si="0"/>
        <v>443.87796610169494</v>
      </c>
      <c r="P8" s="507" t="s">
        <v>2493</v>
      </c>
      <c r="Q8" s="507" t="s">
        <v>2489</v>
      </c>
    </row>
    <row r="9" spans="1:17">
      <c r="A9" s="415" t="s">
        <v>278</v>
      </c>
      <c r="B9" s="414" t="s">
        <v>790</v>
      </c>
      <c r="C9" s="412">
        <f>IF(ISBLANK(B9),"",TCF_v02!$B$2)</f>
        <v>0.99</v>
      </c>
      <c r="D9" s="412">
        <f>IF(ISBLANK(B9),"",ECF_v02!$B$2)</f>
        <v>0.99499999999999988</v>
      </c>
      <c r="E9" s="412">
        <f>IFERROR(VLOOKUP(B9,UAW_v02!A12:B32,2,0),"")</f>
        <v>24</v>
      </c>
      <c r="F9" s="413">
        <v>15</v>
      </c>
      <c r="G9" s="413" t="s">
        <v>297</v>
      </c>
      <c r="H9" s="412">
        <f>IFERROR(YEAR(VLOOKUP(G9,INKREMENTY!$A$2:$F$21,4,0)),"")</f>
        <v>2026</v>
      </c>
      <c r="I9" s="411">
        <f>IFERROR(VLOOKUP(G9,INKREMENTY!$A$2:$F$21,6,0),"")</f>
        <v>3</v>
      </c>
      <c r="J9" s="674">
        <f>IFERROR(ROUND((SUMIF(KATALOG_POZIADAVKY!$G$3:$G$650,MODULY_CBA!B9,KATALOG_POZIADAVKY!$P$3:$P$650)/8),0),"")</f>
        <v>164</v>
      </c>
      <c r="K9" s="430">
        <v>0.06</v>
      </c>
      <c r="L9" s="430">
        <v>0</v>
      </c>
      <c r="M9" s="430">
        <v>0</v>
      </c>
      <c r="N9" s="507">
        <v>4</v>
      </c>
      <c r="O9" s="672">
        <f t="shared" ref="O9:O21" si="1">IFERROR($O$1*J9/$J$1,"")</f>
        <v>146.76610169491525</v>
      </c>
      <c r="P9" s="507" t="s">
        <v>2493</v>
      </c>
      <c r="Q9" s="507" t="s">
        <v>2489</v>
      </c>
    </row>
    <row r="10" spans="1:17">
      <c r="A10" s="415" t="s">
        <v>279</v>
      </c>
      <c r="B10" s="414" t="s">
        <v>791</v>
      </c>
      <c r="C10" s="412">
        <f>IF(ISBLANK(B10),"",TCF_v02!$B$2)</f>
        <v>0.99</v>
      </c>
      <c r="D10" s="412">
        <f>IF(ISBLANK(B10),"",ECF_v02!$B$2)</f>
        <v>0.99499999999999988</v>
      </c>
      <c r="E10" s="412">
        <f>IFERROR(VLOOKUP(B10,UAW_v02!A13:B33,2,0),"")</f>
        <v>12</v>
      </c>
      <c r="F10" s="413">
        <v>20</v>
      </c>
      <c r="G10" s="413" t="s">
        <v>297</v>
      </c>
      <c r="H10" s="412">
        <f>IFERROR(YEAR(VLOOKUP(G10,INKREMENTY!$A$2:$F$21,4,0)),"")</f>
        <v>2026</v>
      </c>
      <c r="I10" s="411">
        <f>IFERROR(VLOOKUP(G10,INKREMENTY!$A$2:$F$21,6,0),"")</f>
        <v>3</v>
      </c>
      <c r="J10" s="674">
        <f>IFERROR(ROUND((SUMIF(KATALOG_POZIADAVKY!$G$3:$G$650,MODULY_CBA!B10,KATALOG_POZIADAVKY!$P$3:$P$650)/8),0),"")</f>
        <v>140</v>
      </c>
      <c r="K10" s="430">
        <v>0.06</v>
      </c>
      <c r="L10" s="430">
        <v>0</v>
      </c>
      <c r="M10" s="430">
        <v>0</v>
      </c>
      <c r="N10" s="507">
        <v>4</v>
      </c>
      <c r="O10" s="672">
        <f t="shared" si="1"/>
        <v>125.28813559322033</v>
      </c>
      <c r="P10" s="507" t="s">
        <v>2493</v>
      </c>
      <c r="Q10" s="507" t="s">
        <v>2489</v>
      </c>
    </row>
    <row r="11" spans="1:17">
      <c r="A11" s="415" t="s">
        <v>280</v>
      </c>
      <c r="B11" s="414" t="s">
        <v>792</v>
      </c>
      <c r="C11" s="412">
        <f>IF(ISBLANK(B11),"",TCF_v02!$B$2)</f>
        <v>0.99</v>
      </c>
      <c r="D11" s="412">
        <f>IF(ISBLANK(B11),"",ECF_v02!$B$2)</f>
        <v>0.99499999999999988</v>
      </c>
      <c r="E11" s="412">
        <f>IFERROR(VLOOKUP(B11,UAW_v02!A14:B34,2,0),"")</f>
        <v>18</v>
      </c>
      <c r="F11" s="413">
        <v>25</v>
      </c>
      <c r="G11" s="413" t="s">
        <v>297</v>
      </c>
      <c r="H11" s="412">
        <f>IFERROR(YEAR(VLOOKUP(G11,INKREMENTY!$A$2:$F$21,4,0)),"")</f>
        <v>2026</v>
      </c>
      <c r="I11" s="411">
        <f>IFERROR(VLOOKUP(G11,INKREMENTY!$A$2:$F$21,6,0),"")</f>
        <v>3</v>
      </c>
      <c r="J11" s="674">
        <f>IFERROR(ROUND((SUMIF(KATALOG_POZIADAVKY!$G$3:$G$650,MODULY_CBA!B11,KATALOG_POZIADAVKY!$P$3:$P$650)/8),0),"")</f>
        <v>409</v>
      </c>
      <c r="K11" s="430">
        <v>0.06</v>
      </c>
      <c r="L11" s="430">
        <v>0</v>
      </c>
      <c r="M11" s="430">
        <v>0</v>
      </c>
      <c r="N11" s="507">
        <v>3</v>
      </c>
      <c r="O11" s="672">
        <f t="shared" si="1"/>
        <v>366.02033898305086</v>
      </c>
      <c r="P11" s="507" t="s">
        <v>2493</v>
      </c>
      <c r="Q11" s="507" t="s">
        <v>2489</v>
      </c>
    </row>
    <row r="12" spans="1:17">
      <c r="A12" s="415" t="s">
        <v>281</v>
      </c>
      <c r="B12" s="414" t="s">
        <v>793</v>
      </c>
      <c r="C12" s="412">
        <f>IF(ISBLANK(B12),"",TCF_v02!$B$2)</f>
        <v>0.99</v>
      </c>
      <c r="D12" s="412">
        <f>IF(ISBLANK(B12),"",ECF_v02!$B$2)</f>
        <v>0.99499999999999988</v>
      </c>
      <c r="E12" s="412">
        <f>IFERROR(VLOOKUP(B12,UAW_v02!A15:B35,2,0),"")</f>
        <v>24</v>
      </c>
      <c r="F12" s="413">
        <v>20</v>
      </c>
      <c r="G12" s="413" t="s">
        <v>296</v>
      </c>
      <c r="H12" s="412">
        <f>IFERROR(YEAR(VLOOKUP(G12,INKREMENTY!$A$2:$F$21,4,0)),"")</f>
        <v>2025</v>
      </c>
      <c r="I12" s="411">
        <f>IFERROR(VLOOKUP(G12,INKREMENTY!$A$2:$F$21,6,0),"")</f>
        <v>3</v>
      </c>
      <c r="J12" s="674">
        <f>IFERROR(ROUND((SUMIF(KATALOG_POZIADAVKY!$G$3:$G$650,MODULY_CBA!B12,KATALOG_POZIADAVKY!$P$3:$P$650)/8),0),"")</f>
        <v>487</v>
      </c>
      <c r="K12" s="430">
        <v>0.06</v>
      </c>
      <c r="L12" s="430">
        <v>0</v>
      </c>
      <c r="M12" s="430">
        <v>0</v>
      </c>
      <c r="N12" s="507">
        <v>3</v>
      </c>
      <c r="O12" s="672">
        <f t="shared" si="1"/>
        <v>435.82372881355934</v>
      </c>
      <c r="P12" s="507" t="s">
        <v>2494</v>
      </c>
      <c r="Q12" s="507" t="s">
        <v>2488</v>
      </c>
    </row>
    <row r="13" spans="1:17">
      <c r="A13" s="415" t="s">
        <v>282</v>
      </c>
      <c r="B13" s="414" t="s">
        <v>794</v>
      </c>
      <c r="C13" s="412">
        <f>IF(ISBLANK(B13),"",TCF_v02!$B$2)</f>
        <v>0.99</v>
      </c>
      <c r="D13" s="412">
        <f>IF(ISBLANK(B13),"",ECF_v02!$B$2)</f>
        <v>0.99499999999999988</v>
      </c>
      <c r="E13" s="412">
        <f>IFERROR(VLOOKUP(B13,UAW_v02!A16:B36,2,0),"")</f>
        <v>12</v>
      </c>
      <c r="F13" s="413">
        <v>20</v>
      </c>
      <c r="G13" s="413" t="s">
        <v>297</v>
      </c>
      <c r="H13" s="412">
        <f>IFERROR(YEAR(VLOOKUP(G13,INKREMENTY!$A$2:$F$21,4,0)),"")</f>
        <v>2026</v>
      </c>
      <c r="I13" s="411">
        <f>IFERROR(VLOOKUP(G13,INKREMENTY!$A$2:$F$21,6,0),"")</f>
        <v>3</v>
      </c>
      <c r="J13" s="674">
        <f>IFERROR(ROUND((SUMIF(KATALOG_POZIADAVKY!$G$3:$G$650,MODULY_CBA!B13,KATALOG_POZIADAVKY!$P$3:$P$650)/8),0),"")</f>
        <v>111</v>
      </c>
      <c r="K13" s="430">
        <v>0.06</v>
      </c>
      <c r="L13" s="430">
        <v>0</v>
      </c>
      <c r="M13" s="430">
        <v>0</v>
      </c>
      <c r="N13" s="507">
        <v>3</v>
      </c>
      <c r="O13" s="672">
        <f t="shared" si="1"/>
        <v>99.335593220338978</v>
      </c>
      <c r="P13" s="507" t="s">
        <v>2494</v>
      </c>
      <c r="Q13" s="507" t="s">
        <v>2488</v>
      </c>
    </row>
    <row r="14" spans="1:17">
      <c r="A14" s="415" t="s">
        <v>283</v>
      </c>
      <c r="B14" s="414" t="s">
        <v>795</v>
      </c>
      <c r="C14" s="412">
        <f>IF(ISBLANK(B14),"",TCF_v02!$B$2)</f>
        <v>0.99</v>
      </c>
      <c r="D14" s="412">
        <f>IF(ISBLANK(B14),"",ECF_v02!$B$2)</f>
        <v>0.99499999999999988</v>
      </c>
      <c r="E14" s="412">
        <f>IFERROR(VLOOKUP(B14,UAW_v02!A17:B37,2,0),"")</f>
        <v>18</v>
      </c>
      <c r="F14" s="413">
        <v>20</v>
      </c>
      <c r="G14" s="413" t="s">
        <v>297</v>
      </c>
      <c r="H14" s="412">
        <f>IFERROR(YEAR(VLOOKUP(G14,INKREMENTY!$A$2:$F$21,4,0)),"")</f>
        <v>2026</v>
      </c>
      <c r="I14" s="411">
        <f>IFERROR(VLOOKUP(G14,INKREMENTY!$A$2:$F$21,6,0),"")</f>
        <v>3</v>
      </c>
      <c r="J14" s="674">
        <f>IFERROR(ROUND((SUMIF(KATALOG_POZIADAVKY!$G$3:$G$650,MODULY_CBA!B14,KATALOG_POZIADAVKY!$P$3:$P$650)/8),0),"")</f>
        <v>25</v>
      </c>
      <c r="K14" s="430">
        <v>0.06</v>
      </c>
      <c r="L14" s="430">
        <v>0</v>
      </c>
      <c r="M14" s="430">
        <v>0</v>
      </c>
      <c r="N14" s="507">
        <v>3</v>
      </c>
      <c r="O14" s="672">
        <f t="shared" si="1"/>
        <v>22.372881355932204</v>
      </c>
      <c r="P14" s="507" t="s">
        <v>2495</v>
      </c>
      <c r="Q14" s="507" t="s">
        <v>2489</v>
      </c>
    </row>
    <row r="15" spans="1:17">
      <c r="A15" s="415" t="s">
        <v>284</v>
      </c>
      <c r="B15" s="414" t="s">
        <v>796</v>
      </c>
      <c r="C15" s="412">
        <f>IF(ISBLANK(B15),"",TCF_v02!$B$2)</f>
        <v>0.99</v>
      </c>
      <c r="D15" s="412">
        <f>IF(ISBLANK(B15),"",ECF_v02!$B$2)</f>
        <v>0.99499999999999988</v>
      </c>
      <c r="E15" s="412">
        <f>IFERROR(VLOOKUP(B15,UAW_v02!A18:B38,2,0),"")</f>
        <v>18</v>
      </c>
      <c r="F15" s="413">
        <v>20</v>
      </c>
      <c r="G15" s="413" t="s">
        <v>296</v>
      </c>
      <c r="H15" s="412">
        <f>IFERROR(YEAR(VLOOKUP(G15,INKREMENTY!$A$2:$F$21,4,0)),"")</f>
        <v>2025</v>
      </c>
      <c r="I15" s="411">
        <f>IFERROR(VLOOKUP(G15,INKREMENTY!$A$2:$F$21,6,0),"")</f>
        <v>3</v>
      </c>
      <c r="J15" s="674">
        <f>IFERROR(ROUND((SUMIF(KATALOG_POZIADAVKY!$G$3:$G$650,MODULY_CBA!B15,KATALOG_POZIADAVKY!$P$3:$P$650)/8),0),"")</f>
        <v>197</v>
      </c>
      <c r="K15" s="430">
        <v>0.06</v>
      </c>
      <c r="L15" s="430">
        <v>0</v>
      </c>
      <c r="M15" s="430">
        <v>0</v>
      </c>
      <c r="N15" s="507">
        <v>3</v>
      </c>
      <c r="O15" s="672">
        <f t="shared" si="1"/>
        <v>176.29830508474575</v>
      </c>
      <c r="P15" s="507" t="s">
        <v>2487</v>
      </c>
      <c r="Q15" s="507" t="s">
        <v>2489</v>
      </c>
    </row>
    <row r="16" spans="1:17">
      <c r="A16" s="415" t="s">
        <v>285</v>
      </c>
      <c r="B16" s="414" t="s">
        <v>797</v>
      </c>
      <c r="C16" s="412">
        <f>IF(ISBLANK(B16),"",TCF_v02!$B$2)</f>
        <v>0.99</v>
      </c>
      <c r="D16" s="412">
        <f>IF(ISBLANK(B16),"",ECF_v02!$B$2)</f>
        <v>0.99499999999999988</v>
      </c>
      <c r="E16" s="412">
        <f>IFERROR(VLOOKUP(B16,UAW_v02!A19:B39,2,0),"")</f>
        <v>12</v>
      </c>
      <c r="F16" s="413">
        <v>20</v>
      </c>
      <c r="G16" s="413" t="s">
        <v>296</v>
      </c>
      <c r="H16" s="412">
        <f>IFERROR(YEAR(VLOOKUP(G16,INKREMENTY!$A$2:$F$21,4,0)),"")</f>
        <v>2025</v>
      </c>
      <c r="I16" s="411">
        <f>IFERROR(VLOOKUP(G16,INKREMENTY!$A$2:$F$21,6,0),"")</f>
        <v>3</v>
      </c>
      <c r="J16" s="674">
        <f>IFERROR(ROUND((SUMIF(KATALOG_POZIADAVKY!$G$3:$G$650,MODULY_CBA!B16,KATALOG_POZIADAVKY!$P$3:$P$650)/8),0),"")</f>
        <v>135</v>
      </c>
      <c r="K16" s="430">
        <v>0.06</v>
      </c>
      <c r="L16" s="430">
        <v>0</v>
      </c>
      <c r="M16" s="430">
        <v>0</v>
      </c>
      <c r="N16" s="507">
        <v>3</v>
      </c>
      <c r="O16" s="672">
        <f t="shared" si="1"/>
        <v>120.8135593220339</v>
      </c>
      <c r="P16" s="507" t="s">
        <v>2487</v>
      </c>
      <c r="Q16" s="507" t="s">
        <v>2489</v>
      </c>
    </row>
    <row r="17" spans="1:17">
      <c r="A17" s="415" t="s">
        <v>286</v>
      </c>
      <c r="B17" s="414" t="s">
        <v>798</v>
      </c>
      <c r="C17" s="412">
        <f>IF(ISBLANK(B17),"",TCF_v02!$B$2)</f>
        <v>0.99</v>
      </c>
      <c r="D17" s="412">
        <f>IF(ISBLANK(B17),"",ECF_v02!$B$2)</f>
        <v>0.99499999999999988</v>
      </c>
      <c r="E17" s="412">
        <f>IFERROR(VLOOKUP(B17,UAW_v02!A20:B40,2,0),"")</f>
        <v>6</v>
      </c>
      <c r="F17" s="413">
        <v>20</v>
      </c>
      <c r="G17" s="413" t="s">
        <v>296</v>
      </c>
      <c r="H17" s="412">
        <f>IFERROR(YEAR(VLOOKUP(G17,INKREMENTY!$A$2:$F$21,4,0)),"")</f>
        <v>2025</v>
      </c>
      <c r="I17" s="411">
        <f>IFERROR(VLOOKUP(G17,INKREMENTY!$A$2:$F$21,6,0),"")</f>
        <v>3</v>
      </c>
      <c r="J17" s="674">
        <f>IFERROR(ROUND((SUMIF(KATALOG_POZIADAVKY!$G$3:$G$650,MODULY_CBA!B17,KATALOG_POZIADAVKY!$P$3:$P$650)/8),0),"")</f>
        <v>404</v>
      </c>
      <c r="K17" s="430">
        <v>0.06</v>
      </c>
      <c r="L17" s="430">
        <v>0</v>
      </c>
      <c r="M17" s="430">
        <v>0</v>
      </c>
      <c r="N17" s="507">
        <v>3</v>
      </c>
      <c r="O17" s="672">
        <f t="shared" si="1"/>
        <v>361.54576271186443</v>
      </c>
      <c r="P17" s="507" t="s">
        <v>2487</v>
      </c>
      <c r="Q17" s="507" t="s">
        <v>2489</v>
      </c>
    </row>
    <row r="18" spans="1:17">
      <c r="A18" s="415" t="s">
        <v>287</v>
      </c>
      <c r="B18" s="414" t="s">
        <v>799</v>
      </c>
      <c r="C18" s="412">
        <f>IF(ISBLANK(B18),"",TCF_v02!$B$2)</f>
        <v>0.99</v>
      </c>
      <c r="D18" s="412">
        <f>IF(ISBLANK(B18),"",ECF_v02!$B$2)</f>
        <v>0.99499999999999988</v>
      </c>
      <c r="E18" s="412">
        <f>IFERROR(VLOOKUP(B18,UAW_v02!A21:B41,2,0),"")</f>
        <v>6</v>
      </c>
      <c r="F18" s="413">
        <v>20</v>
      </c>
      <c r="G18" s="413" t="s">
        <v>296</v>
      </c>
      <c r="H18" s="412">
        <f>IFERROR(YEAR(VLOOKUP(G18,INKREMENTY!$A$2:$F$21,4,0)),"")</f>
        <v>2025</v>
      </c>
      <c r="I18" s="411">
        <f>IFERROR(VLOOKUP(G18,INKREMENTY!$A$2:$F$21,6,0),"")</f>
        <v>3</v>
      </c>
      <c r="J18" s="674">
        <f>IFERROR(ROUND((SUMIF(KATALOG_POZIADAVKY!$G$3:$G$650,MODULY_CBA!B18,KATALOG_POZIADAVKY!$P$3:$P$650)/8),0),"")</f>
        <v>315</v>
      </c>
      <c r="K18" s="430">
        <v>0.06</v>
      </c>
      <c r="L18" s="430">
        <v>0</v>
      </c>
      <c r="M18" s="430">
        <v>0</v>
      </c>
      <c r="N18" s="507">
        <v>3</v>
      </c>
      <c r="O18" s="672">
        <f t="shared" si="1"/>
        <v>281.89830508474574</v>
      </c>
      <c r="P18" s="507" t="s">
        <v>2487</v>
      </c>
      <c r="Q18" s="507" t="s">
        <v>2489</v>
      </c>
    </row>
    <row r="19" spans="1:17">
      <c r="A19" s="415" t="s">
        <v>288</v>
      </c>
      <c r="B19" s="414" t="s">
        <v>800</v>
      </c>
      <c r="C19" s="412">
        <f>IF(ISBLANK(B19),"",TCF_v02!$B$2)</f>
        <v>0.99</v>
      </c>
      <c r="D19" s="412">
        <f>IF(ISBLANK(B19),"",ECF_v02!$B$2)</f>
        <v>0.99499999999999988</v>
      </c>
      <c r="E19" s="412">
        <f>IFERROR(VLOOKUP(B19,UAW_v02!A22:B42,2,0),"")</f>
        <v>6</v>
      </c>
      <c r="F19" s="413">
        <v>15</v>
      </c>
      <c r="G19" s="413" t="s">
        <v>296</v>
      </c>
      <c r="H19" s="412">
        <f>IFERROR(YEAR(VLOOKUP(G19,INKREMENTY!$A$2:$F$21,4,0)),"")</f>
        <v>2025</v>
      </c>
      <c r="I19" s="411">
        <f>IFERROR(VLOOKUP(G19,INKREMENTY!$A$2:$F$21,6,0),"")</f>
        <v>3</v>
      </c>
      <c r="J19" s="674">
        <f>IFERROR(ROUND((SUMIF(KATALOG_POZIADAVKY!$G$3:$G$650,MODULY_CBA!B19,KATALOG_POZIADAVKY!$P$3:$P$650)/8),0),"")</f>
        <v>272</v>
      </c>
      <c r="K19" s="430">
        <v>0.06</v>
      </c>
      <c r="L19" s="430">
        <v>0</v>
      </c>
      <c r="M19" s="430">
        <v>0</v>
      </c>
      <c r="N19" s="507">
        <v>3</v>
      </c>
      <c r="O19" s="672">
        <f t="shared" si="1"/>
        <v>243.41694915254237</v>
      </c>
      <c r="P19" s="507" t="s">
        <v>2487</v>
      </c>
      <c r="Q19" s="507" t="s">
        <v>2489</v>
      </c>
    </row>
    <row r="20" spans="1:17">
      <c r="A20" s="415" t="s">
        <v>289</v>
      </c>
      <c r="B20" s="414" t="s">
        <v>801</v>
      </c>
      <c r="C20" s="412">
        <f>IF(ISBLANK(B20),"",TCF_v02!$B$2)</f>
        <v>0.99</v>
      </c>
      <c r="D20" s="412">
        <f>IF(ISBLANK(B20),"",ECF_v02!$B$2)</f>
        <v>0.99499999999999988</v>
      </c>
      <c r="E20" s="412">
        <f>IFERROR(VLOOKUP(B20,UAW_v02!A23:B43,2,0),"")</f>
        <v>12</v>
      </c>
      <c r="F20" s="413">
        <v>15</v>
      </c>
      <c r="G20" s="413" t="s">
        <v>296</v>
      </c>
      <c r="H20" s="412">
        <f>IFERROR(YEAR(VLOOKUP(G20,INKREMENTY!$A$2:$F$21,4,0)),"")</f>
        <v>2025</v>
      </c>
      <c r="I20" s="411">
        <f>IFERROR(VLOOKUP(G20,INKREMENTY!$A$2:$F$21,6,0),"")</f>
        <v>3</v>
      </c>
      <c r="J20" s="674">
        <f>IFERROR(ROUND((SUMIF(KATALOG_POZIADAVKY!$G$3:$G$650,MODULY_CBA!B20,KATALOG_POZIADAVKY!$P$3:$P$650)/8),0),"")</f>
        <v>600</v>
      </c>
      <c r="K20" s="430">
        <v>0.06</v>
      </c>
      <c r="L20" s="430">
        <v>0</v>
      </c>
      <c r="M20" s="430">
        <v>0</v>
      </c>
      <c r="N20" s="507">
        <v>3</v>
      </c>
      <c r="O20" s="672">
        <f t="shared" si="1"/>
        <v>536.94915254237287</v>
      </c>
      <c r="P20" s="507" t="s">
        <v>2487</v>
      </c>
      <c r="Q20" s="507" t="s">
        <v>2489</v>
      </c>
    </row>
    <row r="21" spans="1:17">
      <c r="A21" s="415" t="s">
        <v>290</v>
      </c>
      <c r="B21" s="414" t="s">
        <v>802</v>
      </c>
      <c r="C21" s="412">
        <f>IF(ISBLANK(B21),"",TCF_v02!$B$2)</f>
        <v>0.99</v>
      </c>
      <c r="D21" s="412">
        <f>IF(ISBLANK(B21),"",ECF_v02!$B$2)</f>
        <v>0.99499999999999988</v>
      </c>
      <c r="E21" s="412">
        <f>IFERROR(VLOOKUP(B21,UAW_v02!A24:B44,2,0),"")</f>
        <v>6</v>
      </c>
      <c r="F21" s="413">
        <v>20</v>
      </c>
      <c r="G21" s="413" t="s">
        <v>296</v>
      </c>
      <c r="H21" s="412">
        <f>IFERROR(YEAR(VLOOKUP(G21,INKREMENTY!$A$2:$F$21,4,0)),"")</f>
        <v>2025</v>
      </c>
      <c r="I21" s="411">
        <f>IFERROR(VLOOKUP(G21,INKREMENTY!$A$2:$F$21,6,0),"")</f>
        <v>3</v>
      </c>
      <c r="J21" s="674">
        <f>IFERROR(ROUND((SUMIF(KATALOG_POZIADAVKY!$G$3:$G$650,MODULY_CBA!B21,KATALOG_POZIADAVKY!$P$3:$P$650)/8),0),"")</f>
        <v>904</v>
      </c>
      <c r="K21" s="430">
        <v>0.06</v>
      </c>
      <c r="L21" s="430">
        <v>0</v>
      </c>
      <c r="M21" s="430">
        <v>0</v>
      </c>
      <c r="N21" s="507">
        <v>3</v>
      </c>
      <c r="O21" s="672">
        <f t="shared" si="1"/>
        <v>809.00338983050847</v>
      </c>
      <c r="P21" s="507" t="s">
        <v>2487</v>
      </c>
      <c r="Q21" s="507" t="s">
        <v>2489</v>
      </c>
    </row>
    <row r="22" spans="1:17">
      <c r="A22" s="415" t="s">
        <v>291</v>
      </c>
      <c r="B22" s="414"/>
      <c r="C22" s="412"/>
      <c r="D22" s="412"/>
      <c r="E22" s="412"/>
      <c r="F22" s="413"/>
      <c r="G22" s="413"/>
      <c r="H22" s="412"/>
      <c r="I22" s="411"/>
      <c r="J22" s="640"/>
      <c r="K22" s="430"/>
      <c r="L22" s="430"/>
      <c r="M22" s="430"/>
      <c r="N22" s="507"/>
      <c r="O22" s="507"/>
      <c r="P22" s="507"/>
      <c r="Q22" s="507"/>
    </row>
    <row r="23" spans="1:17">
      <c r="A23" s="415" t="s">
        <v>292</v>
      </c>
      <c r="B23" s="414"/>
      <c r="C23" s="412"/>
      <c r="D23" s="412"/>
      <c r="E23" s="412"/>
      <c r="F23" s="413"/>
      <c r="G23" s="413"/>
      <c r="H23" s="412"/>
      <c r="I23" s="411"/>
      <c r="J23" s="640"/>
      <c r="K23" s="430"/>
      <c r="L23" s="430"/>
      <c r="M23" s="430"/>
      <c r="N23" s="507"/>
      <c r="O23" s="507"/>
      <c r="P23" s="507"/>
      <c r="Q23" s="507"/>
    </row>
  </sheetData>
  <conditionalFormatting sqref="K3:K23">
    <cfRule type="cellIs" dxfId="21" priority="1" operator="greaterThan">
      <formula>0.1</formula>
    </cfRule>
  </conditionalFormatting>
  <dataValidations count="2">
    <dataValidation type="list" allowBlank="1" showInputMessage="1" showErrorMessage="1" sqref="G3:G23">
      <formula1>Inkrement</formula1>
    </dataValidation>
    <dataValidation type="list" allowBlank="1" showInputMessage="1" showErrorMessage="1" sqref="F3:F23">
      <formula1>"15,20,25,30"</formula1>
    </dataValidation>
  </dataValidations>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G22"/>
  <sheetViews>
    <sheetView workbookViewId="0">
      <pane xSplit="1" ySplit="1" topLeftCell="B16" activePane="bottomRight" state="frozen"/>
      <selection pane="topRight" activeCell="B1" sqref="B1"/>
      <selection pane="bottomLeft" activeCell="A2" sqref="A2"/>
      <selection pane="bottomRight" activeCell="F22" sqref="F22"/>
    </sheetView>
  </sheetViews>
  <sheetFormatPr defaultColWidth="8.85546875" defaultRowHeight="12.75"/>
  <cols>
    <col min="1" max="1" width="8.85546875" style="616"/>
    <col min="2" max="7" width="33.42578125" style="616" customWidth="1"/>
    <col min="8" max="16384" width="8.85546875" style="616"/>
  </cols>
  <sheetData>
    <row r="1" spans="1:7">
      <c r="A1" s="616" t="s">
        <v>2</v>
      </c>
      <c r="B1" s="616">
        <v>0</v>
      </c>
      <c r="C1" s="616">
        <v>1</v>
      </c>
      <c r="D1" s="616">
        <v>2</v>
      </c>
      <c r="E1" s="616">
        <v>3</v>
      </c>
      <c r="F1" s="616">
        <v>4</v>
      </c>
      <c r="G1" s="616">
        <v>5</v>
      </c>
    </row>
    <row r="2" spans="1:7" ht="63.75">
      <c r="A2" s="616" t="s">
        <v>367</v>
      </c>
      <c r="B2" s="616" t="s">
        <v>546</v>
      </c>
      <c r="C2" s="616" t="s">
        <v>547</v>
      </c>
      <c r="D2" s="616" t="s">
        <v>548</v>
      </c>
      <c r="E2" s="616" t="s">
        <v>549</v>
      </c>
      <c r="F2" s="616" t="s">
        <v>550</v>
      </c>
      <c r="G2" s="616" t="s">
        <v>545</v>
      </c>
    </row>
    <row r="3" spans="1:7" ht="178.5">
      <c r="A3" s="616" t="s">
        <v>366</v>
      </c>
      <c r="B3" s="616" t="s">
        <v>551</v>
      </c>
      <c r="C3" s="616" t="s">
        <v>552</v>
      </c>
      <c r="D3" s="616" t="s">
        <v>553</v>
      </c>
      <c r="E3" s="616" t="s">
        <v>554</v>
      </c>
      <c r="F3" s="616" t="s">
        <v>556</v>
      </c>
      <c r="G3" s="616" t="s">
        <v>557</v>
      </c>
    </row>
    <row r="4" spans="1:7" ht="293.25">
      <c r="A4" s="616" t="s">
        <v>365</v>
      </c>
      <c r="B4" s="616" t="s">
        <v>559</v>
      </c>
      <c r="C4" s="616" t="s">
        <v>560</v>
      </c>
      <c r="D4" s="616" t="s">
        <v>561</v>
      </c>
      <c r="E4" s="616" t="s">
        <v>562</v>
      </c>
      <c r="F4" s="616" t="s">
        <v>563</v>
      </c>
      <c r="G4" s="616" t="s">
        <v>564</v>
      </c>
    </row>
    <row r="5" spans="1:7" ht="242.25">
      <c r="A5" s="616" t="s">
        <v>364</v>
      </c>
      <c r="B5" s="616" t="s">
        <v>565</v>
      </c>
      <c r="C5" s="616" t="s">
        <v>566</v>
      </c>
      <c r="D5" s="616" t="s">
        <v>567</v>
      </c>
      <c r="E5" s="616" t="s">
        <v>568</v>
      </c>
      <c r="F5" s="616" t="s">
        <v>569</v>
      </c>
      <c r="G5" s="616" t="s">
        <v>570</v>
      </c>
    </row>
    <row r="6" spans="1:7" ht="63.75">
      <c r="A6" s="616" t="s">
        <v>363</v>
      </c>
      <c r="B6" s="616" t="s">
        <v>572</v>
      </c>
      <c r="C6" s="616" t="s">
        <v>573</v>
      </c>
      <c r="D6" s="616" t="s">
        <v>574</v>
      </c>
      <c r="E6" s="616" t="s">
        <v>575</v>
      </c>
      <c r="F6" s="616" t="s">
        <v>576</v>
      </c>
      <c r="G6" s="616" t="s">
        <v>571</v>
      </c>
    </row>
    <row r="7" spans="1:7" ht="102">
      <c r="A7" s="616" t="s">
        <v>362</v>
      </c>
      <c r="B7" s="616" t="s">
        <v>577</v>
      </c>
      <c r="C7" s="616" t="s">
        <v>578</v>
      </c>
      <c r="D7" s="616" t="s">
        <v>579</v>
      </c>
      <c r="E7" s="616" t="s">
        <v>580</v>
      </c>
      <c r="F7" s="616" t="s">
        <v>581</v>
      </c>
      <c r="G7" s="616" t="s">
        <v>582</v>
      </c>
    </row>
    <row r="8" spans="1:7" ht="191.25">
      <c r="A8" s="616" t="s">
        <v>361</v>
      </c>
      <c r="B8" s="616" t="s">
        <v>583</v>
      </c>
      <c r="C8" s="616" t="s">
        <v>585</v>
      </c>
      <c r="D8" s="616" t="s">
        <v>586</v>
      </c>
      <c r="E8" s="616" t="s">
        <v>587</v>
      </c>
      <c r="F8" s="616" t="s">
        <v>588</v>
      </c>
      <c r="G8" s="616" t="s">
        <v>584</v>
      </c>
    </row>
    <row r="9" spans="1:7" ht="242.25">
      <c r="A9" s="616" t="s">
        <v>360</v>
      </c>
      <c r="B9" s="616" t="s">
        <v>589</v>
      </c>
      <c r="C9" s="616" t="s">
        <v>590</v>
      </c>
      <c r="D9" s="616" t="s">
        <v>591</v>
      </c>
      <c r="E9" s="616" t="s">
        <v>592</v>
      </c>
      <c r="F9" s="616" t="s">
        <v>594</v>
      </c>
      <c r="G9" s="616" t="s">
        <v>593</v>
      </c>
    </row>
    <row r="10" spans="1:7" ht="395.25">
      <c r="A10" s="616" t="s">
        <v>359</v>
      </c>
      <c r="B10" s="616" t="s">
        <v>565</v>
      </c>
      <c r="C10" s="616" t="s">
        <v>595</v>
      </c>
      <c r="D10" s="616" t="s">
        <v>596</v>
      </c>
      <c r="E10" s="616" t="s">
        <v>597</v>
      </c>
      <c r="F10" s="616" t="s">
        <v>598</v>
      </c>
      <c r="G10" s="616" t="s">
        <v>599</v>
      </c>
    </row>
    <row r="11" spans="1:7" ht="76.5">
      <c r="A11" s="616" t="s">
        <v>358</v>
      </c>
      <c r="B11" s="616" t="s">
        <v>600</v>
      </c>
      <c r="C11" s="616" t="s">
        <v>601</v>
      </c>
      <c r="D11" s="616" t="s">
        <v>602</v>
      </c>
      <c r="E11" s="616" t="s">
        <v>603</v>
      </c>
      <c r="F11" s="616" t="s">
        <v>604</v>
      </c>
      <c r="G11" s="616" t="s">
        <v>605</v>
      </c>
    </row>
    <row r="12" spans="1:7" ht="153">
      <c r="A12" s="616" t="s">
        <v>357</v>
      </c>
      <c r="B12" s="616" t="s">
        <v>606</v>
      </c>
      <c r="C12" s="616" t="s">
        <v>607</v>
      </c>
      <c r="D12" s="616" t="s">
        <v>608</v>
      </c>
      <c r="E12" s="616" t="s">
        <v>609</v>
      </c>
      <c r="F12" s="616" t="s">
        <v>610</v>
      </c>
      <c r="G12" s="616" t="s">
        <v>611</v>
      </c>
    </row>
    <row r="13" spans="1:7" ht="38.25">
      <c r="A13" s="616" t="s">
        <v>356</v>
      </c>
      <c r="B13" s="616" t="s">
        <v>612</v>
      </c>
      <c r="C13" s="616" t="s">
        <v>613</v>
      </c>
      <c r="D13" s="616" t="s">
        <v>614</v>
      </c>
      <c r="E13" s="616" t="s">
        <v>615</v>
      </c>
      <c r="F13" s="616" t="s">
        <v>616</v>
      </c>
      <c r="G13" s="616" t="s">
        <v>617</v>
      </c>
    </row>
    <row r="14" spans="1:7" ht="51">
      <c r="A14" s="616" t="s">
        <v>355</v>
      </c>
      <c r="B14" s="616" t="s">
        <v>618</v>
      </c>
      <c r="C14" s="616" t="s">
        <v>619</v>
      </c>
      <c r="D14" s="616" t="s">
        <v>620</v>
      </c>
      <c r="E14" s="616" t="s">
        <v>621</v>
      </c>
      <c r="F14" s="616" t="s">
        <v>622</v>
      </c>
      <c r="G14" s="616" t="s">
        <v>623</v>
      </c>
    </row>
    <row r="15" spans="1:7" ht="25.5">
      <c r="A15" s="616" t="s">
        <v>510</v>
      </c>
      <c r="B15" s="616" t="s">
        <v>624</v>
      </c>
      <c r="C15" s="616" t="s">
        <v>625</v>
      </c>
      <c r="D15" s="616" t="s">
        <v>626</v>
      </c>
      <c r="E15" s="616" t="s">
        <v>627</v>
      </c>
      <c r="F15" s="616" t="s">
        <v>628</v>
      </c>
      <c r="G15" s="616" t="s">
        <v>629</v>
      </c>
    </row>
    <row r="16" spans="1:7" ht="38.25">
      <c r="A16" s="616" t="s">
        <v>511</v>
      </c>
      <c r="B16" s="616" t="s">
        <v>630</v>
      </c>
      <c r="C16" s="616" t="s">
        <v>631</v>
      </c>
      <c r="D16" s="616" t="s">
        <v>632</v>
      </c>
      <c r="E16" s="616" t="s">
        <v>633</v>
      </c>
      <c r="F16" s="616" t="s">
        <v>634</v>
      </c>
      <c r="G16" s="616" t="s">
        <v>635</v>
      </c>
    </row>
    <row r="17" spans="1:7" ht="51">
      <c r="A17" s="616" t="s">
        <v>512</v>
      </c>
      <c r="B17" s="616" t="s">
        <v>636</v>
      </c>
      <c r="C17" s="616" t="s">
        <v>637</v>
      </c>
      <c r="D17" s="616" t="s">
        <v>638</v>
      </c>
      <c r="E17" s="616" t="s">
        <v>639</v>
      </c>
      <c r="F17" s="616" t="s">
        <v>640</v>
      </c>
      <c r="G17" s="616" t="s">
        <v>641</v>
      </c>
    </row>
    <row r="18" spans="1:7" ht="38.25">
      <c r="A18" s="616" t="s">
        <v>513</v>
      </c>
      <c r="B18" s="616" t="s">
        <v>642</v>
      </c>
      <c r="C18" s="616" t="s">
        <v>643</v>
      </c>
      <c r="D18" s="616" t="s">
        <v>644</v>
      </c>
      <c r="E18" s="616" t="s">
        <v>645</v>
      </c>
      <c r="F18" s="616" t="s">
        <v>646</v>
      </c>
      <c r="G18" s="616" t="s">
        <v>647</v>
      </c>
    </row>
    <row r="19" spans="1:7" ht="51">
      <c r="A19" s="616" t="s">
        <v>514</v>
      </c>
      <c r="B19" s="616" t="s">
        <v>648</v>
      </c>
      <c r="C19" s="616" t="s">
        <v>649</v>
      </c>
      <c r="D19" s="616" t="s">
        <v>650</v>
      </c>
      <c r="E19" s="616" t="s">
        <v>651</v>
      </c>
      <c r="F19" s="616" t="s">
        <v>652</v>
      </c>
      <c r="G19" s="616" t="s">
        <v>653</v>
      </c>
    </row>
    <row r="20" spans="1:7" ht="63.75">
      <c r="A20" s="616" t="s">
        <v>515</v>
      </c>
      <c r="B20" s="616" t="s">
        <v>654</v>
      </c>
      <c r="C20" s="616" t="s">
        <v>655</v>
      </c>
      <c r="D20" s="616" t="s">
        <v>656</v>
      </c>
      <c r="E20" s="616" t="s">
        <v>657</v>
      </c>
      <c r="F20" s="616" t="s">
        <v>658</v>
      </c>
      <c r="G20" s="616" t="s">
        <v>659</v>
      </c>
    </row>
    <row r="21" spans="1:7" ht="25.5">
      <c r="A21" s="616" t="s">
        <v>516</v>
      </c>
      <c r="B21" s="616" t="s">
        <v>660</v>
      </c>
      <c r="C21" s="616" t="s">
        <v>661</v>
      </c>
      <c r="D21" s="616" t="s">
        <v>662</v>
      </c>
      <c r="E21" s="616" t="s">
        <v>663</v>
      </c>
      <c r="F21" s="616" t="s">
        <v>664</v>
      </c>
      <c r="G21" s="616" t="s">
        <v>665</v>
      </c>
    </row>
    <row r="22" spans="1:7" ht="25.5">
      <c r="A22" s="616" t="s">
        <v>517</v>
      </c>
      <c r="B22" s="616" t="s">
        <v>666</v>
      </c>
      <c r="C22" s="616" t="s">
        <v>667</v>
      </c>
      <c r="D22" s="616" t="s">
        <v>668</v>
      </c>
      <c r="E22" s="616" t="s">
        <v>669</v>
      </c>
      <c r="F22" s="616" t="s">
        <v>670</v>
      </c>
      <c r="G22" s="616" t="s">
        <v>671</v>
      </c>
    </row>
  </sheetData>
  <phoneticPr fontId="58"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25">
    <tabColor rgb="FFFFC000"/>
  </sheetPr>
  <dimension ref="A1:H21"/>
  <sheetViews>
    <sheetView workbookViewId="0">
      <selection activeCell="K14" sqref="K14"/>
    </sheetView>
  </sheetViews>
  <sheetFormatPr defaultColWidth="8.85546875" defaultRowHeight="12.75"/>
  <cols>
    <col min="1" max="1" width="18.5703125" style="408" customWidth="1"/>
    <col min="2" max="2" width="12" style="408" customWidth="1"/>
    <col min="3" max="3" width="6.140625" style="408" customWidth="1"/>
    <col min="4" max="5" width="12" style="408" customWidth="1"/>
    <col min="6" max="7" width="11.42578125" style="408" customWidth="1"/>
    <col min="8" max="16384" width="8.85546875" style="408"/>
  </cols>
  <sheetData>
    <row r="1" spans="1:8" s="409" customFormat="1" ht="25.5">
      <c r="A1" s="429" t="s">
        <v>398</v>
      </c>
      <c r="B1" s="429" t="s">
        <v>301</v>
      </c>
      <c r="C1" s="429" t="s">
        <v>98</v>
      </c>
      <c r="D1" s="429" t="s">
        <v>269</v>
      </c>
      <c r="E1" s="429" t="s">
        <v>397</v>
      </c>
      <c r="F1" s="429" t="s">
        <v>293</v>
      </c>
      <c r="G1" s="429" t="s">
        <v>758</v>
      </c>
    </row>
    <row r="2" spans="1:8">
      <c r="A2" s="426" t="s">
        <v>296</v>
      </c>
      <c r="B2" s="427">
        <v>45292</v>
      </c>
      <c r="C2" s="424">
        <f t="shared" ref="C2:C21" si="0">IF(ISBLANK(B2),"",YEAR(B2))</f>
        <v>2024</v>
      </c>
      <c r="D2" s="427">
        <v>46022</v>
      </c>
      <c r="E2" s="417">
        <f>IF(ISBLANK(B2),"",ROUND((D2-B2+1)/30,0))</f>
        <v>24</v>
      </c>
      <c r="F2" s="424">
        <f>IF(ISBLANK(B2),"",ROUNDUP(((D2+1)-MIN($B$2:$B$21))/365,))</f>
        <v>3</v>
      </c>
      <c r="G2" s="424">
        <f>IF(ISBLANK(B2),"",ROUND((D2-$B$2+1)/30,0))</f>
        <v>24</v>
      </c>
      <c r="H2" s="428"/>
    </row>
    <row r="3" spans="1:8">
      <c r="A3" s="426" t="s">
        <v>297</v>
      </c>
      <c r="B3" s="427">
        <v>46023</v>
      </c>
      <c r="C3" s="424">
        <f t="shared" si="0"/>
        <v>2026</v>
      </c>
      <c r="D3" s="427">
        <v>46385</v>
      </c>
      <c r="E3" s="417">
        <f t="shared" ref="E3:E21" si="1">IF(ISBLANK(B3),"",ROUND((D3-B3+1)/30,0))</f>
        <v>12</v>
      </c>
      <c r="F3" s="424">
        <f t="shared" ref="F3:F21" si="2">IF(ISBLANK(B3),"",ROUNDUP(((D3+1)-MIN($B$2:$B$21))/365,))</f>
        <v>3</v>
      </c>
      <c r="G3" s="424">
        <f>IF(ISBLANK(B3),"",ROUND((D3-$B$2+1)/30,0))</f>
        <v>36</v>
      </c>
    </row>
    <row r="4" spans="1:8">
      <c r="A4" s="426" t="s">
        <v>298</v>
      </c>
      <c r="B4" s="427"/>
      <c r="C4" s="424" t="str">
        <f t="shared" si="0"/>
        <v/>
      </c>
      <c r="D4" s="427"/>
      <c r="E4" s="417" t="str">
        <f t="shared" si="1"/>
        <v/>
      </c>
      <c r="F4" s="424" t="str">
        <f t="shared" si="2"/>
        <v/>
      </c>
      <c r="G4" s="424" t="str">
        <f>IF(ISBLANK(B4),"",ROUND((D4-$B$2+1)/30,0))</f>
        <v/>
      </c>
    </row>
    <row r="5" spans="1:8">
      <c r="A5" s="426" t="s">
        <v>396</v>
      </c>
      <c r="B5" s="425"/>
      <c r="C5" s="424" t="str">
        <f t="shared" si="0"/>
        <v/>
      </c>
      <c r="D5" s="425"/>
      <c r="E5" s="417" t="str">
        <f t="shared" si="1"/>
        <v/>
      </c>
      <c r="F5" s="424" t="str">
        <f t="shared" si="2"/>
        <v/>
      </c>
      <c r="G5" s="424"/>
    </row>
    <row r="6" spans="1:8">
      <c r="A6" s="426" t="s">
        <v>395</v>
      </c>
      <c r="B6" s="425"/>
      <c r="C6" s="424" t="str">
        <f t="shared" si="0"/>
        <v/>
      </c>
      <c r="D6" s="425"/>
      <c r="E6" s="417" t="str">
        <f t="shared" si="1"/>
        <v/>
      </c>
      <c r="F6" s="424" t="str">
        <f t="shared" si="2"/>
        <v/>
      </c>
      <c r="G6" s="424"/>
    </row>
    <row r="7" spans="1:8">
      <c r="A7" s="426" t="s">
        <v>394</v>
      </c>
      <c r="B7" s="425"/>
      <c r="C7" s="424" t="str">
        <f t="shared" si="0"/>
        <v/>
      </c>
      <c r="D7" s="425"/>
      <c r="E7" s="417" t="str">
        <f t="shared" si="1"/>
        <v/>
      </c>
      <c r="F7" s="424" t="str">
        <f t="shared" si="2"/>
        <v/>
      </c>
      <c r="G7" s="424"/>
    </row>
    <row r="8" spans="1:8">
      <c r="A8" s="426" t="s">
        <v>393</v>
      </c>
      <c r="B8" s="425"/>
      <c r="C8" s="424" t="str">
        <f t="shared" si="0"/>
        <v/>
      </c>
      <c r="D8" s="425"/>
      <c r="E8" s="417" t="str">
        <f t="shared" si="1"/>
        <v/>
      </c>
      <c r="F8" s="424" t="str">
        <f t="shared" si="2"/>
        <v/>
      </c>
      <c r="G8" s="424"/>
    </row>
    <row r="9" spans="1:8">
      <c r="A9" s="426" t="s">
        <v>392</v>
      </c>
      <c r="B9" s="425"/>
      <c r="C9" s="424" t="str">
        <f t="shared" si="0"/>
        <v/>
      </c>
      <c r="D9" s="425"/>
      <c r="E9" s="417" t="str">
        <f t="shared" si="1"/>
        <v/>
      </c>
      <c r="F9" s="424" t="str">
        <f t="shared" si="2"/>
        <v/>
      </c>
      <c r="G9" s="424"/>
    </row>
    <row r="10" spans="1:8">
      <c r="A10" s="426" t="s">
        <v>391</v>
      </c>
      <c r="B10" s="425"/>
      <c r="C10" s="424" t="str">
        <f t="shared" si="0"/>
        <v/>
      </c>
      <c r="D10" s="425"/>
      <c r="E10" s="417" t="str">
        <f t="shared" si="1"/>
        <v/>
      </c>
      <c r="F10" s="424" t="str">
        <f t="shared" si="2"/>
        <v/>
      </c>
      <c r="G10" s="424"/>
    </row>
    <row r="11" spans="1:8">
      <c r="A11" s="426" t="s">
        <v>390</v>
      </c>
      <c r="B11" s="425"/>
      <c r="C11" s="424" t="str">
        <f t="shared" si="0"/>
        <v/>
      </c>
      <c r="D11" s="425"/>
      <c r="E11" s="417" t="str">
        <f t="shared" si="1"/>
        <v/>
      </c>
      <c r="F11" s="424" t="str">
        <f t="shared" si="2"/>
        <v/>
      </c>
      <c r="G11" s="424"/>
    </row>
    <row r="12" spans="1:8">
      <c r="A12" s="426" t="s">
        <v>389</v>
      </c>
      <c r="B12" s="425"/>
      <c r="C12" s="424" t="str">
        <f t="shared" si="0"/>
        <v/>
      </c>
      <c r="D12" s="425"/>
      <c r="E12" s="417" t="str">
        <f t="shared" si="1"/>
        <v/>
      </c>
      <c r="F12" s="424" t="str">
        <f t="shared" si="2"/>
        <v/>
      </c>
      <c r="G12" s="424"/>
    </row>
    <row r="13" spans="1:8">
      <c r="A13" s="426" t="s">
        <v>388</v>
      </c>
      <c r="B13" s="425"/>
      <c r="C13" s="424" t="str">
        <f t="shared" si="0"/>
        <v/>
      </c>
      <c r="D13" s="425"/>
      <c r="E13" s="417" t="str">
        <f t="shared" si="1"/>
        <v/>
      </c>
      <c r="F13" s="424" t="str">
        <f t="shared" si="2"/>
        <v/>
      </c>
      <c r="G13" s="424"/>
    </row>
    <row r="14" spans="1:8">
      <c r="A14" s="426" t="s">
        <v>387</v>
      </c>
      <c r="B14" s="425"/>
      <c r="C14" s="424" t="str">
        <f t="shared" si="0"/>
        <v/>
      </c>
      <c r="D14" s="425"/>
      <c r="E14" s="417" t="str">
        <f t="shared" si="1"/>
        <v/>
      </c>
      <c r="F14" s="424" t="str">
        <f t="shared" si="2"/>
        <v/>
      </c>
      <c r="G14" s="424"/>
    </row>
    <row r="15" spans="1:8">
      <c r="A15" s="426" t="s">
        <v>386</v>
      </c>
      <c r="B15" s="425"/>
      <c r="C15" s="424" t="str">
        <f t="shared" si="0"/>
        <v/>
      </c>
      <c r="D15" s="425"/>
      <c r="E15" s="417" t="str">
        <f t="shared" si="1"/>
        <v/>
      </c>
      <c r="F15" s="424" t="str">
        <f t="shared" si="2"/>
        <v/>
      </c>
      <c r="G15" s="424"/>
    </row>
    <row r="16" spans="1:8">
      <c r="A16" s="426" t="s">
        <v>385</v>
      </c>
      <c r="B16" s="425"/>
      <c r="C16" s="424" t="str">
        <f t="shared" si="0"/>
        <v/>
      </c>
      <c r="D16" s="425"/>
      <c r="E16" s="417" t="str">
        <f t="shared" si="1"/>
        <v/>
      </c>
      <c r="F16" s="424" t="str">
        <f t="shared" si="2"/>
        <v/>
      </c>
      <c r="G16" s="424"/>
    </row>
    <row r="17" spans="1:7">
      <c r="A17" s="426" t="s">
        <v>384</v>
      </c>
      <c r="B17" s="425"/>
      <c r="C17" s="424" t="str">
        <f t="shared" si="0"/>
        <v/>
      </c>
      <c r="D17" s="425"/>
      <c r="E17" s="417" t="str">
        <f t="shared" si="1"/>
        <v/>
      </c>
      <c r="F17" s="424" t="str">
        <f t="shared" si="2"/>
        <v/>
      </c>
      <c r="G17" s="424"/>
    </row>
    <row r="18" spans="1:7">
      <c r="A18" s="426" t="s">
        <v>383</v>
      </c>
      <c r="B18" s="425"/>
      <c r="C18" s="424" t="str">
        <f t="shared" si="0"/>
        <v/>
      </c>
      <c r="D18" s="425"/>
      <c r="E18" s="417" t="str">
        <f t="shared" si="1"/>
        <v/>
      </c>
      <c r="F18" s="424" t="str">
        <f t="shared" si="2"/>
        <v/>
      </c>
      <c r="G18" s="424"/>
    </row>
    <row r="19" spans="1:7">
      <c r="A19" s="426" t="s">
        <v>382</v>
      </c>
      <c r="B19" s="425"/>
      <c r="C19" s="424" t="str">
        <f t="shared" si="0"/>
        <v/>
      </c>
      <c r="D19" s="425"/>
      <c r="E19" s="417" t="str">
        <f t="shared" si="1"/>
        <v/>
      </c>
      <c r="F19" s="424" t="str">
        <f t="shared" si="2"/>
        <v/>
      </c>
      <c r="G19" s="424"/>
    </row>
    <row r="20" spans="1:7">
      <c r="A20" s="426" t="s">
        <v>381</v>
      </c>
      <c r="B20" s="425"/>
      <c r="C20" s="424" t="str">
        <f t="shared" si="0"/>
        <v/>
      </c>
      <c r="D20" s="425"/>
      <c r="E20" s="417" t="str">
        <f t="shared" si="1"/>
        <v/>
      </c>
      <c r="F20" s="424" t="str">
        <f t="shared" si="2"/>
        <v/>
      </c>
      <c r="G20" s="424"/>
    </row>
    <row r="21" spans="1:7">
      <c r="A21" s="426" t="s">
        <v>380</v>
      </c>
      <c r="B21" s="425"/>
      <c r="C21" s="424" t="str">
        <f t="shared" si="0"/>
        <v/>
      </c>
      <c r="D21" s="425"/>
      <c r="E21" s="417" t="str">
        <f t="shared" si="1"/>
        <v/>
      </c>
      <c r="F21" s="424" t="str">
        <f t="shared" si="2"/>
        <v/>
      </c>
      <c r="G21" s="424"/>
    </row>
  </sheetData>
  <dataValidations count="1">
    <dataValidation type="date" allowBlank="1" showInputMessage="1" showErrorMessage="1" sqref="B2:B21 D2:D21">
      <formula1>36526</formula1>
      <formula2>55153</formula2>
    </dataValidation>
  </dataValidations>
  <pageMargins left="0.7" right="0.7" top="0.75" bottom="0.75" header="0.3" footer="0.3"/>
  <pageSetup paperSize="9"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26" filterMode="1">
    <tabColor rgb="FFFFC000"/>
  </sheetPr>
  <dimension ref="A1:AG634"/>
  <sheetViews>
    <sheetView zoomScale="80" zoomScaleNormal="80" workbookViewId="0">
      <pane ySplit="2" topLeftCell="A594" activePane="bottomLeft" state="frozen"/>
      <selection activeCell="I3" sqref="I3"/>
      <selection pane="bottomLeft" activeCell="A3" sqref="A3:A610"/>
    </sheetView>
  </sheetViews>
  <sheetFormatPr defaultColWidth="10.42578125" defaultRowHeight="12.75"/>
  <cols>
    <col min="1" max="1" width="18.140625" style="375" customWidth="1"/>
    <col min="2" max="2" width="46.42578125" style="375" customWidth="1"/>
    <col min="3" max="3" width="58.5703125" style="372" customWidth="1"/>
    <col min="4" max="4" width="50.140625" style="372" customWidth="1"/>
    <col min="5" max="5" width="57.5703125" style="372" customWidth="1"/>
    <col min="6" max="6" width="27.42578125" style="372" customWidth="1"/>
    <col min="7" max="7" width="19.42578125" style="372" customWidth="1"/>
    <col min="8" max="9" width="17" style="372" customWidth="1"/>
    <col min="10" max="10" width="17" style="375" hidden="1" customWidth="1"/>
    <col min="11" max="11" width="17" style="375" customWidth="1"/>
    <col min="12" max="12" width="13.5703125" style="374" customWidth="1"/>
    <col min="13" max="14" width="13.5703125" style="375" customWidth="1"/>
    <col min="15" max="15" width="13.5703125" style="374" customWidth="1"/>
    <col min="16" max="16" width="14.42578125" style="373" customWidth="1"/>
    <col min="17" max="17" width="27.42578125" style="372" customWidth="1"/>
    <col min="18" max="18" width="34.42578125" style="372" customWidth="1"/>
    <col min="19" max="19" width="64.42578125" style="372" customWidth="1"/>
    <col min="20" max="20" width="34.42578125" style="372" customWidth="1"/>
    <col min="21" max="21" width="30.42578125" style="372" customWidth="1"/>
    <col min="22" max="22" width="26.42578125" style="372" customWidth="1"/>
    <col min="23" max="24" width="44.42578125" style="372" customWidth="1"/>
    <col min="25" max="26" width="36.42578125" style="372" customWidth="1"/>
    <col min="27" max="28" width="38" style="372" customWidth="1"/>
    <col min="29" max="29" width="52.5703125" style="372" customWidth="1"/>
    <col min="30" max="30" width="35.42578125" style="372" customWidth="1"/>
    <col min="31" max="31" width="30.42578125" style="372" customWidth="1"/>
    <col min="32" max="16384" width="10.42578125" style="372"/>
  </cols>
  <sheetData>
    <row r="1" spans="1:33" ht="45.6" customHeight="1">
      <c r="A1" s="852" t="s">
        <v>338</v>
      </c>
      <c r="B1" s="853"/>
      <c r="C1" s="853"/>
      <c r="D1" s="853"/>
      <c r="E1" s="853"/>
      <c r="F1" s="853"/>
      <c r="G1" s="853"/>
      <c r="H1" s="853"/>
      <c r="I1" s="853"/>
      <c r="J1" s="853"/>
      <c r="K1" s="853"/>
      <c r="L1" s="853"/>
      <c r="M1" s="853"/>
      <c r="N1" s="853"/>
      <c r="O1" s="853"/>
      <c r="P1" s="853"/>
      <c r="Q1" s="853"/>
      <c r="R1" s="853"/>
      <c r="S1" s="854"/>
      <c r="T1" s="844" t="s">
        <v>337</v>
      </c>
      <c r="U1" s="845"/>
      <c r="V1" s="846"/>
      <c r="W1" s="847" t="s">
        <v>336</v>
      </c>
      <c r="X1" s="848"/>
      <c r="Y1" s="848"/>
      <c r="Z1" s="848"/>
      <c r="AA1" s="848"/>
      <c r="AB1" s="848"/>
      <c r="AC1" s="849"/>
      <c r="AD1" s="850" t="s">
        <v>335</v>
      </c>
      <c r="AE1" s="851"/>
      <c r="AF1" s="407"/>
    </row>
    <row r="2" spans="1:33" s="400" customFormat="1" ht="51">
      <c r="A2" s="382" t="s">
        <v>334</v>
      </c>
      <c r="B2" s="382" t="s">
        <v>333</v>
      </c>
      <c r="C2" s="382" t="s">
        <v>332</v>
      </c>
      <c r="D2" s="382" t="s">
        <v>331</v>
      </c>
      <c r="E2" s="382" t="s">
        <v>330</v>
      </c>
      <c r="F2" s="382" t="s">
        <v>329</v>
      </c>
      <c r="G2" s="382" t="s">
        <v>444</v>
      </c>
      <c r="H2" s="406" t="s">
        <v>759</v>
      </c>
      <c r="I2" s="406" t="s">
        <v>760</v>
      </c>
      <c r="J2" s="406" t="s">
        <v>328</v>
      </c>
      <c r="K2" s="406" t="s">
        <v>761</v>
      </c>
      <c r="L2" s="406" t="s">
        <v>327</v>
      </c>
      <c r="M2" s="406" t="s">
        <v>326</v>
      </c>
      <c r="N2" s="406" t="s">
        <v>325</v>
      </c>
      <c r="O2" s="406" t="s">
        <v>324</v>
      </c>
      <c r="P2" s="406" t="s">
        <v>762</v>
      </c>
      <c r="Q2" s="382" t="s">
        <v>763</v>
      </c>
      <c r="R2" s="382" t="s">
        <v>323</v>
      </c>
      <c r="S2" s="382" t="s">
        <v>322</v>
      </c>
      <c r="T2" s="405" t="s">
        <v>321</v>
      </c>
      <c r="U2" s="405" t="s">
        <v>320</v>
      </c>
      <c r="V2" s="404" t="s">
        <v>319</v>
      </c>
      <c r="W2" s="403" t="s">
        <v>318</v>
      </c>
      <c r="X2" s="403" t="s">
        <v>317</v>
      </c>
      <c r="Y2" s="403" t="s">
        <v>316</v>
      </c>
      <c r="Z2" s="403" t="s">
        <v>315</v>
      </c>
      <c r="AA2" s="403" t="s">
        <v>314</v>
      </c>
      <c r="AB2" s="403" t="s">
        <v>313</v>
      </c>
      <c r="AC2" s="403" t="s">
        <v>764</v>
      </c>
      <c r="AD2" s="402" t="s">
        <v>312</v>
      </c>
      <c r="AE2" s="401" t="s">
        <v>311</v>
      </c>
    </row>
    <row r="3" spans="1:33" s="394" customFormat="1" ht="25.5">
      <c r="A3" s="682" t="s">
        <v>803</v>
      </c>
      <c r="B3" s="402" t="s">
        <v>749</v>
      </c>
      <c r="C3" s="532"/>
      <c r="D3" s="534" t="s">
        <v>804</v>
      </c>
      <c r="E3" s="390" t="s">
        <v>805</v>
      </c>
      <c r="F3" s="390" t="s">
        <v>806</v>
      </c>
      <c r="G3" s="390" t="s">
        <v>784</v>
      </c>
      <c r="H3" s="381">
        <v>1</v>
      </c>
      <c r="I3" s="381">
        <v>10</v>
      </c>
      <c r="J3" s="381">
        <f t="shared" ref="J3:J34" si="0">IF(ISNUMBER(H3),H3,)</f>
        <v>1</v>
      </c>
      <c r="K3" s="643">
        <f>H3*I3</f>
        <v>10</v>
      </c>
      <c r="L3" s="644">
        <f>IFERROR(IF(B3="funkcna poziadavka",VLOOKUP(G3,MODULY_CBA!$B$3:$E$23,4,0)*H3/SUMIFS($H$3:$H$168,$G$3:$G$168,G3,$B$3:$B$168,B3),),)</f>
        <v>0.5901639344262295</v>
      </c>
      <c r="M3" s="643">
        <f>IFERROR(IF(B3="Funkcna poziadavka",VLOOKUP(G3,MODULY_CBA!$B$3:$E$23,3,0),),)</f>
        <v>0.99499999999999988</v>
      </c>
      <c r="N3" s="643">
        <f>IFERROR(IF(B3="funkcna poziadavka",VLOOKUP(G3,MODULY_CBA!$B$3:$E$23,2,0),),)</f>
        <v>0.99</v>
      </c>
      <c r="O3" s="644">
        <f>(I3+L3)*M3*N3*H3</f>
        <v>10.431840983606556</v>
      </c>
      <c r="P3" s="645">
        <f>IFERROR(O3*VLOOKUP(G3,MODULY_CBA!$B$3:$F$23,5,0),)</f>
        <v>208.63681967213111</v>
      </c>
      <c r="Q3" s="480" t="str">
        <f>IFERROR(VLOOKUP(G3,MODULY_CBA!$B$3:$I$23,6,0),"")</f>
        <v>Inkrement 1</v>
      </c>
      <c r="R3" s="384"/>
      <c r="S3" s="384"/>
      <c r="T3" s="384"/>
      <c r="U3" s="384"/>
      <c r="V3" s="397"/>
      <c r="W3" s="378"/>
      <c r="X3" s="378"/>
      <c r="Y3" s="384"/>
      <c r="Z3" s="384"/>
      <c r="AA3" s="384"/>
      <c r="AB3" s="384"/>
      <c r="AC3" s="384"/>
      <c r="AD3" s="384"/>
      <c r="AE3" s="384"/>
      <c r="AF3" s="399"/>
      <c r="AG3" s="398"/>
    </row>
    <row r="4" spans="1:33" s="394" customFormat="1">
      <c r="A4" s="682" t="s">
        <v>807</v>
      </c>
      <c r="B4" s="402" t="s">
        <v>749</v>
      </c>
      <c r="C4" s="532"/>
      <c r="D4" s="532" t="s">
        <v>808</v>
      </c>
      <c r="E4" s="390" t="s">
        <v>809</v>
      </c>
      <c r="F4" s="390" t="s">
        <v>806</v>
      </c>
      <c r="G4" s="390" t="s">
        <v>801</v>
      </c>
      <c r="H4" s="381">
        <v>1</v>
      </c>
      <c r="I4" s="381">
        <v>5</v>
      </c>
      <c r="J4" s="381">
        <f t="shared" si="0"/>
        <v>1</v>
      </c>
      <c r="K4" s="643">
        <f t="shared" ref="K4:K59" si="1">H4*I4</f>
        <v>5</v>
      </c>
      <c r="L4" s="644">
        <f>IFERROR(IF(B4="funkcna poziadavka",VLOOKUP(G4,MODULY_CBA!$B$3:$E$23,4,0)*H4/SUMIFS($H$3:$H$168,$G$3:$G$168,G4,$B$3:$B$168,B4),),)</f>
        <v>2</v>
      </c>
      <c r="M4" s="643">
        <f>IFERROR(IF(B4="Funkcna poziadavka",VLOOKUP(G4,MODULY_CBA!$B$3:$E$23,3,0),),)</f>
        <v>0.99499999999999988</v>
      </c>
      <c r="N4" s="643">
        <f>IFERROR(IF(B4="funkcna poziadavka",VLOOKUP(G4,MODULY_CBA!$B$3:$E$23,2,0),),)</f>
        <v>0.99</v>
      </c>
      <c r="O4" s="644">
        <f t="shared" ref="O4:O11" si="2">(I4+L4)*M4*N4*H4</f>
        <v>6.8953499999999988</v>
      </c>
      <c r="P4" s="645">
        <f>IFERROR(O4*VLOOKUP(G4,MODULY_CBA!$B$3:$F$23,5,0),)</f>
        <v>103.43024999999999</v>
      </c>
      <c r="Q4" s="480" t="str">
        <f>IFERROR(VLOOKUP(G4,MODULY_CBA!$B$3:$I$23,6,0),"")</f>
        <v>Inkrement 1</v>
      </c>
      <c r="R4" s="384"/>
      <c r="S4" s="384"/>
      <c r="T4" s="384"/>
      <c r="U4" s="384"/>
      <c r="V4" s="397"/>
      <c r="W4" s="378"/>
      <c r="X4" s="378"/>
      <c r="Y4" s="384"/>
      <c r="Z4" s="384"/>
      <c r="AA4" s="384"/>
      <c r="AB4" s="384"/>
      <c r="AC4" s="384"/>
      <c r="AD4" s="384"/>
      <c r="AE4" s="384"/>
      <c r="AF4" s="399"/>
      <c r="AG4" s="398"/>
    </row>
    <row r="5" spans="1:33" s="394" customFormat="1" ht="38.25">
      <c r="A5" s="682" t="s">
        <v>810</v>
      </c>
      <c r="B5" s="402" t="s">
        <v>749</v>
      </c>
      <c r="C5" s="532"/>
      <c r="D5" s="532" t="s">
        <v>811</v>
      </c>
      <c r="E5" s="532" t="s">
        <v>812</v>
      </c>
      <c r="F5" s="390" t="s">
        <v>806</v>
      </c>
      <c r="G5" s="390" t="s">
        <v>788</v>
      </c>
      <c r="H5" s="381">
        <v>1</v>
      </c>
      <c r="I5" s="381">
        <v>5</v>
      </c>
      <c r="J5" s="381">
        <f t="shared" si="0"/>
        <v>1</v>
      </c>
      <c r="K5" s="643">
        <f t="shared" si="1"/>
        <v>5</v>
      </c>
      <c r="L5" s="644">
        <f>IFERROR(IF(B5="funkcna poziadavka",VLOOKUP(G5,MODULY_CBA!$B$3:$E$23,4,0)*H5/SUMIFS($H$3:$H$168,$G$3:$G$168,G5,$B$3:$B$168,B5),),)</f>
        <v>1.875</v>
      </c>
      <c r="M5" s="643">
        <f>IFERROR(IF(B5="Funkcna poziadavka",VLOOKUP(G5,MODULY_CBA!$B$3:$E$23,3,0),),)</f>
        <v>0.99499999999999988</v>
      </c>
      <c r="N5" s="643">
        <f>IFERROR(IF(B5="funkcna poziadavka",VLOOKUP(G5,MODULY_CBA!$B$3:$E$23,2,0),),)</f>
        <v>0.99</v>
      </c>
      <c r="O5" s="644">
        <f t="shared" si="2"/>
        <v>6.7722187499999995</v>
      </c>
      <c r="P5" s="645">
        <f>IFERROR(O5*VLOOKUP(G5,MODULY_CBA!$B$3:$F$23,5,0),)</f>
        <v>135.44437499999998</v>
      </c>
      <c r="Q5" s="480" t="str">
        <f>IFERROR(VLOOKUP(G5,MODULY_CBA!$B$3:$I$23,6,0),"")</f>
        <v>Inkrement 1</v>
      </c>
      <c r="R5" s="384"/>
      <c r="S5" s="384"/>
      <c r="T5" s="384"/>
      <c r="U5" s="384"/>
      <c r="V5" s="397"/>
      <c r="W5" s="378"/>
      <c r="X5" s="378"/>
      <c r="Y5" s="384"/>
      <c r="Z5" s="384"/>
      <c r="AA5" s="384"/>
      <c r="AB5" s="384"/>
      <c r="AC5" s="384"/>
      <c r="AD5" s="384"/>
      <c r="AE5" s="384"/>
      <c r="AF5" s="399"/>
      <c r="AG5" s="398"/>
    </row>
    <row r="6" spans="1:33" s="394" customFormat="1">
      <c r="A6" s="682" t="s">
        <v>813</v>
      </c>
      <c r="B6" s="402" t="s">
        <v>749</v>
      </c>
      <c r="C6" s="532"/>
      <c r="D6" s="532" t="s">
        <v>814</v>
      </c>
      <c r="E6" s="390" t="s">
        <v>815</v>
      </c>
      <c r="F6" s="390" t="s">
        <v>806</v>
      </c>
      <c r="G6" s="390" t="s">
        <v>799</v>
      </c>
      <c r="H6" s="381">
        <v>1</v>
      </c>
      <c r="I6" s="381">
        <v>5</v>
      </c>
      <c r="J6" s="381">
        <f t="shared" si="0"/>
        <v>1</v>
      </c>
      <c r="K6" s="643">
        <f t="shared" si="1"/>
        <v>5</v>
      </c>
      <c r="L6" s="644">
        <f>IFERROR(IF(B6="funkcna poziadavka",VLOOKUP(G6,MODULY_CBA!$B$3:$E$23,4,0)*H6/SUMIFS($H$3:$H$168,$G$3:$G$168,G6,$B$3:$B$168,B6),),)</f>
        <v>1.2</v>
      </c>
      <c r="M6" s="643">
        <f>IFERROR(IF(B6="Funkcna poziadavka",VLOOKUP(G6,MODULY_CBA!$B$3:$E$23,3,0),),)</f>
        <v>0.99499999999999988</v>
      </c>
      <c r="N6" s="643">
        <f>IFERROR(IF(B6="funkcna poziadavka",VLOOKUP(G6,MODULY_CBA!$B$3:$E$23,2,0),),)</f>
        <v>0.99</v>
      </c>
      <c r="O6" s="644">
        <f t="shared" si="2"/>
        <v>6.1073099999999991</v>
      </c>
      <c r="P6" s="645">
        <f>IFERROR(O6*VLOOKUP(G6,MODULY_CBA!$B$3:$F$23,5,0),)</f>
        <v>122.14619999999998</v>
      </c>
      <c r="Q6" s="480" t="str">
        <f>IFERROR(VLOOKUP(G6,MODULY_CBA!$B$3:$I$23,6,0),"")</f>
        <v>Inkrement 1</v>
      </c>
      <c r="R6" s="384"/>
      <c r="S6" s="384"/>
      <c r="T6" s="384"/>
      <c r="U6" s="384"/>
      <c r="V6" s="397"/>
      <c r="W6" s="378"/>
      <c r="X6" s="378"/>
      <c r="Y6" s="384"/>
      <c r="Z6" s="384"/>
      <c r="AA6" s="384"/>
      <c r="AB6" s="384"/>
      <c r="AC6" s="384"/>
      <c r="AD6" s="384"/>
      <c r="AE6" s="384"/>
      <c r="AF6" s="399"/>
      <c r="AG6" s="398"/>
    </row>
    <row r="7" spans="1:33" s="394" customFormat="1">
      <c r="A7" s="682" t="s">
        <v>816</v>
      </c>
      <c r="B7" s="402" t="s">
        <v>749</v>
      </c>
      <c r="C7" s="532"/>
      <c r="D7" s="532" t="s">
        <v>817</v>
      </c>
      <c r="E7" s="390" t="s">
        <v>818</v>
      </c>
      <c r="F7" s="390" t="s">
        <v>806</v>
      </c>
      <c r="G7" s="390" t="s">
        <v>799</v>
      </c>
      <c r="H7" s="381">
        <v>1</v>
      </c>
      <c r="I7" s="381">
        <v>5</v>
      </c>
      <c r="J7" s="381">
        <f t="shared" si="0"/>
        <v>1</v>
      </c>
      <c r="K7" s="643">
        <f t="shared" si="1"/>
        <v>5</v>
      </c>
      <c r="L7" s="644">
        <f>IFERROR(IF(B7="funkcna poziadavka",VLOOKUP(G7,MODULY_CBA!$B$3:$E$23,4,0)*H7/SUMIFS($H$3:$H$168,$G$3:$G$168,G7,$B$3:$B$168,B7),),)</f>
        <v>1.2</v>
      </c>
      <c r="M7" s="643">
        <f>IFERROR(IF(B7="Funkcna poziadavka",VLOOKUP(G7,MODULY_CBA!$B$3:$E$23,3,0),),)</f>
        <v>0.99499999999999988</v>
      </c>
      <c r="N7" s="643">
        <f>IFERROR(IF(B7="funkcna poziadavka",VLOOKUP(G7,MODULY_CBA!$B$3:$E$23,2,0),),)</f>
        <v>0.99</v>
      </c>
      <c r="O7" s="644">
        <f t="shared" si="2"/>
        <v>6.1073099999999991</v>
      </c>
      <c r="P7" s="645">
        <f>IFERROR(O7*VLOOKUP(G7,MODULY_CBA!$B$3:$F$23,5,0),)</f>
        <v>122.14619999999998</v>
      </c>
      <c r="Q7" s="480" t="str">
        <f>IFERROR(VLOOKUP(G7,MODULY_CBA!$B$3:$I$23,6,0),"")</f>
        <v>Inkrement 1</v>
      </c>
      <c r="R7" s="384"/>
      <c r="S7" s="384"/>
      <c r="T7" s="384"/>
      <c r="U7" s="384"/>
      <c r="V7" s="397"/>
      <c r="W7" s="378"/>
      <c r="X7" s="378"/>
      <c r="Y7" s="384"/>
      <c r="Z7" s="384"/>
      <c r="AA7" s="384"/>
      <c r="AB7" s="384"/>
      <c r="AC7" s="384"/>
      <c r="AD7" s="384"/>
      <c r="AE7" s="384"/>
      <c r="AF7" s="399"/>
      <c r="AG7" s="398"/>
    </row>
    <row r="8" spans="1:33" s="394" customFormat="1" ht="25.5">
      <c r="A8" s="682" t="s">
        <v>819</v>
      </c>
      <c r="B8" s="402" t="s">
        <v>749</v>
      </c>
      <c r="C8" s="532"/>
      <c r="D8" s="532" t="s">
        <v>820</v>
      </c>
      <c r="E8" s="390" t="s">
        <v>821</v>
      </c>
      <c r="F8" s="390" t="s">
        <v>806</v>
      </c>
      <c r="G8" s="390" t="s">
        <v>799</v>
      </c>
      <c r="H8" s="381">
        <v>1</v>
      </c>
      <c r="I8" s="381">
        <v>5</v>
      </c>
      <c r="J8" s="381">
        <f t="shared" si="0"/>
        <v>1</v>
      </c>
      <c r="K8" s="643">
        <f t="shared" si="1"/>
        <v>5</v>
      </c>
      <c r="L8" s="644">
        <f>IFERROR(IF(B8="funkcna poziadavka",VLOOKUP(G8,MODULY_CBA!$B$3:$E$23,4,0)*H8/SUMIFS($H$3:$H$168,$G$3:$G$168,G8,$B$3:$B$168,B8),),)</f>
        <v>1.2</v>
      </c>
      <c r="M8" s="643">
        <f>IFERROR(IF(B8="Funkcna poziadavka",VLOOKUP(G8,MODULY_CBA!$B$3:$E$23,3,0),),)</f>
        <v>0.99499999999999988</v>
      </c>
      <c r="N8" s="643">
        <f>IFERROR(IF(B8="funkcna poziadavka",VLOOKUP(G8,MODULY_CBA!$B$3:$E$23,2,0),),)</f>
        <v>0.99</v>
      </c>
      <c r="O8" s="644">
        <f t="shared" si="2"/>
        <v>6.1073099999999991</v>
      </c>
      <c r="P8" s="645">
        <f>IFERROR(O8*VLOOKUP(G8,MODULY_CBA!$B$3:$F$23,5,0),)</f>
        <v>122.14619999999998</v>
      </c>
      <c r="Q8" s="480" t="str">
        <f>IFERROR(VLOOKUP(G8,MODULY_CBA!$B$3:$I$23,6,0),"")</f>
        <v>Inkrement 1</v>
      </c>
      <c r="R8" s="384"/>
      <c r="S8" s="384"/>
      <c r="T8" s="384"/>
      <c r="U8" s="384"/>
      <c r="V8" s="397"/>
      <c r="W8" s="378"/>
      <c r="X8" s="378"/>
      <c r="Y8" s="384"/>
      <c r="Z8" s="384"/>
      <c r="AA8" s="384"/>
      <c r="AB8" s="384"/>
      <c r="AC8" s="384"/>
      <c r="AD8" s="384"/>
      <c r="AE8" s="384"/>
      <c r="AF8" s="399"/>
      <c r="AG8" s="398"/>
    </row>
    <row r="9" spans="1:33" s="394" customFormat="1" ht="25.5">
      <c r="A9" s="682" t="s">
        <v>822</v>
      </c>
      <c r="B9" s="402" t="s">
        <v>749</v>
      </c>
      <c r="C9" s="532"/>
      <c r="D9" s="532" t="s">
        <v>823</v>
      </c>
      <c r="E9" s="390" t="s">
        <v>824</v>
      </c>
      <c r="F9" s="390" t="s">
        <v>806</v>
      </c>
      <c r="G9" s="390" t="s">
        <v>799</v>
      </c>
      <c r="H9" s="381">
        <v>1</v>
      </c>
      <c r="I9" s="381">
        <v>5</v>
      </c>
      <c r="J9" s="381">
        <f t="shared" si="0"/>
        <v>1</v>
      </c>
      <c r="K9" s="643">
        <f t="shared" si="1"/>
        <v>5</v>
      </c>
      <c r="L9" s="644">
        <f>IFERROR(IF(B9="funkcna poziadavka",VLOOKUP(G9,MODULY_CBA!$B$3:$E$23,4,0)*H9/SUMIFS($H$3:$H$168,$G$3:$G$168,G9,$B$3:$B$168,B9),),)</f>
        <v>1.2</v>
      </c>
      <c r="M9" s="643">
        <f>IFERROR(IF(B9="Funkcna poziadavka",VLOOKUP(G9,MODULY_CBA!$B$3:$E$23,3,0),),)</f>
        <v>0.99499999999999988</v>
      </c>
      <c r="N9" s="643">
        <f>IFERROR(IF(B9="funkcna poziadavka",VLOOKUP(G9,MODULY_CBA!$B$3:$E$23,2,0),),)</f>
        <v>0.99</v>
      </c>
      <c r="O9" s="644">
        <f t="shared" si="2"/>
        <v>6.1073099999999991</v>
      </c>
      <c r="P9" s="645">
        <f>IFERROR(O9*VLOOKUP(G9,MODULY_CBA!$B$3:$F$23,5,0),)</f>
        <v>122.14619999999998</v>
      </c>
      <c r="Q9" s="480" t="str">
        <f>IFERROR(VLOOKUP(G9,MODULY_CBA!$B$3:$I$23,6,0),"")</f>
        <v>Inkrement 1</v>
      </c>
      <c r="R9" s="384"/>
      <c r="S9" s="384"/>
      <c r="T9" s="384"/>
      <c r="U9" s="384"/>
      <c r="V9" s="397"/>
      <c r="W9" s="378"/>
      <c r="X9" s="378"/>
      <c r="Y9" s="384"/>
      <c r="Z9" s="384"/>
      <c r="AA9" s="384"/>
      <c r="AB9" s="384"/>
      <c r="AC9" s="384"/>
      <c r="AD9" s="384"/>
      <c r="AE9" s="384"/>
      <c r="AF9" s="399"/>
      <c r="AG9" s="398"/>
    </row>
    <row r="10" spans="1:33" s="394" customFormat="1">
      <c r="A10" s="682" t="s">
        <v>825</v>
      </c>
      <c r="B10" s="402" t="s">
        <v>749</v>
      </c>
      <c r="C10" s="532"/>
      <c r="D10" s="532" t="s">
        <v>826</v>
      </c>
      <c r="E10" s="390" t="s">
        <v>827</v>
      </c>
      <c r="F10" s="390" t="s">
        <v>806</v>
      </c>
      <c r="G10" s="390" t="s">
        <v>786</v>
      </c>
      <c r="H10" s="381">
        <v>1</v>
      </c>
      <c r="I10" s="381">
        <v>5</v>
      </c>
      <c r="J10" s="381">
        <f t="shared" si="0"/>
        <v>1</v>
      </c>
      <c r="K10" s="643">
        <f t="shared" si="1"/>
        <v>5</v>
      </c>
      <c r="L10" s="644">
        <f>IFERROR(IF(B10="funkcna poziadavka",VLOOKUP(G10,MODULY_CBA!$B$3:$E$23,4,0)*H10/SUMIFS($H$3:$H$168,$G$3:$G$168,G10,$B$3:$B$168,B10),),)</f>
        <v>12</v>
      </c>
      <c r="M10" s="643">
        <f>IFERROR(IF(B10="Funkcna poziadavka",VLOOKUP(G10,MODULY_CBA!$B$3:$E$23,3,0),),)</f>
        <v>0.99499999999999988</v>
      </c>
      <c r="N10" s="643">
        <f>IFERROR(IF(B10="funkcna poziadavka",VLOOKUP(G10,MODULY_CBA!$B$3:$E$23,2,0),),)</f>
        <v>0.99</v>
      </c>
      <c r="O10" s="644">
        <f t="shared" si="2"/>
        <v>16.745849999999997</v>
      </c>
      <c r="P10" s="645">
        <f>IFERROR(O10*VLOOKUP(G10,MODULY_CBA!$B$3:$F$23,5,0),)</f>
        <v>334.91699999999992</v>
      </c>
      <c r="Q10" s="480" t="str">
        <f>IFERROR(VLOOKUP(G10,MODULY_CBA!$B$3:$I$23,6,0),"")</f>
        <v>Inkrement 1</v>
      </c>
      <c r="R10" s="384"/>
      <c r="S10" s="384"/>
      <c r="T10" s="384"/>
      <c r="U10" s="384"/>
      <c r="V10" s="397"/>
      <c r="W10" s="378"/>
      <c r="X10" s="378"/>
      <c r="Y10" s="384"/>
      <c r="Z10" s="384"/>
      <c r="AA10" s="384"/>
      <c r="AB10" s="384"/>
      <c r="AC10" s="384"/>
      <c r="AD10" s="384"/>
      <c r="AE10" s="384"/>
      <c r="AF10" s="399"/>
      <c r="AG10" s="398"/>
    </row>
    <row r="11" spans="1:33" s="394" customFormat="1" ht="25.5">
      <c r="A11" s="682" t="s">
        <v>828</v>
      </c>
      <c r="B11" s="402" t="s">
        <v>749</v>
      </c>
      <c r="C11" s="532"/>
      <c r="D11" s="532" t="s">
        <v>829</v>
      </c>
      <c r="E11" s="390" t="s">
        <v>830</v>
      </c>
      <c r="F11" s="390" t="s">
        <v>806</v>
      </c>
      <c r="G11" s="390" t="s">
        <v>786</v>
      </c>
      <c r="H11" s="381">
        <v>1</v>
      </c>
      <c r="I11" s="381">
        <v>5</v>
      </c>
      <c r="J11" s="381">
        <f t="shared" si="0"/>
        <v>1</v>
      </c>
      <c r="K11" s="643">
        <f t="shared" si="1"/>
        <v>5</v>
      </c>
      <c r="L11" s="644">
        <f>IFERROR(IF(B11="funkcna poziadavka",VLOOKUP(G11,MODULY_CBA!$B$3:$E$23,4,0)*H11/SUMIFS($H$3:$H$168,$G$3:$G$168,G11,$B$3:$B$168,B11),),)</f>
        <v>12</v>
      </c>
      <c r="M11" s="643">
        <f>IFERROR(IF(B11="Funkcna poziadavka",VLOOKUP(G11,MODULY_CBA!$B$3:$E$23,3,0),),)</f>
        <v>0.99499999999999988</v>
      </c>
      <c r="N11" s="643">
        <f>IFERROR(IF(B11="funkcna poziadavka",VLOOKUP(G11,MODULY_CBA!$B$3:$E$23,2,0),),)</f>
        <v>0.99</v>
      </c>
      <c r="O11" s="644">
        <f t="shared" si="2"/>
        <v>16.745849999999997</v>
      </c>
      <c r="P11" s="645">
        <f>IFERROR(O11*VLOOKUP(G11,MODULY_CBA!$B$3:$F$23,5,0),)</f>
        <v>334.91699999999992</v>
      </c>
      <c r="Q11" s="480" t="str">
        <f>IFERROR(VLOOKUP(G11,MODULY_CBA!$B$3:$I$23,6,0),"")</f>
        <v>Inkrement 1</v>
      </c>
      <c r="R11" s="384"/>
      <c r="S11" s="384"/>
      <c r="T11" s="384"/>
      <c r="U11" s="384"/>
      <c r="V11" s="397"/>
      <c r="W11" s="378"/>
      <c r="X11" s="378"/>
      <c r="Y11" s="384"/>
      <c r="Z11" s="384"/>
      <c r="AA11" s="384"/>
      <c r="AB11" s="384"/>
      <c r="AC11" s="384"/>
      <c r="AD11" s="384"/>
      <c r="AE11" s="384"/>
      <c r="AF11" s="396"/>
      <c r="AG11" s="395"/>
    </row>
    <row r="12" spans="1:33" ht="25.5">
      <c r="A12" s="682" t="s">
        <v>831</v>
      </c>
      <c r="B12" s="402" t="s">
        <v>749</v>
      </c>
      <c r="C12" s="532"/>
      <c r="D12" s="532" t="s">
        <v>832</v>
      </c>
      <c r="E12" s="532" t="s">
        <v>833</v>
      </c>
      <c r="F12" s="390" t="s">
        <v>806</v>
      </c>
      <c r="G12" s="390" t="s">
        <v>802</v>
      </c>
      <c r="H12" s="381">
        <v>1</v>
      </c>
      <c r="I12" s="381">
        <v>10</v>
      </c>
      <c r="J12" s="381">
        <f t="shared" si="0"/>
        <v>1</v>
      </c>
      <c r="K12" s="381">
        <f t="shared" si="1"/>
        <v>10</v>
      </c>
      <c r="L12" s="644">
        <f>IFERROR(IF(B12="funkcna poziadavka",VLOOKUP(G12,MODULY_CBA!$B$3:$E$23,4,0)*H12/SUMIFS($H$3:$H$168,$G$3:$G$168,G12,$B$3:$B$168,B12),),)</f>
        <v>1</v>
      </c>
      <c r="M12" s="381">
        <f>IFERROR(IF(B12="Funkcna poziadavka",VLOOKUP(G12,MODULY_CBA!$B$3:$E$23,3,0),),)</f>
        <v>0.99499999999999988</v>
      </c>
      <c r="N12" s="381">
        <f>IFERROR(IF(B12="funkcna poziadavka",VLOOKUP(G12,MODULY_CBA!$B$3:$E$23,2,0),),)</f>
        <v>0.99</v>
      </c>
      <c r="O12" s="380">
        <f t="shared" ref="O12:O34" si="3">(K12+L12)*M12*N12</f>
        <v>10.835549999999998</v>
      </c>
      <c r="P12" s="379">
        <f>IFERROR(O12*VLOOKUP(G12,MODULY_CBA!$B$3:$F$23,5,0),)</f>
        <v>216.71099999999996</v>
      </c>
      <c r="Q12" s="480" t="str">
        <f>IFERROR(VLOOKUP(G12,MODULY_CBA!$B$3:$I$23,6,0),"")</f>
        <v>Inkrement 1</v>
      </c>
      <c r="R12" s="385"/>
      <c r="S12" s="385"/>
      <c r="T12" s="385"/>
      <c r="U12" s="385"/>
      <c r="V12" s="385"/>
      <c r="W12" s="385"/>
      <c r="X12" s="385"/>
      <c r="Y12" s="385"/>
      <c r="Z12" s="385"/>
      <c r="AA12" s="385"/>
      <c r="AB12" s="385"/>
      <c r="AC12" s="385"/>
      <c r="AD12" s="385"/>
      <c r="AE12" s="385"/>
      <c r="AF12" s="392"/>
      <c r="AG12" s="385"/>
    </row>
    <row r="13" spans="1:33">
      <c r="A13" s="682" t="s">
        <v>834</v>
      </c>
      <c r="B13" s="402" t="s">
        <v>749</v>
      </c>
      <c r="C13" s="532"/>
      <c r="D13" s="532" t="s">
        <v>835</v>
      </c>
      <c r="E13" s="532" t="s">
        <v>836</v>
      </c>
      <c r="F13" s="390" t="s">
        <v>806</v>
      </c>
      <c r="G13" s="390" t="s">
        <v>802</v>
      </c>
      <c r="H13" s="381">
        <v>1</v>
      </c>
      <c r="I13" s="381">
        <v>5</v>
      </c>
      <c r="J13" s="381">
        <f t="shared" si="0"/>
        <v>1</v>
      </c>
      <c r="K13" s="381">
        <f t="shared" si="1"/>
        <v>5</v>
      </c>
      <c r="L13" s="644">
        <f>IFERROR(IF(B13="funkcna poziadavka",VLOOKUP(G13,MODULY_CBA!$B$3:$E$23,4,0)*H13/SUMIFS($H$3:$H$168,$G$3:$G$168,G13,$B$3:$B$168,B13),),)</f>
        <v>1</v>
      </c>
      <c r="M13" s="381">
        <f>IFERROR(IF(B13="Funkcna poziadavka",VLOOKUP(G13,MODULY_CBA!$B$3:$E$23,3,0),),)</f>
        <v>0.99499999999999988</v>
      </c>
      <c r="N13" s="381">
        <f>IFERROR(IF(B13="funkcna poziadavka",VLOOKUP(G13,MODULY_CBA!$B$3:$E$23,2,0),),)</f>
        <v>0.99</v>
      </c>
      <c r="O13" s="380">
        <f t="shared" si="3"/>
        <v>5.9102999999999986</v>
      </c>
      <c r="P13" s="379">
        <f>IFERROR(O13*VLOOKUP(G13,MODULY_CBA!$B$3:$F$23,5,0),)</f>
        <v>118.20599999999997</v>
      </c>
      <c r="Q13" s="480" t="str">
        <f>IFERROR(VLOOKUP(G13,MODULY_CBA!$B$3:$I$23,6,0),"")</f>
        <v>Inkrement 1</v>
      </c>
      <c r="R13" s="385"/>
      <c r="S13" s="385"/>
      <c r="T13" s="385"/>
      <c r="U13" s="385"/>
      <c r="V13" s="385"/>
      <c r="W13" s="385"/>
      <c r="X13" s="385"/>
      <c r="Y13" s="385"/>
      <c r="Z13" s="385"/>
      <c r="AA13" s="385"/>
      <c r="AB13" s="385"/>
      <c r="AC13" s="385"/>
      <c r="AD13" s="385"/>
      <c r="AE13" s="385"/>
      <c r="AF13" s="392"/>
      <c r="AG13" s="385"/>
    </row>
    <row r="14" spans="1:33" ht="38.25">
      <c r="A14" s="682" t="s">
        <v>837</v>
      </c>
      <c r="B14" s="402" t="s">
        <v>749</v>
      </c>
      <c r="C14" s="532"/>
      <c r="D14" s="532" t="s">
        <v>838</v>
      </c>
      <c r="E14" s="532" t="s">
        <v>839</v>
      </c>
      <c r="F14" s="390" t="s">
        <v>806</v>
      </c>
      <c r="G14" s="390" t="s">
        <v>802</v>
      </c>
      <c r="H14" s="381">
        <v>1</v>
      </c>
      <c r="I14" s="381">
        <v>5</v>
      </c>
      <c r="J14" s="381">
        <f t="shared" si="0"/>
        <v>1</v>
      </c>
      <c r="K14" s="381">
        <f t="shared" si="1"/>
        <v>5</v>
      </c>
      <c r="L14" s="644">
        <f>IFERROR(IF(B14="funkcna poziadavka",VLOOKUP(G14,MODULY_CBA!$B$3:$E$23,4,0)*H14/SUMIFS($H$3:$H$168,$G$3:$G$168,G14,$B$3:$B$168,B14),),)</f>
        <v>1</v>
      </c>
      <c r="M14" s="381">
        <f>IFERROR(IF(B14="Funkcna poziadavka",VLOOKUP(G14,MODULY_CBA!$B$3:$E$23,3,0),),)</f>
        <v>0.99499999999999988</v>
      </c>
      <c r="N14" s="381">
        <f>IFERROR(IF(B14="funkcna poziadavka",VLOOKUP(G14,MODULY_CBA!$B$3:$E$23,2,0),),)</f>
        <v>0.99</v>
      </c>
      <c r="O14" s="380">
        <f t="shared" si="3"/>
        <v>5.9102999999999986</v>
      </c>
      <c r="P14" s="379">
        <f>IFERROR(O14*VLOOKUP(G14,MODULY_CBA!$B$3:$F$23,5,0),)</f>
        <v>118.20599999999997</v>
      </c>
      <c r="Q14" s="480" t="str">
        <f>IFERROR(VLOOKUP(G14,MODULY_CBA!$B$3:$I$23,6,0),"")</f>
        <v>Inkrement 1</v>
      </c>
      <c r="R14" s="385"/>
      <c r="S14" s="385"/>
      <c r="T14" s="385"/>
      <c r="U14" s="385"/>
      <c r="V14" s="385"/>
      <c r="W14" s="385"/>
      <c r="X14" s="385"/>
      <c r="Y14" s="385"/>
      <c r="Z14" s="385"/>
      <c r="AA14" s="385"/>
      <c r="AB14" s="385"/>
      <c r="AC14" s="385"/>
      <c r="AD14" s="385"/>
      <c r="AE14" s="385"/>
      <c r="AF14" s="392"/>
      <c r="AG14" s="385"/>
    </row>
    <row r="15" spans="1:33" ht="25.5">
      <c r="A15" s="682" t="s">
        <v>840</v>
      </c>
      <c r="B15" s="402" t="s">
        <v>749</v>
      </c>
      <c r="C15" s="532"/>
      <c r="D15" s="532" t="s">
        <v>841</v>
      </c>
      <c r="E15" s="532" t="s">
        <v>842</v>
      </c>
      <c r="F15" s="390" t="s">
        <v>806</v>
      </c>
      <c r="G15" s="390" t="s">
        <v>802</v>
      </c>
      <c r="H15" s="381">
        <v>1</v>
      </c>
      <c r="I15" s="381">
        <v>10</v>
      </c>
      <c r="J15" s="381">
        <f t="shared" si="0"/>
        <v>1</v>
      </c>
      <c r="K15" s="381">
        <f t="shared" si="1"/>
        <v>10</v>
      </c>
      <c r="L15" s="644">
        <f>IFERROR(IF(B15="funkcna poziadavka",VLOOKUP(G15,MODULY_CBA!$B$3:$E$23,4,0)*H15/SUMIFS($H$3:$H$168,$G$3:$G$168,G15,$B$3:$B$168,B15),),)</f>
        <v>1</v>
      </c>
      <c r="M15" s="381">
        <f>IFERROR(IF(B15="Funkcna poziadavka",VLOOKUP(G15,MODULY_CBA!$B$3:$E$23,3,0),),)</f>
        <v>0.99499999999999988</v>
      </c>
      <c r="N15" s="381">
        <f>IFERROR(IF(B15="funkcna poziadavka",VLOOKUP(G15,MODULY_CBA!$B$3:$E$23,2,0),),)</f>
        <v>0.99</v>
      </c>
      <c r="O15" s="380">
        <f t="shared" si="3"/>
        <v>10.835549999999998</v>
      </c>
      <c r="P15" s="379">
        <f>IFERROR(O15*VLOOKUP(G15,MODULY_CBA!$B$3:$F$23,5,0),)</f>
        <v>216.71099999999996</v>
      </c>
      <c r="Q15" s="480" t="str">
        <f>IFERROR(VLOOKUP(G15,MODULY_CBA!$B$3:$I$23,6,0),"")</f>
        <v>Inkrement 1</v>
      </c>
      <c r="R15" s="385"/>
      <c r="S15" s="385"/>
      <c r="T15" s="385"/>
      <c r="U15" s="385"/>
      <c r="V15" s="385"/>
      <c r="W15" s="385"/>
      <c r="X15" s="385"/>
      <c r="Y15" s="385"/>
      <c r="Z15" s="385"/>
      <c r="AA15" s="385"/>
      <c r="AB15" s="385"/>
      <c r="AC15" s="385"/>
      <c r="AD15" s="385"/>
      <c r="AE15" s="385"/>
      <c r="AF15" s="392"/>
      <c r="AG15" s="385"/>
    </row>
    <row r="16" spans="1:33" ht="38.25">
      <c r="A16" s="682" t="s">
        <v>843</v>
      </c>
      <c r="B16" s="402" t="s">
        <v>749</v>
      </c>
      <c r="C16" s="532"/>
      <c r="D16" s="532" t="s">
        <v>844</v>
      </c>
      <c r="E16" s="532" t="s">
        <v>845</v>
      </c>
      <c r="F16" s="390" t="s">
        <v>806</v>
      </c>
      <c r="G16" s="390" t="s">
        <v>802</v>
      </c>
      <c r="H16" s="381">
        <v>1</v>
      </c>
      <c r="I16" s="381">
        <v>5</v>
      </c>
      <c r="J16" s="381">
        <f t="shared" si="0"/>
        <v>1</v>
      </c>
      <c r="K16" s="381">
        <f t="shared" si="1"/>
        <v>5</v>
      </c>
      <c r="L16" s="644">
        <f>IFERROR(IF(B16="funkcna poziadavka",VLOOKUP(G16,MODULY_CBA!$B$3:$E$23,4,0)*H16/SUMIFS($H$3:$H$168,$G$3:$G$168,G16,$B$3:$B$168,B16),),)</f>
        <v>1</v>
      </c>
      <c r="M16" s="381">
        <f>IFERROR(IF(B16="Funkcna poziadavka",VLOOKUP(G16,MODULY_CBA!$B$3:$E$23,3,0),),)</f>
        <v>0.99499999999999988</v>
      </c>
      <c r="N16" s="381">
        <f>IFERROR(IF(B16="funkcna poziadavka",VLOOKUP(G16,MODULY_CBA!$B$3:$E$23,2,0),),)</f>
        <v>0.99</v>
      </c>
      <c r="O16" s="380">
        <f t="shared" si="3"/>
        <v>5.9102999999999986</v>
      </c>
      <c r="P16" s="379">
        <f>IFERROR(O16*VLOOKUP(G16,MODULY_CBA!$B$3:$F$23,5,0),)</f>
        <v>118.20599999999997</v>
      </c>
      <c r="Q16" s="480" t="str">
        <f>IFERROR(VLOOKUP(G16,MODULY_CBA!$B$3:$I$23,6,0),"")</f>
        <v>Inkrement 1</v>
      </c>
      <c r="R16" s="385"/>
      <c r="S16" s="385"/>
      <c r="T16" s="385"/>
      <c r="U16" s="385"/>
      <c r="V16" s="385"/>
      <c r="W16" s="385"/>
      <c r="X16" s="385"/>
      <c r="Y16" s="385"/>
      <c r="Z16" s="385"/>
      <c r="AA16" s="385"/>
      <c r="AB16" s="385"/>
      <c r="AC16" s="385"/>
      <c r="AD16" s="385"/>
      <c r="AE16" s="385"/>
      <c r="AF16" s="392"/>
      <c r="AG16" s="385"/>
    </row>
    <row r="17" spans="1:33" ht="25.5">
      <c r="A17" s="682" t="s">
        <v>846</v>
      </c>
      <c r="B17" s="402" t="s">
        <v>749</v>
      </c>
      <c r="C17" s="532"/>
      <c r="D17" s="532" t="s">
        <v>847</v>
      </c>
      <c r="E17" s="532" t="s">
        <v>848</v>
      </c>
      <c r="F17" s="390" t="s">
        <v>806</v>
      </c>
      <c r="G17" s="390" t="s">
        <v>802</v>
      </c>
      <c r="H17" s="381">
        <v>1</v>
      </c>
      <c r="I17" s="381">
        <v>5</v>
      </c>
      <c r="J17" s="381">
        <f t="shared" si="0"/>
        <v>1</v>
      </c>
      <c r="K17" s="381">
        <f t="shared" si="1"/>
        <v>5</v>
      </c>
      <c r="L17" s="644">
        <f>IFERROR(IF(B17="funkcna poziadavka",VLOOKUP(G17,MODULY_CBA!$B$3:$E$23,4,0)*H17/SUMIFS($H$3:$H$168,$G$3:$G$168,G17,$B$3:$B$168,B17),),)</f>
        <v>1</v>
      </c>
      <c r="M17" s="381">
        <f>IFERROR(IF(B17="Funkcna poziadavka",VLOOKUP(G17,MODULY_CBA!$B$3:$E$23,3,0),),)</f>
        <v>0.99499999999999988</v>
      </c>
      <c r="N17" s="381">
        <f>IFERROR(IF(B17="funkcna poziadavka",VLOOKUP(G17,MODULY_CBA!$B$3:$E$23,2,0),),)</f>
        <v>0.99</v>
      </c>
      <c r="O17" s="380">
        <f t="shared" si="3"/>
        <v>5.9102999999999986</v>
      </c>
      <c r="P17" s="379">
        <f>IFERROR(O17*VLOOKUP(G17,MODULY_CBA!$B$3:$F$23,5,0),)</f>
        <v>118.20599999999997</v>
      </c>
      <c r="Q17" s="480" t="str">
        <f>IFERROR(VLOOKUP(G17,MODULY_CBA!$B$3:$I$23,6,0),"")</f>
        <v>Inkrement 1</v>
      </c>
      <c r="R17" s="385"/>
      <c r="S17" s="385"/>
      <c r="T17" s="385"/>
      <c r="U17" s="385"/>
      <c r="V17" s="385"/>
      <c r="W17" s="385"/>
      <c r="X17" s="385"/>
      <c r="Y17" s="385"/>
      <c r="Z17" s="385"/>
      <c r="AA17" s="385"/>
      <c r="AB17" s="385"/>
      <c r="AC17" s="385"/>
      <c r="AD17" s="385"/>
      <c r="AE17" s="385"/>
      <c r="AF17" s="392"/>
      <c r="AG17" s="385"/>
    </row>
    <row r="18" spans="1:33">
      <c r="A18" s="682" t="s">
        <v>849</v>
      </c>
      <c r="B18" s="402" t="s">
        <v>749</v>
      </c>
      <c r="C18" s="532"/>
      <c r="D18" s="532" t="s">
        <v>850</v>
      </c>
      <c r="E18" s="532" t="s">
        <v>851</v>
      </c>
      <c r="F18" s="390" t="s">
        <v>806</v>
      </c>
      <c r="G18" s="390" t="s">
        <v>784</v>
      </c>
      <c r="H18" s="381">
        <v>1</v>
      </c>
      <c r="I18" s="381">
        <v>5</v>
      </c>
      <c r="J18" s="381">
        <f t="shared" si="0"/>
        <v>1</v>
      </c>
      <c r="K18" s="381">
        <f t="shared" si="1"/>
        <v>5</v>
      </c>
      <c r="L18" s="644">
        <f>IFERROR(IF(B18="funkcna poziadavka",VLOOKUP(G18,MODULY_CBA!$B$3:$E$23,4,0)*H18/SUMIFS($H$3:$H$168,$G$3:$G$168,G18,$B$3:$B$168,B18),),)</f>
        <v>0.5901639344262295</v>
      </c>
      <c r="M18" s="381">
        <f>IFERROR(IF(B18="Funkcna poziadavka",VLOOKUP(G18,MODULY_CBA!$B$3:$E$23,3,0),),)</f>
        <v>0.99499999999999988</v>
      </c>
      <c r="N18" s="381">
        <f>IFERROR(IF(B18="funkcna poziadavka",VLOOKUP(G18,MODULY_CBA!$B$3:$E$23,2,0),),)</f>
        <v>0.99</v>
      </c>
      <c r="O18" s="380">
        <f t="shared" si="3"/>
        <v>5.5065909836065563</v>
      </c>
      <c r="P18" s="379">
        <f>IFERROR(O18*VLOOKUP(G18,MODULY_CBA!$B$3:$F$23,5,0),)</f>
        <v>110.13181967213113</v>
      </c>
      <c r="Q18" s="480" t="str">
        <f>IFERROR(VLOOKUP(G18,MODULY_CBA!$B$3:$I$23,6,0),"")</f>
        <v>Inkrement 1</v>
      </c>
      <c r="R18" s="385"/>
      <c r="S18" s="385"/>
      <c r="T18" s="385"/>
      <c r="U18" s="385"/>
      <c r="V18" s="385"/>
      <c r="W18" s="385"/>
      <c r="X18" s="385"/>
      <c r="Y18" s="385"/>
      <c r="Z18" s="385"/>
      <c r="AA18" s="385"/>
      <c r="AB18" s="385"/>
      <c r="AC18" s="385"/>
      <c r="AD18" s="385"/>
      <c r="AE18" s="385"/>
      <c r="AF18" s="392"/>
      <c r="AG18" s="385"/>
    </row>
    <row r="19" spans="1:33">
      <c r="A19" s="682" t="s">
        <v>852</v>
      </c>
      <c r="B19" s="402" t="s">
        <v>749</v>
      </c>
      <c r="C19" s="532"/>
      <c r="D19" s="532" t="s">
        <v>853</v>
      </c>
      <c r="E19" s="532" t="s">
        <v>854</v>
      </c>
      <c r="F19" s="390" t="s">
        <v>806</v>
      </c>
      <c r="G19" s="390" t="s">
        <v>784</v>
      </c>
      <c r="H19" s="381">
        <v>1</v>
      </c>
      <c r="I19" s="381">
        <v>5</v>
      </c>
      <c r="J19" s="381">
        <f t="shared" si="0"/>
        <v>1</v>
      </c>
      <c r="K19" s="381">
        <f t="shared" si="1"/>
        <v>5</v>
      </c>
      <c r="L19" s="644">
        <f>IFERROR(IF(B19="funkcna poziadavka",VLOOKUP(G19,MODULY_CBA!$B$3:$E$23,4,0)*H19/SUMIFS($H$3:$H$168,$G$3:$G$168,G19,$B$3:$B$168,B19),),)</f>
        <v>0.5901639344262295</v>
      </c>
      <c r="M19" s="381">
        <f>IFERROR(IF(B19="Funkcna poziadavka",VLOOKUP(G19,MODULY_CBA!$B$3:$E$23,3,0),),)</f>
        <v>0.99499999999999988</v>
      </c>
      <c r="N19" s="381">
        <f>IFERROR(IF(B19="funkcna poziadavka",VLOOKUP(G19,MODULY_CBA!$B$3:$E$23,2,0),),)</f>
        <v>0.99</v>
      </c>
      <c r="O19" s="380">
        <f t="shared" si="3"/>
        <v>5.5065909836065563</v>
      </c>
      <c r="P19" s="379">
        <f>IFERROR(O19*VLOOKUP(G19,MODULY_CBA!$B$3:$F$23,5,0),)</f>
        <v>110.13181967213113</v>
      </c>
      <c r="Q19" s="480" t="str">
        <f>IFERROR(VLOOKUP(G19,MODULY_CBA!$B$3:$I$23,6,0),"")</f>
        <v>Inkrement 1</v>
      </c>
      <c r="R19" s="377" t="s">
        <v>168</v>
      </c>
      <c r="S19" s="377" t="s">
        <v>168</v>
      </c>
      <c r="T19" s="377" t="s">
        <v>168</v>
      </c>
      <c r="U19" s="377" t="s">
        <v>168</v>
      </c>
      <c r="V19" s="377" t="s">
        <v>168</v>
      </c>
      <c r="W19" s="377" t="s">
        <v>168</v>
      </c>
      <c r="X19" s="377" t="s">
        <v>168</v>
      </c>
      <c r="Y19" s="377" t="s">
        <v>168</v>
      </c>
      <c r="Z19" s="377" t="s">
        <v>168</v>
      </c>
      <c r="AA19" s="377" t="s">
        <v>168</v>
      </c>
      <c r="AB19" s="377" t="s">
        <v>168</v>
      </c>
      <c r="AC19" s="377" t="s">
        <v>168</v>
      </c>
      <c r="AD19" s="377" t="s">
        <v>168</v>
      </c>
      <c r="AE19" s="377" t="s">
        <v>168</v>
      </c>
      <c r="AF19" s="392"/>
      <c r="AG19" s="385"/>
    </row>
    <row r="20" spans="1:33">
      <c r="A20" s="682" t="s">
        <v>855</v>
      </c>
      <c r="B20" s="402" t="s">
        <v>749</v>
      </c>
      <c r="C20" s="532"/>
      <c r="D20" s="532" t="s">
        <v>856</v>
      </c>
      <c r="E20" s="532" t="s">
        <v>857</v>
      </c>
      <c r="F20" s="390" t="s">
        <v>806</v>
      </c>
      <c r="G20" s="390" t="s">
        <v>784</v>
      </c>
      <c r="H20" s="381">
        <v>1</v>
      </c>
      <c r="I20" s="381">
        <v>5</v>
      </c>
      <c r="J20" s="381">
        <f t="shared" si="0"/>
        <v>1</v>
      </c>
      <c r="K20" s="381">
        <f t="shared" si="1"/>
        <v>5</v>
      </c>
      <c r="L20" s="644">
        <f>IFERROR(IF(B20="funkcna poziadavka",VLOOKUP(G20,MODULY_CBA!$B$3:$E$23,4,0)*H20/SUMIFS($H$3:$H$168,$G$3:$G$168,G20,$B$3:$B$168,B20),),)</f>
        <v>0.5901639344262295</v>
      </c>
      <c r="M20" s="381">
        <f>IFERROR(IF(B20="Funkcna poziadavka",VLOOKUP(G20,MODULY_CBA!$B$3:$E$23,3,0),),)</f>
        <v>0.99499999999999988</v>
      </c>
      <c r="N20" s="381">
        <f>IFERROR(IF(B20="funkcna poziadavka",VLOOKUP(G20,MODULY_CBA!$B$3:$E$23,2,0),),)</f>
        <v>0.99</v>
      </c>
      <c r="O20" s="380">
        <f t="shared" si="3"/>
        <v>5.5065909836065563</v>
      </c>
      <c r="P20" s="379">
        <f>IFERROR(O20*VLOOKUP(G20,MODULY_CBA!$B$3:$F$23,5,0),)</f>
        <v>110.13181967213113</v>
      </c>
      <c r="Q20" s="480" t="str">
        <f>IFERROR(VLOOKUP(G20,MODULY_CBA!$B$3:$I$23,6,0),"")</f>
        <v>Inkrement 1</v>
      </c>
      <c r="R20" s="377"/>
      <c r="S20" s="377"/>
      <c r="T20" s="377"/>
      <c r="U20" s="377"/>
      <c r="V20" s="377"/>
      <c r="W20" s="377"/>
      <c r="X20" s="377"/>
      <c r="Y20" s="377"/>
      <c r="Z20" s="377"/>
      <c r="AA20" s="377"/>
      <c r="AB20" s="377"/>
      <c r="AC20" s="377"/>
      <c r="AD20" s="377"/>
      <c r="AE20" s="377"/>
      <c r="AF20" s="392"/>
      <c r="AG20" s="385"/>
    </row>
    <row r="21" spans="1:33">
      <c r="A21" s="682" t="s">
        <v>858</v>
      </c>
      <c r="B21" s="402" t="s">
        <v>749</v>
      </c>
      <c r="C21" s="532"/>
      <c r="D21" s="532" t="s">
        <v>859</v>
      </c>
      <c r="E21" s="532" t="s">
        <v>860</v>
      </c>
      <c r="F21" s="390" t="s">
        <v>806</v>
      </c>
      <c r="G21" s="390" t="s">
        <v>784</v>
      </c>
      <c r="H21" s="381">
        <v>1</v>
      </c>
      <c r="I21" s="381">
        <v>5</v>
      </c>
      <c r="J21" s="381">
        <f t="shared" si="0"/>
        <v>1</v>
      </c>
      <c r="K21" s="381">
        <f t="shared" si="1"/>
        <v>5</v>
      </c>
      <c r="L21" s="644">
        <f>IFERROR(IF(B21="funkcna poziadavka",VLOOKUP(G21,MODULY_CBA!$B$3:$E$23,4,0)*H21/SUMIFS($H$3:$H$168,$G$3:$G$168,G21,$B$3:$B$168,B21),),)</f>
        <v>0.5901639344262295</v>
      </c>
      <c r="M21" s="381">
        <f>IFERROR(IF(B21="Funkcna poziadavka",VLOOKUP(G21,MODULY_CBA!$B$3:$E$23,3,0),),)</f>
        <v>0.99499999999999988</v>
      </c>
      <c r="N21" s="381">
        <f>IFERROR(IF(B21="funkcna poziadavka",VLOOKUP(G21,MODULY_CBA!$B$3:$E$23,2,0),),)</f>
        <v>0.99</v>
      </c>
      <c r="O21" s="380">
        <f t="shared" si="3"/>
        <v>5.5065909836065563</v>
      </c>
      <c r="P21" s="379">
        <f>IFERROR(O21*VLOOKUP(G21,MODULY_CBA!$B$3:$F$23,5,0),)</f>
        <v>110.13181967213113</v>
      </c>
      <c r="Q21" s="480" t="str">
        <f>IFERROR(VLOOKUP(G21,MODULY_CBA!$B$3:$I$23,6,0),"")</f>
        <v>Inkrement 1</v>
      </c>
      <c r="R21" s="377"/>
      <c r="S21" s="377"/>
      <c r="T21" s="377"/>
      <c r="U21" s="377"/>
      <c r="V21" s="377"/>
      <c r="W21" s="377"/>
      <c r="X21" s="377"/>
      <c r="Y21" s="377"/>
      <c r="Z21" s="377"/>
      <c r="AA21" s="377"/>
      <c r="AB21" s="377"/>
      <c r="AC21" s="377"/>
      <c r="AD21" s="377"/>
      <c r="AE21" s="377"/>
      <c r="AF21" s="392"/>
      <c r="AG21" s="385"/>
    </row>
    <row r="22" spans="1:33">
      <c r="A22" s="682" t="s">
        <v>861</v>
      </c>
      <c r="B22" s="402" t="s">
        <v>749</v>
      </c>
      <c r="C22" s="532"/>
      <c r="D22" s="532" t="s">
        <v>862</v>
      </c>
      <c r="E22" s="532" t="s">
        <v>863</v>
      </c>
      <c r="F22" s="390" t="s">
        <v>806</v>
      </c>
      <c r="G22" s="390" t="s">
        <v>784</v>
      </c>
      <c r="H22" s="381">
        <v>1</v>
      </c>
      <c r="I22" s="381">
        <v>5</v>
      </c>
      <c r="J22" s="381">
        <f t="shared" si="0"/>
        <v>1</v>
      </c>
      <c r="K22" s="381">
        <f t="shared" si="1"/>
        <v>5</v>
      </c>
      <c r="L22" s="644">
        <f>IFERROR(IF(B22="funkcna poziadavka",VLOOKUP(G22,MODULY_CBA!$B$3:$E$23,4,0)*H22/SUMIFS($H$3:$H$168,$G$3:$G$168,G22,$B$3:$B$168,B22),),)</f>
        <v>0.5901639344262295</v>
      </c>
      <c r="M22" s="381">
        <f>IFERROR(IF(B22="Funkcna poziadavka",VLOOKUP(G22,MODULY_CBA!$B$3:$E$23,3,0),),)</f>
        <v>0.99499999999999988</v>
      </c>
      <c r="N22" s="381">
        <f>IFERROR(IF(B22="funkcna poziadavka",VLOOKUP(G22,MODULY_CBA!$B$3:$E$23,2,0),),)</f>
        <v>0.99</v>
      </c>
      <c r="O22" s="380">
        <f t="shared" si="3"/>
        <v>5.5065909836065563</v>
      </c>
      <c r="P22" s="379">
        <f>IFERROR(O22*VLOOKUP(G22,MODULY_CBA!$B$3:$F$23,5,0),)</f>
        <v>110.13181967213113</v>
      </c>
      <c r="Q22" s="480" t="str">
        <f>IFERROR(VLOOKUP(G22,MODULY_CBA!$B$3:$I$23,6,0),"")</f>
        <v>Inkrement 1</v>
      </c>
      <c r="R22" s="377"/>
      <c r="S22" s="377"/>
      <c r="T22" s="377"/>
      <c r="U22" s="377"/>
      <c r="V22" s="377"/>
      <c r="W22" s="377"/>
      <c r="X22" s="377"/>
      <c r="Y22" s="377"/>
      <c r="Z22" s="377"/>
      <c r="AA22" s="377"/>
      <c r="AB22" s="377"/>
      <c r="AC22" s="377"/>
      <c r="AD22" s="377"/>
      <c r="AE22" s="377"/>
      <c r="AF22" s="392"/>
      <c r="AG22" s="385"/>
    </row>
    <row r="23" spans="1:33">
      <c r="A23" s="682" t="s">
        <v>864</v>
      </c>
      <c r="B23" s="402" t="s">
        <v>749</v>
      </c>
      <c r="C23" s="532"/>
      <c r="D23" s="532" t="s">
        <v>865</v>
      </c>
      <c r="E23" s="532" t="s">
        <v>866</v>
      </c>
      <c r="F23" s="390" t="s">
        <v>806</v>
      </c>
      <c r="G23" s="390" t="s">
        <v>784</v>
      </c>
      <c r="H23" s="381">
        <v>1</v>
      </c>
      <c r="I23" s="381">
        <v>5</v>
      </c>
      <c r="J23" s="381">
        <f t="shared" si="0"/>
        <v>1</v>
      </c>
      <c r="K23" s="381">
        <f t="shared" si="1"/>
        <v>5</v>
      </c>
      <c r="L23" s="644">
        <f>IFERROR(IF(B23="funkcna poziadavka",VLOOKUP(G23,MODULY_CBA!$B$3:$E$23,4,0)*H23/SUMIFS($H$3:$H$168,$G$3:$G$168,G23,$B$3:$B$168,B23),),)</f>
        <v>0.5901639344262295</v>
      </c>
      <c r="M23" s="381">
        <f>IFERROR(IF(B23="Funkcna poziadavka",VLOOKUP(G23,MODULY_CBA!$B$3:$E$23,3,0),),)</f>
        <v>0.99499999999999988</v>
      </c>
      <c r="N23" s="381">
        <f>IFERROR(IF(B23="funkcna poziadavka",VLOOKUP(G23,MODULY_CBA!$B$3:$E$23,2,0),),)</f>
        <v>0.99</v>
      </c>
      <c r="O23" s="380">
        <f t="shared" si="3"/>
        <v>5.5065909836065563</v>
      </c>
      <c r="P23" s="379">
        <f>IFERROR(O23*VLOOKUP(G23,MODULY_CBA!$B$3:$F$23,5,0),)</f>
        <v>110.13181967213113</v>
      </c>
      <c r="Q23" s="480" t="str">
        <f>IFERROR(VLOOKUP(G23,MODULY_CBA!$B$3:$I$23,6,0),"")</f>
        <v>Inkrement 1</v>
      </c>
      <c r="R23" s="377"/>
      <c r="S23" s="377"/>
      <c r="T23" s="377"/>
      <c r="U23" s="377"/>
      <c r="V23" s="377"/>
      <c r="W23" s="377"/>
      <c r="X23" s="377"/>
      <c r="Y23" s="377"/>
      <c r="Z23" s="377"/>
      <c r="AA23" s="377"/>
      <c r="AB23" s="377"/>
      <c r="AC23" s="377"/>
      <c r="AD23" s="377"/>
      <c r="AE23" s="377"/>
      <c r="AF23" s="392"/>
      <c r="AG23" s="385"/>
    </row>
    <row r="24" spans="1:33" ht="25.5">
      <c r="A24" s="682" t="s">
        <v>867</v>
      </c>
      <c r="B24" s="402" t="s">
        <v>749</v>
      </c>
      <c r="C24" s="532"/>
      <c r="D24" s="532" t="s">
        <v>868</v>
      </c>
      <c r="E24" s="532" t="s">
        <v>869</v>
      </c>
      <c r="F24" s="390" t="s">
        <v>806</v>
      </c>
      <c r="G24" s="390" t="s">
        <v>784</v>
      </c>
      <c r="H24" s="381">
        <v>1</v>
      </c>
      <c r="I24" s="381">
        <v>5</v>
      </c>
      <c r="J24" s="381">
        <f t="shared" si="0"/>
        <v>1</v>
      </c>
      <c r="K24" s="381">
        <f t="shared" si="1"/>
        <v>5</v>
      </c>
      <c r="L24" s="644">
        <f>IFERROR(IF(B24="funkcna poziadavka",VLOOKUP(G24,MODULY_CBA!$B$3:$E$23,4,0)*H24/SUMIFS($H$3:$H$168,$G$3:$G$168,G24,$B$3:$B$168,B24),),)</f>
        <v>0.5901639344262295</v>
      </c>
      <c r="M24" s="381">
        <f>IFERROR(IF(B24="Funkcna poziadavka",VLOOKUP(G24,MODULY_CBA!$B$3:$E$23,3,0),),)</f>
        <v>0.99499999999999988</v>
      </c>
      <c r="N24" s="381">
        <f>IFERROR(IF(B24="funkcna poziadavka",VLOOKUP(G24,MODULY_CBA!$B$3:$E$23,2,0),),)</f>
        <v>0.99</v>
      </c>
      <c r="O24" s="380">
        <f t="shared" si="3"/>
        <v>5.5065909836065563</v>
      </c>
      <c r="P24" s="379">
        <f>IFERROR(O24*VLOOKUP(G24,MODULY_CBA!$B$3:$F$23,5,0),)</f>
        <v>110.13181967213113</v>
      </c>
      <c r="Q24" s="480" t="str">
        <f>IFERROR(VLOOKUP(G24,MODULY_CBA!$B$3:$I$23,6,0),"")</f>
        <v>Inkrement 1</v>
      </c>
      <c r="R24" s="377" t="s">
        <v>168</v>
      </c>
      <c r="S24" s="377" t="s">
        <v>168</v>
      </c>
      <c r="T24" s="377" t="s">
        <v>168</v>
      </c>
      <c r="U24" s="377" t="s">
        <v>168</v>
      </c>
      <c r="V24" s="377" t="s">
        <v>168</v>
      </c>
      <c r="W24" s="377" t="s">
        <v>168</v>
      </c>
      <c r="X24" s="377" t="s">
        <v>168</v>
      </c>
      <c r="Y24" s="377" t="s">
        <v>168</v>
      </c>
      <c r="Z24" s="377" t="s">
        <v>168</v>
      </c>
      <c r="AA24" s="377" t="s">
        <v>168</v>
      </c>
      <c r="AB24" s="377" t="s">
        <v>168</v>
      </c>
      <c r="AC24" s="377" t="s">
        <v>168</v>
      </c>
      <c r="AD24" s="377" t="s">
        <v>168</v>
      </c>
      <c r="AE24" s="377" t="s">
        <v>168</v>
      </c>
      <c r="AF24" s="392"/>
      <c r="AG24" s="385"/>
    </row>
    <row r="25" spans="1:33" ht="25.5">
      <c r="A25" s="682" t="s">
        <v>870</v>
      </c>
      <c r="B25" s="402" t="s">
        <v>749</v>
      </c>
      <c r="C25" s="532"/>
      <c r="D25" s="532" t="s">
        <v>871</v>
      </c>
      <c r="E25" s="532" t="s">
        <v>872</v>
      </c>
      <c r="F25" s="390" t="s">
        <v>806</v>
      </c>
      <c r="G25" s="390" t="s">
        <v>784</v>
      </c>
      <c r="H25" s="381">
        <v>1</v>
      </c>
      <c r="I25" s="381">
        <v>5</v>
      </c>
      <c r="J25" s="381">
        <f t="shared" si="0"/>
        <v>1</v>
      </c>
      <c r="K25" s="381">
        <f t="shared" si="1"/>
        <v>5</v>
      </c>
      <c r="L25" s="644">
        <f>IFERROR(IF(B25="funkcna poziadavka",VLOOKUP(G25,MODULY_CBA!$B$3:$E$23,4,0)*H25/SUMIFS($H$3:$H$168,$G$3:$G$168,G25,$B$3:$B$168,B25),),)</f>
        <v>0.5901639344262295</v>
      </c>
      <c r="M25" s="381">
        <f>IFERROR(IF(B25="Funkcna poziadavka",VLOOKUP(G25,MODULY_CBA!$B$3:$E$23,3,0),),)</f>
        <v>0.99499999999999988</v>
      </c>
      <c r="N25" s="381">
        <f>IFERROR(IF(B25="funkcna poziadavka",VLOOKUP(G25,MODULY_CBA!$B$3:$E$23,2,0),),)</f>
        <v>0.99</v>
      </c>
      <c r="O25" s="380">
        <f t="shared" si="3"/>
        <v>5.5065909836065563</v>
      </c>
      <c r="P25" s="379">
        <f>IFERROR(O25*VLOOKUP(G25,MODULY_CBA!$B$3:$F$23,5,0),)</f>
        <v>110.13181967213113</v>
      </c>
      <c r="Q25" s="480" t="str">
        <f>IFERROR(VLOOKUP(G25,MODULY_CBA!$B$3:$I$23,6,0),"")</f>
        <v>Inkrement 1</v>
      </c>
      <c r="R25" s="377" t="s">
        <v>168</v>
      </c>
      <c r="S25" s="377" t="s">
        <v>168</v>
      </c>
      <c r="T25" s="377" t="s">
        <v>168</v>
      </c>
      <c r="U25" s="377" t="s">
        <v>168</v>
      </c>
      <c r="V25" s="377" t="s">
        <v>168</v>
      </c>
      <c r="W25" s="377" t="s">
        <v>168</v>
      </c>
      <c r="X25" s="377" t="s">
        <v>168</v>
      </c>
      <c r="Y25" s="377" t="s">
        <v>168</v>
      </c>
      <c r="Z25" s="377" t="s">
        <v>168</v>
      </c>
      <c r="AA25" s="377" t="s">
        <v>168</v>
      </c>
      <c r="AB25" s="377" t="s">
        <v>168</v>
      </c>
      <c r="AC25" s="377" t="s">
        <v>168</v>
      </c>
      <c r="AD25" s="377" t="s">
        <v>168</v>
      </c>
      <c r="AE25" s="377" t="s">
        <v>168</v>
      </c>
      <c r="AF25" s="393"/>
      <c r="AG25" s="384"/>
    </row>
    <row r="26" spans="1:33">
      <c r="A26" s="682" t="s">
        <v>873</v>
      </c>
      <c r="B26" s="402" t="s">
        <v>749</v>
      </c>
      <c r="C26" s="532"/>
      <c r="D26" s="532" t="s">
        <v>874</v>
      </c>
      <c r="E26" s="532" t="s">
        <v>875</v>
      </c>
      <c r="F26" s="390" t="s">
        <v>806</v>
      </c>
      <c r="G26" s="390" t="s">
        <v>784</v>
      </c>
      <c r="H26" s="381">
        <v>1</v>
      </c>
      <c r="I26" s="381">
        <v>5</v>
      </c>
      <c r="J26" s="381">
        <f t="shared" si="0"/>
        <v>1</v>
      </c>
      <c r="K26" s="381">
        <f t="shared" si="1"/>
        <v>5</v>
      </c>
      <c r="L26" s="644">
        <f>IFERROR(IF(B26="funkcna poziadavka",VLOOKUP(G26,MODULY_CBA!$B$3:$E$23,4,0)*H26/SUMIFS($H$3:$H$168,$G$3:$G$168,G26,$B$3:$B$168,B26),),)</f>
        <v>0.5901639344262295</v>
      </c>
      <c r="M26" s="381">
        <f>IFERROR(IF(B26="Funkcna poziadavka",VLOOKUP(G26,MODULY_CBA!$B$3:$E$23,3,0),),)</f>
        <v>0.99499999999999988</v>
      </c>
      <c r="N26" s="381">
        <f>IFERROR(IF(B26="funkcna poziadavka",VLOOKUP(G26,MODULY_CBA!$B$3:$E$23,2,0),),)</f>
        <v>0.99</v>
      </c>
      <c r="O26" s="380">
        <f t="shared" si="3"/>
        <v>5.5065909836065563</v>
      </c>
      <c r="P26" s="379">
        <f>IFERROR(O26*VLOOKUP(G26,MODULY_CBA!$B$3:$F$23,5,0),)</f>
        <v>110.13181967213113</v>
      </c>
      <c r="Q26" s="480" t="str">
        <f>IFERROR(VLOOKUP(G26,MODULY_CBA!$B$3:$I$23,6,0),"")</f>
        <v>Inkrement 1</v>
      </c>
      <c r="R26" s="377"/>
      <c r="S26" s="377"/>
      <c r="T26" s="377"/>
      <c r="U26" s="377"/>
      <c r="V26" s="377"/>
      <c r="W26" s="377"/>
      <c r="X26" s="377"/>
      <c r="Y26" s="377"/>
      <c r="Z26" s="377"/>
      <c r="AA26" s="377"/>
      <c r="AB26" s="377"/>
      <c r="AC26" s="377"/>
      <c r="AD26" s="377"/>
      <c r="AE26" s="377"/>
      <c r="AF26" s="392"/>
      <c r="AG26" s="385"/>
    </row>
    <row r="27" spans="1:33" ht="25.5">
      <c r="A27" s="682" t="s">
        <v>876</v>
      </c>
      <c r="B27" s="402" t="s">
        <v>749</v>
      </c>
      <c r="C27" s="532"/>
      <c r="D27" s="532" t="s">
        <v>877</v>
      </c>
      <c r="E27" s="532" t="s">
        <v>878</v>
      </c>
      <c r="F27" s="390" t="s">
        <v>806</v>
      </c>
      <c r="G27" s="390" t="s">
        <v>784</v>
      </c>
      <c r="H27" s="381">
        <v>1</v>
      </c>
      <c r="I27" s="381">
        <v>5</v>
      </c>
      <c r="J27" s="381">
        <f t="shared" si="0"/>
        <v>1</v>
      </c>
      <c r="K27" s="381">
        <f t="shared" si="1"/>
        <v>5</v>
      </c>
      <c r="L27" s="644">
        <f>IFERROR(IF(B27="funkcna poziadavka",VLOOKUP(G27,MODULY_CBA!$B$3:$E$23,4,0)*H27/SUMIFS($H$3:$H$168,$G$3:$G$168,G27,$B$3:$B$168,B27),),)</f>
        <v>0.5901639344262295</v>
      </c>
      <c r="M27" s="381">
        <f>IFERROR(IF(B27="Funkcna poziadavka",VLOOKUP(G27,MODULY_CBA!$B$3:$E$23,3,0),),)</f>
        <v>0.99499999999999988</v>
      </c>
      <c r="N27" s="381">
        <f>IFERROR(IF(B27="funkcna poziadavka",VLOOKUP(G27,MODULY_CBA!$B$3:$E$23,2,0),),)</f>
        <v>0.99</v>
      </c>
      <c r="O27" s="380">
        <f t="shared" si="3"/>
        <v>5.5065909836065563</v>
      </c>
      <c r="P27" s="379">
        <f>IFERROR(O27*VLOOKUP(G27,MODULY_CBA!$B$3:$F$23,5,0),)</f>
        <v>110.13181967213113</v>
      </c>
      <c r="Q27" s="480" t="str">
        <f>IFERROR(VLOOKUP(G27,MODULY_CBA!$B$3:$I$23,6,0),"")</f>
        <v>Inkrement 1</v>
      </c>
      <c r="R27" s="377" t="s">
        <v>168</v>
      </c>
      <c r="S27" s="377" t="s">
        <v>168</v>
      </c>
      <c r="T27" s="377" t="s">
        <v>168</v>
      </c>
      <c r="U27" s="377" t="s">
        <v>168</v>
      </c>
      <c r="V27" s="377" t="s">
        <v>168</v>
      </c>
      <c r="W27" s="377" t="s">
        <v>168</v>
      </c>
      <c r="X27" s="377" t="s">
        <v>168</v>
      </c>
      <c r="Y27" s="377" t="s">
        <v>168</v>
      </c>
      <c r="Z27" s="377" t="s">
        <v>168</v>
      </c>
      <c r="AA27" s="377" t="s">
        <v>168</v>
      </c>
      <c r="AB27" s="377" t="s">
        <v>168</v>
      </c>
      <c r="AC27" s="377" t="s">
        <v>168</v>
      </c>
      <c r="AD27" s="377" t="s">
        <v>168</v>
      </c>
      <c r="AE27" s="377" t="s">
        <v>168</v>
      </c>
      <c r="AF27" s="392"/>
      <c r="AG27" s="385"/>
    </row>
    <row r="28" spans="1:33" ht="25.5">
      <c r="A28" s="682" t="s">
        <v>879</v>
      </c>
      <c r="B28" s="402" t="s">
        <v>749</v>
      </c>
      <c r="C28" s="532"/>
      <c r="D28" s="532" t="s">
        <v>880</v>
      </c>
      <c r="E28" s="532" t="s">
        <v>881</v>
      </c>
      <c r="F28" s="390" t="s">
        <v>806</v>
      </c>
      <c r="G28" s="390" t="s">
        <v>784</v>
      </c>
      <c r="H28" s="381">
        <v>1</v>
      </c>
      <c r="I28" s="381">
        <v>5</v>
      </c>
      <c r="J28" s="381">
        <f t="shared" si="0"/>
        <v>1</v>
      </c>
      <c r="K28" s="381">
        <f t="shared" si="1"/>
        <v>5</v>
      </c>
      <c r="L28" s="644">
        <f>IFERROR(IF(B28="funkcna poziadavka",VLOOKUP(G28,MODULY_CBA!$B$3:$E$23,4,0)*H28/SUMIFS($H$3:$H$168,$G$3:$G$168,G28,$B$3:$B$168,B28),),)</f>
        <v>0.5901639344262295</v>
      </c>
      <c r="M28" s="381">
        <f>IFERROR(IF(B28="Funkcna poziadavka",VLOOKUP(G28,MODULY_CBA!$B$3:$E$23,3,0),),)</f>
        <v>0.99499999999999988</v>
      </c>
      <c r="N28" s="381">
        <f>IFERROR(IF(B28="funkcna poziadavka",VLOOKUP(G28,MODULY_CBA!$B$3:$E$23,2,0),),)</f>
        <v>0.99</v>
      </c>
      <c r="O28" s="380">
        <f t="shared" si="3"/>
        <v>5.5065909836065563</v>
      </c>
      <c r="P28" s="379">
        <f>IFERROR(O28*VLOOKUP(G28,MODULY_CBA!$B$3:$F$23,5,0),)</f>
        <v>110.13181967213113</v>
      </c>
      <c r="Q28" s="480" t="str">
        <f>IFERROR(VLOOKUP(G28,MODULY_CBA!$B$3:$I$23,6,0),"")</f>
        <v>Inkrement 1</v>
      </c>
      <c r="R28" s="383" t="s">
        <v>168</v>
      </c>
      <c r="S28" s="383" t="s">
        <v>168</v>
      </c>
      <c r="T28" s="383" t="s">
        <v>168</v>
      </c>
      <c r="U28" s="383" t="s">
        <v>168</v>
      </c>
      <c r="V28" s="383" t="s">
        <v>168</v>
      </c>
      <c r="W28" s="383" t="s">
        <v>168</v>
      </c>
      <c r="X28" s="383" t="s">
        <v>168</v>
      </c>
      <c r="Y28" s="383" t="s">
        <v>168</v>
      </c>
      <c r="Z28" s="383" t="s">
        <v>168</v>
      </c>
      <c r="AA28" s="383" t="s">
        <v>168</v>
      </c>
      <c r="AB28" s="383" t="s">
        <v>168</v>
      </c>
      <c r="AC28" s="383" t="s">
        <v>168</v>
      </c>
      <c r="AD28" s="383" t="s">
        <v>168</v>
      </c>
      <c r="AE28" s="383" t="s">
        <v>168</v>
      </c>
      <c r="AF28" s="392"/>
      <c r="AG28" s="385"/>
    </row>
    <row r="29" spans="1:33" ht="25.5">
      <c r="A29" s="682" t="s">
        <v>882</v>
      </c>
      <c r="B29" s="402" t="s">
        <v>749</v>
      </c>
      <c r="C29" s="532"/>
      <c r="D29" s="532" t="s">
        <v>883</v>
      </c>
      <c r="E29" s="532" t="s">
        <v>884</v>
      </c>
      <c r="F29" s="390" t="s">
        <v>806</v>
      </c>
      <c r="G29" s="390" t="s">
        <v>784</v>
      </c>
      <c r="H29" s="381">
        <v>1</v>
      </c>
      <c r="I29" s="381">
        <v>5</v>
      </c>
      <c r="J29" s="381">
        <f t="shared" si="0"/>
        <v>1</v>
      </c>
      <c r="K29" s="381">
        <f t="shared" si="1"/>
        <v>5</v>
      </c>
      <c r="L29" s="644">
        <f>IFERROR(IF(B29="funkcna poziadavka",VLOOKUP(G29,MODULY_CBA!$B$3:$E$23,4,0)*H29/SUMIFS($H$3:$H$168,$G$3:$G$168,G29,$B$3:$B$168,B29),),)</f>
        <v>0.5901639344262295</v>
      </c>
      <c r="M29" s="381">
        <f>IFERROR(IF(B29="Funkcna poziadavka",VLOOKUP(G29,MODULY_CBA!$B$3:$E$23,3,0),),)</f>
        <v>0.99499999999999988</v>
      </c>
      <c r="N29" s="381">
        <f>IFERROR(IF(B29="funkcna poziadavka",VLOOKUP(G29,MODULY_CBA!$B$3:$E$23,2,0),),)</f>
        <v>0.99</v>
      </c>
      <c r="O29" s="380">
        <f t="shared" si="3"/>
        <v>5.5065909836065563</v>
      </c>
      <c r="P29" s="379">
        <f>IFERROR(O29*VLOOKUP(G29,MODULY_CBA!$B$3:$F$23,5,0),)</f>
        <v>110.13181967213113</v>
      </c>
      <c r="Q29" s="480" t="str">
        <f>IFERROR(VLOOKUP(G29,MODULY_CBA!$B$3:$I$23,6,0),"")</f>
        <v>Inkrement 1</v>
      </c>
      <c r="R29" s="377"/>
      <c r="S29" s="377"/>
      <c r="T29" s="377"/>
      <c r="U29" s="377"/>
      <c r="V29" s="377"/>
      <c r="W29" s="377"/>
      <c r="X29" s="377"/>
      <c r="Y29" s="377"/>
      <c r="Z29" s="377"/>
      <c r="AA29" s="377"/>
      <c r="AB29" s="377"/>
      <c r="AC29" s="377"/>
      <c r="AD29" s="377"/>
      <c r="AE29" s="377"/>
      <c r="AF29" s="392"/>
      <c r="AG29" s="385"/>
    </row>
    <row r="30" spans="1:33" ht="25.5">
      <c r="A30" s="682" t="s">
        <v>885</v>
      </c>
      <c r="B30" s="402" t="s">
        <v>749</v>
      </c>
      <c r="C30" s="532"/>
      <c r="D30" s="532" t="s">
        <v>886</v>
      </c>
      <c r="E30" s="532" t="s">
        <v>887</v>
      </c>
      <c r="F30" s="390" t="s">
        <v>806</v>
      </c>
      <c r="G30" s="390" t="s">
        <v>784</v>
      </c>
      <c r="H30" s="381">
        <v>1</v>
      </c>
      <c r="I30" s="381">
        <v>5</v>
      </c>
      <c r="J30" s="381">
        <f t="shared" si="0"/>
        <v>1</v>
      </c>
      <c r="K30" s="381">
        <f t="shared" si="1"/>
        <v>5</v>
      </c>
      <c r="L30" s="644">
        <f>IFERROR(IF(B30="funkcna poziadavka",VLOOKUP(G30,MODULY_CBA!$B$3:$E$23,4,0)*H30/SUMIFS($H$3:$H$168,$G$3:$G$168,G30,$B$3:$B$168,B30),),)</f>
        <v>0.5901639344262295</v>
      </c>
      <c r="M30" s="381">
        <f>IFERROR(IF(B30="Funkcna poziadavka",VLOOKUP(G30,MODULY_CBA!$B$3:$E$23,3,0),),)</f>
        <v>0.99499999999999988</v>
      </c>
      <c r="N30" s="381">
        <f>IFERROR(IF(B30="funkcna poziadavka",VLOOKUP(G30,MODULY_CBA!$B$3:$E$23,2,0),),)</f>
        <v>0.99</v>
      </c>
      <c r="O30" s="380">
        <f t="shared" si="3"/>
        <v>5.5065909836065563</v>
      </c>
      <c r="P30" s="379">
        <f>IFERROR(O30*VLOOKUP(G30,MODULY_CBA!$B$3:$F$23,5,0),)</f>
        <v>110.13181967213113</v>
      </c>
      <c r="Q30" s="480" t="str">
        <f>IFERROR(VLOOKUP(G30,MODULY_CBA!$B$3:$I$23,6,0),"")</f>
        <v>Inkrement 1</v>
      </c>
      <c r="R30" s="377"/>
      <c r="S30" s="377"/>
      <c r="T30" s="377"/>
      <c r="U30" s="377"/>
      <c r="V30" s="377"/>
      <c r="W30" s="377"/>
      <c r="X30" s="377"/>
      <c r="Y30" s="377"/>
      <c r="Z30" s="377"/>
      <c r="AA30" s="377"/>
      <c r="AB30" s="377"/>
      <c r="AC30" s="377"/>
      <c r="AD30" s="377"/>
      <c r="AE30" s="377"/>
      <c r="AF30" s="392"/>
      <c r="AG30" s="385"/>
    </row>
    <row r="31" spans="1:33" ht="38.25">
      <c r="A31" s="682" t="s">
        <v>888</v>
      </c>
      <c r="B31" s="402" t="s">
        <v>749</v>
      </c>
      <c r="C31" s="532"/>
      <c r="D31" s="532" t="s">
        <v>889</v>
      </c>
      <c r="E31" s="532" t="s">
        <v>890</v>
      </c>
      <c r="F31" s="390" t="s">
        <v>806</v>
      </c>
      <c r="G31" s="390" t="s">
        <v>793</v>
      </c>
      <c r="H31" s="381">
        <v>1</v>
      </c>
      <c r="I31" s="381">
        <v>10</v>
      </c>
      <c r="J31" s="381">
        <f t="shared" si="0"/>
        <v>1</v>
      </c>
      <c r="K31" s="381">
        <f t="shared" si="1"/>
        <v>10</v>
      </c>
      <c r="L31" s="644">
        <f>IFERROR(IF(B31="funkcna poziadavka",VLOOKUP(G31,MODULY_CBA!$B$3:$E$23,4,0)*H31/SUMIFS($H$3:$H$168,$G$3:$G$168,G31,$B$3:$B$168,B31),),)</f>
        <v>1.263157894736842</v>
      </c>
      <c r="M31" s="381">
        <f>IFERROR(IF(B31="Funkcna poziadavka",VLOOKUP(G31,MODULY_CBA!$B$3:$E$23,3,0),),)</f>
        <v>0.99499999999999988</v>
      </c>
      <c r="N31" s="381">
        <f>IFERROR(IF(B31="funkcna poziadavka",VLOOKUP(G31,MODULY_CBA!$B$3:$E$23,2,0),),)</f>
        <v>0.99</v>
      </c>
      <c r="O31" s="380">
        <f t="shared" si="3"/>
        <v>11.094773684210525</v>
      </c>
      <c r="P31" s="379">
        <f>IFERROR(O31*VLOOKUP(G31,MODULY_CBA!$B$3:$F$23,5,0),)</f>
        <v>221.89547368421049</v>
      </c>
      <c r="Q31" s="480" t="str">
        <f>IFERROR(VLOOKUP(G31,MODULY_CBA!$B$3:$I$23,6,0),"")</f>
        <v>Inkrement 1</v>
      </c>
      <c r="R31" s="377"/>
      <c r="S31" s="377"/>
      <c r="T31" s="377"/>
      <c r="U31" s="377"/>
      <c r="V31" s="377"/>
      <c r="W31" s="377"/>
      <c r="X31" s="377"/>
      <c r="Y31" s="377"/>
      <c r="Z31" s="377"/>
      <c r="AA31" s="377"/>
      <c r="AB31" s="377"/>
      <c r="AC31" s="377"/>
      <c r="AD31" s="377"/>
      <c r="AE31" s="377"/>
      <c r="AF31" s="392"/>
      <c r="AG31" s="385"/>
    </row>
    <row r="32" spans="1:33" ht="38.25">
      <c r="A32" s="682" t="s">
        <v>891</v>
      </c>
      <c r="B32" s="402" t="s">
        <v>749</v>
      </c>
      <c r="C32" s="532"/>
      <c r="D32" s="532" t="s">
        <v>892</v>
      </c>
      <c r="E32" s="532" t="s">
        <v>893</v>
      </c>
      <c r="F32" s="390" t="s">
        <v>806</v>
      </c>
      <c r="G32" s="390" t="s">
        <v>793</v>
      </c>
      <c r="H32" s="381">
        <v>1</v>
      </c>
      <c r="I32" s="381">
        <v>5</v>
      </c>
      <c r="J32" s="381">
        <f t="shared" si="0"/>
        <v>1</v>
      </c>
      <c r="K32" s="381">
        <f t="shared" si="1"/>
        <v>5</v>
      </c>
      <c r="L32" s="644">
        <f>IFERROR(IF(B32="funkcna poziadavka",VLOOKUP(G32,MODULY_CBA!$B$3:$E$23,4,0)*H32/SUMIFS($H$3:$H$168,$G$3:$G$168,G32,$B$3:$B$168,B32),),)</f>
        <v>1.263157894736842</v>
      </c>
      <c r="M32" s="381">
        <f>IFERROR(IF(B32="Funkcna poziadavka",VLOOKUP(G32,MODULY_CBA!$B$3:$E$23,3,0),),)</f>
        <v>0.99499999999999988</v>
      </c>
      <c r="N32" s="381">
        <f>IFERROR(IF(B32="funkcna poziadavka",VLOOKUP(G32,MODULY_CBA!$B$3:$E$23,2,0),),)</f>
        <v>0.99</v>
      </c>
      <c r="O32" s="380">
        <f t="shared" si="3"/>
        <v>6.1695236842105263</v>
      </c>
      <c r="P32" s="379">
        <f>IFERROR(O32*VLOOKUP(G32,MODULY_CBA!$B$3:$F$23,5,0),)</f>
        <v>123.39047368421052</v>
      </c>
      <c r="Q32" s="480" t="str">
        <f>IFERROR(VLOOKUP(G32,MODULY_CBA!$B$3:$I$23,6,0),"")</f>
        <v>Inkrement 1</v>
      </c>
      <c r="R32" s="377"/>
      <c r="S32" s="377"/>
      <c r="T32" s="377"/>
      <c r="U32" s="377"/>
      <c r="V32" s="377"/>
      <c r="W32" s="377"/>
      <c r="X32" s="377"/>
      <c r="Y32" s="377"/>
      <c r="Z32" s="377"/>
      <c r="AA32" s="377"/>
      <c r="AB32" s="377"/>
      <c r="AC32" s="377"/>
      <c r="AD32" s="377"/>
      <c r="AE32" s="377"/>
      <c r="AF32" s="392"/>
      <c r="AG32" s="385"/>
    </row>
    <row r="33" spans="1:33" ht="38.25">
      <c r="A33" s="682" t="s">
        <v>894</v>
      </c>
      <c r="B33" s="402" t="s">
        <v>749</v>
      </c>
      <c r="C33" s="532"/>
      <c r="D33" s="532" t="s">
        <v>895</v>
      </c>
      <c r="E33" s="532" t="s">
        <v>896</v>
      </c>
      <c r="F33" s="390" t="s">
        <v>806</v>
      </c>
      <c r="G33" s="390" t="s">
        <v>793</v>
      </c>
      <c r="H33" s="381">
        <v>1</v>
      </c>
      <c r="I33" s="381">
        <v>5</v>
      </c>
      <c r="J33" s="381">
        <f t="shared" si="0"/>
        <v>1</v>
      </c>
      <c r="K33" s="381">
        <f t="shared" si="1"/>
        <v>5</v>
      </c>
      <c r="L33" s="644">
        <f>IFERROR(IF(B33="funkcna poziadavka",VLOOKUP(G33,MODULY_CBA!$B$3:$E$23,4,0)*H33/SUMIFS($H$3:$H$168,$G$3:$G$168,G33,$B$3:$B$168,B33),),)</f>
        <v>1.263157894736842</v>
      </c>
      <c r="M33" s="381">
        <f>IFERROR(IF(B33="Funkcna poziadavka",VLOOKUP(G33,MODULY_CBA!$B$3:$E$23,3,0),),)</f>
        <v>0.99499999999999988</v>
      </c>
      <c r="N33" s="381">
        <f>IFERROR(IF(B33="funkcna poziadavka",VLOOKUP(G33,MODULY_CBA!$B$3:$E$23,2,0),),)</f>
        <v>0.99</v>
      </c>
      <c r="O33" s="380">
        <f t="shared" si="3"/>
        <v>6.1695236842105263</v>
      </c>
      <c r="P33" s="379">
        <f>IFERROR(O33*VLOOKUP(G33,MODULY_CBA!$B$3:$F$23,5,0),)</f>
        <v>123.39047368421052</v>
      </c>
      <c r="Q33" s="480" t="str">
        <f>IFERROR(VLOOKUP(G33,MODULY_CBA!$B$3:$I$23,6,0),"")</f>
        <v>Inkrement 1</v>
      </c>
      <c r="R33" s="377"/>
      <c r="S33" s="377"/>
      <c r="T33" s="377"/>
      <c r="U33" s="377"/>
      <c r="V33" s="377"/>
      <c r="W33" s="377"/>
      <c r="X33" s="377"/>
      <c r="Y33" s="377"/>
      <c r="Z33" s="377"/>
      <c r="AA33" s="377"/>
      <c r="AB33" s="377"/>
      <c r="AC33" s="377"/>
      <c r="AD33" s="377"/>
      <c r="AE33" s="377"/>
      <c r="AF33" s="392"/>
      <c r="AG33" s="385"/>
    </row>
    <row r="34" spans="1:33" ht="38.25">
      <c r="A34" s="682" t="s">
        <v>897</v>
      </c>
      <c r="B34" s="402" t="s">
        <v>749</v>
      </c>
      <c r="C34" s="532"/>
      <c r="D34" s="532" t="s">
        <v>898</v>
      </c>
      <c r="E34" s="532" t="s">
        <v>899</v>
      </c>
      <c r="F34" s="390" t="s">
        <v>806</v>
      </c>
      <c r="G34" s="390" t="s">
        <v>793</v>
      </c>
      <c r="H34" s="381">
        <v>1</v>
      </c>
      <c r="I34" s="381">
        <v>5</v>
      </c>
      <c r="J34" s="381">
        <f t="shared" si="0"/>
        <v>1</v>
      </c>
      <c r="K34" s="381">
        <f t="shared" si="1"/>
        <v>5</v>
      </c>
      <c r="L34" s="644">
        <f>IFERROR(IF(B34="funkcna poziadavka",VLOOKUP(G34,MODULY_CBA!$B$3:$E$23,4,0)*H34/SUMIFS($H$3:$H$168,$G$3:$G$168,G34,$B$3:$B$168,B34),),)</f>
        <v>1.263157894736842</v>
      </c>
      <c r="M34" s="381">
        <f>IFERROR(IF(B34="Funkcna poziadavka",VLOOKUP(G34,MODULY_CBA!$B$3:$E$23,3,0),),)</f>
        <v>0.99499999999999988</v>
      </c>
      <c r="N34" s="381">
        <f>IFERROR(IF(B34="funkcna poziadavka",VLOOKUP(G34,MODULY_CBA!$B$3:$E$23,2,0),),)</f>
        <v>0.99</v>
      </c>
      <c r="O34" s="380">
        <f t="shared" si="3"/>
        <v>6.1695236842105263</v>
      </c>
      <c r="P34" s="379">
        <f>IFERROR(O34*VLOOKUP(G34,MODULY_CBA!$B$3:$F$23,5,0),)</f>
        <v>123.39047368421052</v>
      </c>
      <c r="Q34" s="480" t="str">
        <f>IFERROR(VLOOKUP(G34,MODULY_CBA!$B$3:$I$23,6,0),"")</f>
        <v>Inkrement 1</v>
      </c>
      <c r="R34" s="383"/>
      <c r="S34" s="383"/>
      <c r="T34" s="383"/>
      <c r="U34" s="383"/>
      <c r="V34" s="383"/>
      <c r="W34" s="383"/>
      <c r="X34" s="383"/>
      <c r="Y34" s="383"/>
      <c r="Z34" s="383"/>
      <c r="AA34" s="383"/>
      <c r="AB34" s="383"/>
      <c r="AC34" s="383"/>
      <c r="AD34" s="383"/>
      <c r="AE34" s="383"/>
    </row>
    <row r="35" spans="1:33" ht="38.25">
      <c r="A35" s="682" t="s">
        <v>900</v>
      </c>
      <c r="B35" s="402" t="s">
        <v>749</v>
      </c>
      <c r="C35" s="532"/>
      <c r="D35" s="532" t="s">
        <v>901</v>
      </c>
      <c r="E35" s="532" t="s">
        <v>902</v>
      </c>
      <c r="F35" s="390" t="s">
        <v>806</v>
      </c>
      <c r="G35" s="390" t="s">
        <v>793</v>
      </c>
      <c r="H35" s="381">
        <v>1</v>
      </c>
      <c r="I35" s="381">
        <v>5</v>
      </c>
      <c r="J35" s="381">
        <f t="shared" ref="J35:J58" si="4">IF(ISNUMBER(H35),H35,)</f>
        <v>1</v>
      </c>
      <c r="K35" s="381">
        <f t="shared" si="1"/>
        <v>5</v>
      </c>
      <c r="L35" s="644">
        <f>IFERROR(IF(B35="funkcna poziadavka",VLOOKUP(G35,MODULY_CBA!$B$3:$E$23,4,0)*H35/SUMIFS($H$3:$H$168,$G$3:$G$168,G35,$B$3:$B$168,B35),),)</f>
        <v>1.263157894736842</v>
      </c>
      <c r="M35" s="381">
        <f>IFERROR(IF(B35="Funkcna poziadavka",VLOOKUP(G35,MODULY_CBA!$B$3:$E$23,3,0),),)</f>
        <v>0.99499999999999988</v>
      </c>
      <c r="N35" s="381">
        <f>IFERROR(IF(B35="funkcna poziadavka",VLOOKUP(G35,MODULY_CBA!$B$3:$E$23,2,0),),)</f>
        <v>0.99</v>
      </c>
      <c r="O35" s="380">
        <f t="shared" ref="O35:O58" si="5">(K35+L35)*M35*N35</f>
        <v>6.1695236842105263</v>
      </c>
      <c r="P35" s="379">
        <f>IFERROR(O35*VLOOKUP(G35,MODULY_CBA!$B$3:$F$23,5,0),)</f>
        <v>123.39047368421052</v>
      </c>
      <c r="Q35" s="480" t="str">
        <f>IFERROR(VLOOKUP(G35,MODULY_CBA!$B$3:$I$23,6,0),"")</f>
        <v>Inkrement 1</v>
      </c>
      <c r="R35" s="383"/>
      <c r="S35" s="383"/>
      <c r="T35" s="383"/>
      <c r="U35" s="383"/>
      <c r="V35" s="383"/>
      <c r="W35" s="383"/>
      <c r="X35" s="383"/>
      <c r="Y35" s="383"/>
      <c r="Z35" s="383"/>
      <c r="AA35" s="383"/>
      <c r="AB35" s="383"/>
      <c r="AC35" s="383"/>
      <c r="AD35" s="383"/>
      <c r="AE35" s="383"/>
    </row>
    <row r="36" spans="1:33" ht="38.25">
      <c r="A36" s="682" t="s">
        <v>903</v>
      </c>
      <c r="B36" s="402" t="s">
        <v>749</v>
      </c>
      <c r="C36" s="532"/>
      <c r="D36" s="532" t="s">
        <v>904</v>
      </c>
      <c r="E36" s="532" t="s">
        <v>905</v>
      </c>
      <c r="F36" s="390" t="s">
        <v>806</v>
      </c>
      <c r="G36" s="390" t="s">
        <v>793</v>
      </c>
      <c r="H36" s="381">
        <v>1</v>
      </c>
      <c r="I36" s="381">
        <v>5</v>
      </c>
      <c r="J36" s="381">
        <f t="shared" si="4"/>
        <v>1</v>
      </c>
      <c r="K36" s="381">
        <f t="shared" si="1"/>
        <v>5</v>
      </c>
      <c r="L36" s="644">
        <f>IFERROR(IF(B36="funkcna poziadavka",VLOOKUP(G36,MODULY_CBA!$B$3:$E$23,4,0)*H36/SUMIFS($H$3:$H$168,$G$3:$G$168,G36,$B$3:$B$168,B36),),)</f>
        <v>1.263157894736842</v>
      </c>
      <c r="M36" s="381">
        <f>IFERROR(IF(B36="Funkcna poziadavka",VLOOKUP(G36,MODULY_CBA!$B$3:$E$23,3,0),),)</f>
        <v>0.99499999999999988</v>
      </c>
      <c r="N36" s="381">
        <f>IFERROR(IF(B36="funkcna poziadavka",VLOOKUP(G36,MODULY_CBA!$B$3:$E$23,2,0),),)</f>
        <v>0.99</v>
      </c>
      <c r="O36" s="380">
        <f t="shared" si="5"/>
        <v>6.1695236842105263</v>
      </c>
      <c r="P36" s="379">
        <f>IFERROR(O36*VLOOKUP(G36,MODULY_CBA!$B$3:$F$23,5,0),)</f>
        <v>123.39047368421052</v>
      </c>
      <c r="Q36" s="480" t="str">
        <f>IFERROR(VLOOKUP(G36,MODULY_CBA!$B$3:$I$23,6,0),"")</f>
        <v>Inkrement 1</v>
      </c>
      <c r="R36" s="383"/>
      <c r="S36" s="383"/>
      <c r="T36" s="383"/>
      <c r="U36" s="383"/>
      <c r="V36" s="383"/>
      <c r="W36" s="383"/>
      <c r="X36" s="383"/>
      <c r="Y36" s="383"/>
      <c r="Z36" s="383"/>
      <c r="AA36" s="383"/>
      <c r="AB36" s="383"/>
      <c r="AC36" s="383"/>
      <c r="AD36" s="383"/>
      <c r="AE36" s="383"/>
    </row>
    <row r="37" spans="1:33" ht="38.25">
      <c r="A37" s="682" t="s">
        <v>906</v>
      </c>
      <c r="B37" s="402" t="s">
        <v>749</v>
      </c>
      <c r="C37" s="532"/>
      <c r="D37" s="532" t="s">
        <v>907</v>
      </c>
      <c r="E37" s="532" t="s">
        <v>908</v>
      </c>
      <c r="F37" s="390" t="s">
        <v>806</v>
      </c>
      <c r="G37" s="390" t="s">
        <v>793</v>
      </c>
      <c r="H37" s="381">
        <v>1</v>
      </c>
      <c r="I37" s="381">
        <v>5</v>
      </c>
      <c r="J37" s="381">
        <f t="shared" si="4"/>
        <v>1</v>
      </c>
      <c r="K37" s="381">
        <f t="shared" si="1"/>
        <v>5</v>
      </c>
      <c r="L37" s="644">
        <f>IFERROR(IF(B37="funkcna poziadavka",VLOOKUP(G37,MODULY_CBA!$B$3:$E$23,4,0)*H37/SUMIFS($H$3:$H$168,$G$3:$G$168,G37,$B$3:$B$168,B37),),)</f>
        <v>1.263157894736842</v>
      </c>
      <c r="M37" s="381">
        <f>IFERROR(IF(B37="Funkcna poziadavka",VLOOKUP(G37,MODULY_CBA!$B$3:$E$23,3,0),),)</f>
        <v>0.99499999999999988</v>
      </c>
      <c r="N37" s="381">
        <f>IFERROR(IF(B37="funkcna poziadavka",VLOOKUP(G37,MODULY_CBA!$B$3:$E$23,2,0),),)</f>
        <v>0.99</v>
      </c>
      <c r="O37" s="380">
        <f t="shared" si="5"/>
        <v>6.1695236842105263</v>
      </c>
      <c r="P37" s="379">
        <f>IFERROR(O37*VLOOKUP(G37,MODULY_CBA!$B$3:$F$23,5,0),)</f>
        <v>123.39047368421052</v>
      </c>
      <c r="Q37" s="480" t="str">
        <f>IFERROR(VLOOKUP(G37,MODULY_CBA!$B$3:$I$23,6,0),"")</f>
        <v>Inkrement 1</v>
      </c>
      <c r="R37" s="383"/>
      <c r="S37" s="383"/>
      <c r="T37" s="383"/>
      <c r="U37" s="383"/>
      <c r="V37" s="383"/>
      <c r="W37" s="383"/>
      <c r="X37" s="383"/>
      <c r="Y37" s="383"/>
      <c r="Z37" s="383"/>
      <c r="AA37" s="383"/>
      <c r="AB37" s="383"/>
      <c r="AC37" s="383"/>
      <c r="AD37" s="383"/>
      <c r="AE37" s="383"/>
    </row>
    <row r="38" spans="1:33">
      <c r="A38" s="682" t="s">
        <v>909</v>
      </c>
      <c r="B38" s="402" t="s">
        <v>749</v>
      </c>
      <c r="C38" s="532"/>
      <c r="D38" s="532" t="s">
        <v>910</v>
      </c>
      <c r="E38" s="532" t="s">
        <v>911</v>
      </c>
      <c r="F38" s="390" t="s">
        <v>806</v>
      </c>
      <c r="G38" s="390" t="s">
        <v>784</v>
      </c>
      <c r="H38" s="381">
        <v>1</v>
      </c>
      <c r="I38" s="381">
        <v>5</v>
      </c>
      <c r="J38" s="381">
        <f t="shared" si="4"/>
        <v>1</v>
      </c>
      <c r="K38" s="381">
        <f t="shared" si="1"/>
        <v>5</v>
      </c>
      <c r="L38" s="644">
        <f>IFERROR(IF(B38="funkcna poziadavka",VLOOKUP(G38,MODULY_CBA!$B$3:$E$23,4,0)*H38/SUMIFS($H$3:$H$168,$G$3:$G$168,G38,$B$3:$B$168,B38),),)</f>
        <v>0.5901639344262295</v>
      </c>
      <c r="M38" s="381">
        <f>IFERROR(IF(B38="Funkcna poziadavka",VLOOKUP(G38,MODULY_CBA!$B$3:$E$23,3,0),),)</f>
        <v>0.99499999999999988</v>
      </c>
      <c r="N38" s="381">
        <f>IFERROR(IF(B38="funkcna poziadavka",VLOOKUP(G38,MODULY_CBA!$B$3:$E$23,2,0),),)</f>
        <v>0.99</v>
      </c>
      <c r="O38" s="380">
        <f t="shared" si="5"/>
        <v>5.5065909836065563</v>
      </c>
      <c r="P38" s="379">
        <f>IFERROR(O38*VLOOKUP(G38,MODULY_CBA!$B$3:$F$23,5,0),)</f>
        <v>110.13181967213113</v>
      </c>
      <c r="Q38" s="480" t="str">
        <f>IFERROR(VLOOKUP(G38,MODULY_CBA!$B$3:$I$23,6,0),"")</f>
        <v>Inkrement 1</v>
      </c>
      <c r="R38" s="383"/>
      <c r="S38" s="383"/>
      <c r="T38" s="383"/>
      <c r="U38" s="383"/>
      <c r="V38" s="383"/>
      <c r="W38" s="383"/>
      <c r="X38" s="383"/>
      <c r="Y38" s="383"/>
      <c r="Z38" s="383"/>
      <c r="AA38" s="383"/>
      <c r="AB38" s="383"/>
      <c r="AC38" s="383"/>
      <c r="AD38" s="383"/>
      <c r="AE38" s="383"/>
    </row>
    <row r="39" spans="1:33" ht="25.5">
      <c r="A39" s="682" t="s">
        <v>912</v>
      </c>
      <c r="B39" s="402" t="s">
        <v>749</v>
      </c>
      <c r="C39" s="532"/>
      <c r="D39" s="532" t="s">
        <v>913</v>
      </c>
      <c r="E39" s="532" t="s">
        <v>914</v>
      </c>
      <c r="F39" s="390" t="s">
        <v>806</v>
      </c>
      <c r="G39" s="390" t="s">
        <v>784</v>
      </c>
      <c r="H39" s="381">
        <v>1</v>
      </c>
      <c r="I39" s="381">
        <v>5</v>
      </c>
      <c r="J39" s="381">
        <f t="shared" si="4"/>
        <v>1</v>
      </c>
      <c r="K39" s="381">
        <f t="shared" si="1"/>
        <v>5</v>
      </c>
      <c r="L39" s="644">
        <f>IFERROR(IF(B39="funkcna poziadavka",VLOOKUP(G39,MODULY_CBA!$B$3:$E$23,4,0)*H39/SUMIFS($H$3:$H$168,$G$3:$G$168,G39,$B$3:$B$168,B39),),)</f>
        <v>0.5901639344262295</v>
      </c>
      <c r="M39" s="381">
        <f>IFERROR(IF(B39="Funkcna poziadavka",VLOOKUP(G39,MODULY_CBA!$B$3:$E$23,3,0),),)</f>
        <v>0.99499999999999988</v>
      </c>
      <c r="N39" s="381">
        <f>IFERROR(IF(B39="funkcna poziadavka",VLOOKUP(G39,MODULY_CBA!$B$3:$E$23,2,0),),)</f>
        <v>0.99</v>
      </c>
      <c r="O39" s="380">
        <f t="shared" si="5"/>
        <v>5.5065909836065563</v>
      </c>
      <c r="P39" s="379">
        <f>IFERROR(O39*VLOOKUP(G39,MODULY_CBA!$B$3:$F$23,5,0),)</f>
        <v>110.13181967213113</v>
      </c>
      <c r="Q39" s="480" t="str">
        <f>IFERROR(VLOOKUP(G39,MODULY_CBA!$B$3:$I$23,6,0),"")</f>
        <v>Inkrement 1</v>
      </c>
      <c r="R39" s="383"/>
      <c r="S39" s="383"/>
      <c r="T39" s="383"/>
      <c r="U39" s="383"/>
      <c r="V39" s="383"/>
      <c r="W39" s="383"/>
      <c r="X39" s="383"/>
      <c r="Y39" s="383"/>
      <c r="Z39" s="383"/>
      <c r="AA39" s="383"/>
      <c r="AB39" s="383"/>
      <c r="AC39" s="383"/>
      <c r="AD39" s="383"/>
      <c r="AE39" s="383"/>
    </row>
    <row r="40" spans="1:33" ht="38.25">
      <c r="A40" s="682" t="s">
        <v>915</v>
      </c>
      <c r="B40" s="402" t="s">
        <v>749</v>
      </c>
      <c r="C40" s="532"/>
      <c r="D40" s="532" t="s">
        <v>916</v>
      </c>
      <c r="E40" s="532" t="s">
        <v>917</v>
      </c>
      <c r="F40" s="390" t="s">
        <v>806</v>
      </c>
      <c r="G40" s="390" t="s">
        <v>784</v>
      </c>
      <c r="H40" s="381">
        <v>1</v>
      </c>
      <c r="I40" s="381">
        <v>5</v>
      </c>
      <c r="J40" s="381">
        <f t="shared" si="4"/>
        <v>1</v>
      </c>
      <c r="K40" s="381">
        <f t="shared" si="1"/>
        <v>5</v>
      </c>
      <c r="L40" s="644">
        <f>IFERROR(IF(B40="funkcna poziadavka",VLOOKUP(G40,MODULY_CBA!$B$3:$E$23,4,0)*H40/SUMIFS($H$3:$H$168,$G$3:$G$168,G40,$B$3:$B$168,B40),),)</f>
        <v>0.5901639344262295</v>
      </c>
      <c r="M40" s="381">
        <f>IFERROR(IF(B40="Funkcna poziadavka",VLOOKUP(G40,MODULY_CBA!$B$3:$E$23,3,0),),)</f>
        <v>0.99499999999999988</v>
      </c>
      <c r="N40" s="381">
        <f>IFERROR(IF(B40="funkcna poziadavka",VLOOKUP(G40,MODULY_CBA!$B$3:$E$23,2,0),),)</f>
        <v>0.99</v>
      </c>
      <c r="O40" s="380">
        <f t="shared" si="5"/>
        <v>5.5065909836065563</v>
      </c>
      <c r="P40" s="379">
        <f>IFERROR(O40*VLOOKUP(G40,MODULY_CBA!$B$3:$F$23,5,0),)</f>
        <v>110.13181967213113</v>
      </c>
      <c r="Q40" s="480" t="str">
        <f>IFERROR(VLOOKUP(G40,MODULY_CBA!$B$3:$I$23,6,0),"")</f>
        <v>Inkrement 1</v>
      </c>
      <c r="R40" s="383"/>
      <c r="S40" s="383"/>
      <c r="T40" s="383"/>
      <c r="U40" s="383"/>
      <c r="V40" s="383"/>
      <c r="W40" s="383"/>
      <c r="X40" s="383"/>
      <c r="Y40" s="383"/>
      <c r="Z40" s="383"/>
      <c r="AA40" s="383"/>
      <c r="AB40" s="383"/>
      <c r="AC40" s="383"/>
      <c r="AD40" s="383"/>
      <c r="AE40" s="383"/>
    </row>
    <row r="41" spans="1:33" ht="25.5">
      <c r="A41" s="682" t="s">
        <v>918</v>
      </c>
      <c r="B41" s="402" t="s">
        <v>749</v>
      </c>
      <c r="C41" s="532"/>
      <c r="D41" s="532" t="s">
        <v>919</v>
      </c>
      <c r="E41" s="532" t="s">
        <v>920</v>
      </c>
      <c r="F41" s="390" t="s">
        <v>806</v>
      </c>
      <c r="G41" s="390" t="s">
        <v>788</v>
      </c>
      <c r="H41" s="381">
        <v>1</v>
      </c>
      <c r="I41" s="381">
        <v>5</v>
      </c>
      <c r="J41" s="381">
        <f t="shared" si="4"/>
        <v>1</v>
      </c>
      <c r="K41" s="381">
        <f t="shared" si="1"/>
        <v>5</v>
      </c>
      <c r="L41" s="644">
        <f>IFERROR(IF(B41="funkcna poziadavka",VLOOKUP(G41,MODULY_CBA!$B$3:$E$23,4,0)*H41/SUMIFS($H$3:$H$168,$G$3:$G$168,G41,$B$3:$B$168,B41),),)</f>
        <v>1.875</v>
      </c>
      <c r="M41" s="381">
        <f>IFERROR(IF(B41="Funkcna poziadavka",VLOOKUP(G41,MODULY_CBA!$B$3:$E$23,3,0),),)</f>
        <v>0.99499999999999988</v>
      </c>
      <c r="N41" s="381">
        <f>IFERROR(IF(B41="funkcna poziadavka",VLOOKUP(G41,MODULY_CBA!$B$3:$E$23,2,0),),)</f>
        <v>0.99</v>
      </c>
      <c r="O41" s="380">
        <f t="shared" si="5"/>
        <v>6.7722187499999995</v>
      </c>
      <c r="P41" s="379">
        <f>IFERROR(O41*VLOOKUP(G41,MODULY_CBA!$B$3:$F$23,5,0),)</f>
        <v>135.44437499999998</v>
      </c>
      <c r="Q41" s="480" t="str">
        <f>IFERROR(VLOOKUP(G41,MODULY_CBA!$B$3:$I$23,6,0),"")</f>
        <v>Inkrement 1</v>
      </c>
      <c r="R41" s="383"/>
      <c r="S41" s="383"/>
      <c r="T41" s="383"/>
      <c r="U41" s="383"/>
      <c r="V41" s="383"/>
      <c r="W41" s="383"/>
      <c r="X41" s="383"/>
      <c r="Y41" s="383"/>
      <c r="Z41" s="383"/>
      <c r="AA41" s="383"/>
      <c r="AB41" s="383"/>
      <c r="AC41" s="383"/>
      <c r="AD41" s="383"/>
      <c r="AE41" s="383"/>
    </row>
    <row r="42" spans="1:33" ht="38.25">
      <c r="A42" s="682" t="s">
        <v>921</v>
      </c>
      <c r="B42" s="402" t="s">
        <v>749</v>
      </c>
      <c r="C42" s="532"/>
      <c r="D42" s="532" t="s">
        <v>922</v>
      </c>
      <c r="E42" s="532" t="s">
        <v>923</v>
      </c>
      <c r="F42" s="390" t="s">
        <v>806</v>
      </c>
      <c r="G42" s="390" t="s">
        <v>788</v>
      </c>
      <c r="H42" s="381">
        <v>1</v>
      </c>
      <c r="I42" s="381">
        <v>5</v>
      </c>
      <c r="J42" s="381">
        <f t="shared" si="4"/>
        <v>1</v>
      </c>
      <c r="K42" s="381">
        <f t="shared" si="1"/>
        <v>5</v>
      </c>
      <c r="L42" s="644">
        <f>IFERROR(IF(B42="funkcna poziadavka",VLOOKUP(G42,MODULY_CBA!$B$3:$E$23,4,0)*H42/SUMIFS($H$3:$H$168,$G$3:$G$168,G42,$B$3:$B$168,B42),),)</f>
        <v>1.875</v>
      </c>
      <c r="M42" s="381">
        <f>IFERROR(IF(B42="Funkcna poziadavka",VLOOKUP(G42,MODULY_CBA!$B$3:$E$23,3,0),),)</f>
        <v>0.99499999999999988</v>
      </c>
      <c r="N42" s="381">
        <f>IFERROR(IF(B42="funkcna poziadavka",VLOOKUP(G42,MODULY_CBA!$B$3:$E$23,2,0),),)</f>
        <v>0.99</v>
      </c>
      <c r="O42" s="380">
        <f t="shared" si="5"/>
        <v>6.7722187499999995</v>
      </c>
      <c r="P42" s="379">
        <f>IFERROR(O42*VLOOKUP(G42,MODULY_CBA!$B$3:$F$23,5,0),)</f>
        <v>135.44437499999998</v>
      </c>
      <c r="Q42" s="480" t="str">
        <f>IFERROR(VLOOKUP(G42,MODULY_CBA!$B$3:$I$23,6,0),"")</f>
        <v>Inkrement 1</v>
      </c>
      <c r="R42" s="383"/>
      <c r="S42" s="383"/>
      <c r="T42" s="383"/>
      <c r="U42" s="383"/>
      <c r="V42" s="383"/>
      <c r="W42" s="383"/>
      <c r="X42" s="383"/>
      <c r="Y42" s="383"/>
      <c r="Z42" s="383"/>
      <c r="AA42" s="383"/>
      <c r="AB42" s="383"/>
      <c r="AC42" s="383"/>
      <c r="AD42" s="383"/>
      <c r="AE42" s="383"/>
    </row>
    <row r="43" spans="1:33" ht="25.5">
      <c r="A43" s="682" t="s">
        <v>924</v>
      </c>
      <c r="B43" s="402" t="s">
        <v>749</v>
      </c>
      <c r="C43" s="532"/>
      <c r="D43" s="532" t="s">
        <v>925</v>
      </c>
      <c r="E43" s="532" t="s">
        <v>926</v>
      </c>
      <c r="F43" s="390" t="s">
        <v>806</v>
      </c>
      <c r="G43" s="390" t="s">
        <v>788</v>
      </c>
      <c r="H43" s="381">
        <v>1</v>
      </c>
      <c r="I43" s="381">
        <v>5</v>
      </c>
      <c r="J43" s="381">
        <f t="shared" si="4"/>
        <v>1</v>
      </c>
      <c r="K43" s="381">
        <f t="shared" si="1"/>
        <v>5</v>
      </c>
      <c r="L43" s="644">
        <f>IFERROR(IF(B43="funkcna poziadavka",VLOOKUP(G43,MODULY_CBA!$B$3:$E$23,4,0)*H43/SUMIFS($H$3:$H$168,$G$3:$G$168,G43,$B$3:$B$168,B43),),)</f>
        <v>1.875</v>
      </c>
      <c r="M43" s="381">
        <f>IFERROR(IF(B43="Funkcna poziadavka",VLOOKUP(G43,MODULY_CBA!$B$3:$E$23,3,0),),)</f>
        <v>0.99499999999999988</v>
      </c>
      <c r="N43" s="381">
        <f>IFERROR(IF(B43="funkcna poziadavka",VLOOKUP(G43,MODULY_CBA!$B$3:$E$23,2,0),),)</f>
        <v>0.99</v>
      </c>
      <c r="O43" s="380">
        <f t="shared" si="5"/>
        <v>6.7722187499999995</v>
      </c>
      <c r="P43" s="379">
        <f>IFERROR(O43*VLOOKUP(G43,MODULY_CBA!$B$3:$F$23,5,0),)</f>
        <v>135.44437499999998</v>
      </c>
      <c r="Q43" s="480" t="str">
        <f>IFERROR(VLOOKUP(G43,MODULY_CBA!$B$3:$I$23,6,0),"")</f>
        <v>Inkrement 1</v>
      </c>
      <c r="R43" s="383"/>
      <c r="S43" s="383"/>
      <c r="T43" s="383"/>
      <c r="U43" s="383"/>
      <c r="V43" s="383"/>
      <c r="W43" s="383"/>
      <c r="X43" s="383"/>
      <c r="Y43" s="383"/>
      <c r="Z43" s="383"/>
      <c r="AA43" s="383"/>
      <c r="AB43" s="383"/>
      <c r="AC43" s="383"/>
      <c r="AD43" s="383"/>
      <c r="AE43" s="383"/>
    </row>
    <row r="44" spans="1:33" ht="51">
      <c r="A44" s="682" t="s">
        <v>927</v>
      </c>
      <c r="B44" s="402" t="s">
        <v>749</v>
      </c>
      <c r="C44" s="532"/>
      <c r="D44" s="532" t="s">
        <v>928</v>
      </c>
      <c r="E44" s="532" t="s">
        <v>929</v>
      </c>
      <c r="F44" s="390" t="s">
        <v>806</v>
      </c>
      <c r="G44" s="390" t="s">
        <v>788</v>
      </c>
      <c r="H44" s="381">
        <v>1</v>
      </c>
      <c r="I44" s="381">
        <v>5</v>
      </c>
      <c r="J44" s="381">
        <f t="shared" si="4"/>
        <v>1</v>
      </c>
      <c r="K44" s="381">
        <f t="shared" si="1"/>
        <v>5</v>
      </c>
      <c r="L44" s="644">
        <f>IFERROR(IF(B44="funkcna poziadavka",VLOOKUP(G44,MODULY_CBA!$B$3:$E$23,4,0)*H44/SUMIFS($H$3:$H$168,$G$3:$G$168,G44,$B$3:$B$168,B44),),)</f>
        <v>1.875</v>
      </c>
      <c r="M44" s="381">
        <f>IFERROR(IF(B44="Funkcna poziadavka",VLOOKUP(G44,MODULY_CBA!$B$3:$E$23,3,0),),)</f>
        <v>0.99499999999999988</v>
      </c>
      <c r="N44" s="381">
        <f>IFERROR(IF(B44="funkcna poziadavka",VLOOKUP(G44,MODULY_CBA!$B$3:$E$23,2,0),),)</f>
        <v>0.99</v>
      </c>
      <c r="O44" s="380">
        <f t="shared" si="5"/>
        <v>6.7722187499999995</v>
      </c>
      <c r="P44" s="379">
        <f>IFERROR(O44*VLOOKUP(G44,MODULY_CBA!$B$3:$F$23,5,0),)</f>
        <v>135.44437499999998</v>
      </c>
      <c r="Q44" s="480" t="str">
        <f>IFERROR(VLOOKUP(G44,MODULY_CBA!$B$3:$I$23,6,0),"")</f>
        <v>Inkrement 1</v>
      </c>
      <c r="R44" s="383" t="s">
        <v>168</v>
      </c>
      <c r="S44" s="383" t="s">
        <v>168</v>
      </c>
      <c r="T44" s="383" t="s">
        <v>168</v>
      </c>
      <c r="U44" s="383" t="s">
        <v>168</v>
      </c>
      <c r="V44" s="383" t="s">
        <v>168</v>
      </c>
      <c r="W44" s="383" t="s">
        <v>168</v>
      </c>
      <c r="X44" s="383" t="s">
        <v>168</v>
      </c>
      <c r="Y44" s="383" t="s">
        <v>168</v>
      </c>
      <c r="Z44" s="383" t="s">
        <v>168</v>
      </c>
      <c r="AA44" s="383" t="s">
        <v>168</v>
      </c>
      <c r="AB44" s="383" t="s">
        <v>168</v>
      </c>
      <c r="AC44" s="383" t="s">
        <v>168</v>
      </c>
      <c r="AD44" s="383" t="s">
        <v>168</v>
      </c>
      <c r="AE44" s="383" t="s">
        <v>168</v>
      </c>
    </row>
    <row r="45" spans="1:33" ht="38.25">
      <c r="A45" s="682" t="s">
        <v>930</v>
      </c>
      <c r="B45" s="402" t="s">
        <v>749</v>
      </c>
      <c r="C45" s="532"/>
      <c r="D45" s="532" t="s">
        <v>931</v>
      </c>
      <c r="E45" s="532" t="s">
        <v>932</v>
      </c>
      <c r="F45" s="390" t="s">
        <v>806</v>
      </c>
      <c r="G45" s="390" t="s">
        <v>788</v>
      </c>
      <c r="H45" s="381">
        <v>1</v>
      </c>
      <c r="I45" s="381">
        <v>5</v>
      </c>
      <c r="J45" s="381">
        <f t="shared" si="4"/>
        <v>1</v>
      </c>
      <c r="K45" s="381">
        <f t="shared" si="1"/>
        <v>5</v>
      </c>
      <c r="L45" s="644">
        <f>IFERROR(IF(B45="funkcna poziadavka",VLOOKUP(G45,MODULY_CBA!$B$3:$E$23,4,0)*H45/SUMIFS($H$3:$H$168,$G$3:$G$168,G45,$B$3:$B$168,B45),),)</f>
        <v>1.875</v>
      </c>
      <c r="M45" s="381">
        <f>IFERROR(IF(B45="Funkcna poziadavka",VLOOKUP(G45,MODULY_CBA!$B$3:$E$23,3,0),),)</f>
        <v>0.99499999999999988</v>
      </c>
      <c r="N45" s="381">
        <f>IFERROR(IF(B45="funkcna poziadavka",VLOOKUP(G45,MODULY_CBA!$B$3:$E$23,2,0),),)</f>
        <v>0.99</v>
      </c>
      <c r="O45" s="380">
        <f t="shared" si="5"/>
        <v>6.7722187499999995</v>
      </c>
      <c r="P45" s="379">
        <f>IFERROR(O45*VLOOKUP(G45,MODULY_CBA!$B$3:$F$23,5,0),)</f>
        <v>135.44437499999998</v>
      </c>
      <c r="Q45" s="480" t="str">
        <f>IFERROR(VLOOKUP(G45,MODULY_CBA!$B$3:$I$23,6,0),"")</f>
        <v>Inkrement 1</v>
      </c>
      <c r="R45" s="383"/>
      <c r="S45" s="383"/>
      <c r="T45" s="383"/>
      <c r="U45" s="383"/>
      <c r="V45" s="383"/>
      <c r="W45" s="383"/>
      <c r="X45" s="383"/>
      <c r="Y45" s="383"/>
      <c r="Z45" s="383"/>
      <c r="AA45" s="383"/>
      <c r="AB45" s="383"/>
      <c r="AC45" s="383"/>
      <c r="AD45" s="383"/>
      <c r="AE45" s="383"/>
    </row>
    <row r="46" spans="1:33">
      <c r="A46" s="682" t="s">
        <v>933</v>
      </c>
      <c r="B46" s="402" t="s">
        <v>749</v>
      </c>
      <c r="C46" s="532"/>
      <c r="D46" s="532" t="s">
        <v>934</v>
      </c>
      <c r="E46" s="532" t="s">
        <v>935</v>
      </c>
      <c r="F46" s="390" t="s">
        <v>806</v>
      </c>
      <c r="G46" s="390" t="s">
        <v>788</v>
      </c>
      <c r="H46" s="381">
        <v>1</v>
      </c>
      <c r="I46" s="381">
        <v>5</v>
      </c>
      <c r="J46" s="381">
        <f t="shared" si="4"/>
        <v>1</v>
      </c>
      <c r="K46" s="381">
        <f t="shared" si="1"/>
        <v>5</v>
      </c>
      <c r="L46" s="644">
        <f>IFERROR(IF(B46="funkcna poziadavka",VLOOKUP(G46,MODULY_CBA!$B$3:$E$23,4,0)*H46/SUMIFS($H$3:$H$168,$G$3:$G$168,G46,$B$3:$B$168,B46),),)</f>
        <v>1.875</v>
      </c>
      <c r="M46" s="381">
        <f>IFERROR(IF(B46="Funkcna poziadavka",VLOOKUP(G46,MODULY_CBA!$B$3:$E$23,3,0),),)</f>
        <v>0.99499999999999988</v>
      </c>
      <c r="N46" s="381">
        <f>IFERROR(IF(B46="funkcna poziadavka",VLOOKUP(G46,MODULY_CBA!$B$3:$E$23,2,0),),)</f>
        <v>0.99</v>
      </c>
      <c r="O46" s="380">
        <f t="shared" si="5"/>
        <v>6.7722187499999995</v>
      </c>
      <c r="P46" s="379">
        <f>IFERROR(O46*VLOOKUP(G46,MODULY_CBA!$B$3:$F$23,5,0),)</f>
        <v>135.44437499999998</v>
      </c>
      <c r="Q46" s="480" t="str">
        <f>IFERROR(VLOOKUP(G46,MODULY_CBA!$B$3:$I$23,6,0),"")</f>
        <v>Inkrement 1</v>
      </c>
      <c r="R46" s="383" t="s">
        <v>168</v>
      </c>
      <c r="S46" s="383" t="s">
        <v>168</v>
      </c>
      <c r="T46" s="383" t="s">
        <v>168</v>
      </c>
      <c r="U46" s="383" t="s">
        <v>168</v>
      </c>
      <c r="V46" s="383" t="s">
        <v>168</v>
      </c>
      <c r="W46" s="383" t="s">
        <v>168</v>
      </c>
      <c r="X46" s="383" t="s">
        <v>168</v>
      </c>
      <c r="Y46" s="383" t="s">
        <v>168</v>
      </c>
      <c r="Z46" s="383" t="s">
        <v>168</v>
      </c>
      <c r="AA46" s="383" t="s">
        <v>168</v>
      </c>
      <c r="AB46" s="383" t="s">
        <v>168</v>
      </c>
      <c r="AC46" s="383" t="s">
        <v>168</v>
      </c>
      <c r="AD46" s="383" t="s">
        <v>168</v>
      </c>
      <c r="AE46" s="383" t="s">
        <v>168</v>
      </c>
    </row>
    <row r="47" spans="1:33" ht="25.5">
      <c r="A47" s="682" t="s">
        <v>936</v>
      </c>
      <c r="B47" s="402" t="s">
        <v>749</v>
      </c>
      <c r="C47" s="532"/>
      <c r="D47" s="532" t="s">
        <v>937</v>
      </c>
      <c r="E47" s="532" t="s">
        <v>938</v>
      </c>
      <c r="F47" s="390" t="s">
        <v>806</v>
      </c>
      <c r="G47" s="390" t="s">
        <v>788</v>
      </c>
      <c r="H47" s="381">
        <v>1</v>
      </c>
      <c r="I47" s="381">
        <v>5</v>
      </c>
      <c r="J47" s="381">
        <f t="shared" si="4"/>
        <v>1</v>
      </c>
      <c r="K47" s="381">
        <f t="shared" si="1"/>
        <v>5</v>
      </c>
      <c r="L47" s="644">
        <f>IFERROR(IF(B47="funkcna poziadavka",VLOOKUP(G47,MODULY_CBA!$B$3:$E$23,4,0)*H47/SUMIFS($H$3:$H$168,$G$3:$G$168,G47,$B$3:$B$168,B47),),)</f>
        <v>1.875</v>
      </c>
      <c r="M47" s="381">
        <f>IFERROR(IF(B47="Funkcna poziadavka",VLOOKUP(G47,MODULY_CBA!$B$3:$E$23,3,0),),)</f>
        <v>0.99499999999999988</v>
      </c>
      <c r="N47" s="381">
        <f>IFERROR(IF(B47="funkcna poziadavka",VLOOKUP(G47,MODULY_CBA!$B$3:$E$23,2,0),),)</f>
        <v>0.99</v>
      </c>
      <c r="O47" s="380">
        <f t="shared" si="5"/>
        <v>6.7722187499999995</v>
      </c>
      <c r="P47" s="379">
        <f>IFERROR(O47*VLOOKUP(G47,MODULY_CBA!$B$3:$F$23,5,0),)</f>
        <v>135.44437499999998</v>
      </c>
      <c r="Q47" s="480" t="str">
        <f>IFERROR(VLOOKUP(G47,MODULY_CBA!$B$3:$I$23,6,0),"")</f>
        <v>Inkrement 1</v>
      </c>
      <c r="R47" s="383"/>
      <c r="S47" s="383"/>
      <c r="T47" s="383"/>
      <c r="U47" s="383"/>
      <c r="V47" s="383"/>
      <c r="W47" s="383"/>
      <c r="X47" s="383"/>
      <c r="Y47" s="383"/>
      <c r="Z47" s="383"/>
      <c r="AA47" s="383"/>
      <c r="AB47" s="383"/>
      <c r="AC47" s="383"/>
      <c r="AD47" s="383"/>
      <c r="AE47" s="383"/>
    </row>
    <row r="48" spans="1:33" ht="25.5">
      <c r="A48" s="682" t="s">
        <v>939</v>
      </c>
      <c r="B48" s="402" t="s">
        <v>749</v>
      </c>
      <c r="C48" s="532"/>
      <c r="D48" s="532" t="s">
        <v>940</v>
      </c>
      <c r="E48" s="532" t="s">
        <v>941</v>
      </c>
      <c r="F48" s="390" t="s">
        <v>806</v>
      </c>
      <c r="G48" s="390" t="s">
        <v>788</v>
      </c>
      <c r="H48" s="381">
        <v>1</v>
      </c>
      <c r="I48" s="381">
        <v>5</v>
      </c>
      <c r="J48" s="381">
        <f t="shared" si="4"/>
        <v>1</v>
      </c>
      <c r="K48" s="381">
        <f t="shared" si="1"/>
        <v>5</v>
      </c>
      <c r="L48" s="644">
        <f>IFERROR(IF(B48="funkcna poziadavka",VLOOKUP(G48,MODULY_CBA!$B$3:$E$23,4,0)*H48/SUMIFS($H$3:$H$168,$G$3:$G$168,G48,$B$3:$B$168,B48),),)</f>
        <v>1.875</v>
      </c>
      <c r="M48" s="381">
        <f>IFERROR(IF(B48="Funkcna poziadavka",VLOOKUP(G48,MODULY_CBA!$B$3:$E$23,3,0),),)</f>
        <v>0.99499999999999988</v>
      </c>
      <c r="N48" s="381">
        <f>IFERROR(IF(B48="funkcna poziadavka",VLOOKUP(G48,MODULY_CBA!$B$3:$E$23,2,0),),)</f>
        <v>0.99</v>
      </c>
      <c r="O48" s="380">
        <f t="shared" si="5"/>
        <v>6.7722187499999995</v>
      </c>
      <c r="P48" s="379">
        <f>IFERROR(O48*VLOOKUP(G48,MODULY_CBA!$B$3:$F$23,5,0),)</f>
        <v>135.44437499999998</v>
      </c>
      <c r="Q48" s="480" t="str">
        <f>IFERROR(VLOOKUP(G48,MODULY_CBA!$B$3:$I$23,6,0),"")</f>
        <v>Inkrement 1</v>
      </c>
      <c r="R48" s="383"/>
      <c r="S48" s="383"/>
      <c r="T48" s="383"/>
      <c r="U48" s="383"/>
      <c r="V48" s="383"/>
      <c r="W48" s="383"/>
      <c r="X48" s="383"/>
      <c r="Y48" s="383"/>
      <c r="Z48" s="383"/>
      <c r="AA48" s="383"/>
      <c r="AB48" s="383"/>
      <c r="AC48" s="383"/>
      <c r="AD48" s="383"/>
      <c r="AE48" s="383"/>
    </row>
    <row r="49" spans="1:31" ht="25.5">
      <c r="A49" s="682" t="s">
        <v>942</v>
      </c>
      <c r="B49" s="402" t="s">
        <v>749</v>
      </c>
      <c r="C49" s="532"/>
      <c r="D49" s="532" t="s">
        <v>943</v>
      </c>
      <c r="E49" s="532" t="s">
        <v>944</v>
      </c>
      <c r="F49" s="390" t="s">
        <v>806</v>
      </c>
      <c r="G49" s="390" t="s">
        <v>788</v>
      </c>
      <c r="H49" s="381">
        <v>1</v>
      </c>
      <c r="I49" s="381">
        <v>5</v>
      </c>
      <c r="J49" s="381">
        <f t="shared" si="4"/>
        <v>1</v>
      </c>
      <c r="K49" s="381">
        <f t="shared" si="1"/>
        <v>5</v>
      </c>
      <c r="L49" s="644">
        <f>IFERROR(IF(B49="funkcna poziadavka",VLOOKUP(G49,MODULY_CBA!$B$3:$E$23,4,0)*H49/SUMIFS($H$3:$H$168,$G$3:$G$168,G49,$B$3:$B$168,B49),),)</f>
        <v>1.875</v>
      </c>
      <c r="M49" s="381">
        <f>IFERROR(IF(B49="Funkcna poziadavka",VLOOKUP(G49,MODULY_CBA!$B$3:$E$23,3,0),),)</f>
        <v>0.99499999999999988</v>
      </c>
      <c r="N49" s="381">
        <f>IFERROR(IF(B49="funkcna poziadavka",VLOOKUP(G49,MODULY_CBA!$B$3:$E$23,2,0),),)</f>
        <v>0.99</v>
      </c>
      <c r="O49" s="380">
        <f t="shared" si="5"/>
        <v>6.7722187499999995</v>
      </c>
      <c r="P49" s="379">
        <f>IFERROR(O49*VLOOKUP(G49,MODULY_CBA!$B$3:$F$23,5,0),)</f>
        <v>135.44437499999998</v>
      </c>
      <c r="Q49" s="480" t="str">
        <f>IFERROR(VLOOKUP(G49,MODULY_CBA!$B$3:$I$23,6,0),"")</f>
        <v>Inkrement 1</v>
      </c>
      <c r="R49" s="383"/>
      <c r="S49" s="383"/>
      <c r="T49" s="383"/>
      <c r="U49" s="383"/>
      <c r="V49" s="383"/>
      <c r="W49" s="383"/>
      <c r="X49" s="383"/>
      <c r="Y49" s="383"/>
      <c r="Z49" s="383"/>
      <c r="AA49" s="383"/>
      <c r="AB49" s="383"/>
      <c r="AC49" s="383"/>
      <c r="AD49" s="383"/>
      <c r="AE49" s="383"/>
    </row>
    <row r="50" spans="1:31" ht="25.5">
      <c r="A50" s="682" t="s">
        <v>945</v>
      </c>
      <c r="B50" s="402" t="s">
        <v>749</v>
      </c>
      <c r="C50" s="532"/>
      <c r="D50" s="532" t="s">
        <v>946</v>
      </c>
      <c r="E50" s="532" t="s">
        <v>947</v>
      </c>
      <c r="F50" s="390" t="s">
        <v>806</v>
      </c>
      <c r="G50" s="390" t="s">
        <v>788</v>
      </c>
      <c r="H50" s="381">
        <v>1</v>
      </c>
      <c r="I50" s="381">
        <v>15</v>
      </c>
      <c r="J50" s="381">
        <f t="shared" si="4"/>
        <v>1</v>
      </c>
      <c r="K50" s="381">
        <f t="shared" si="1"/>
        <v>15</v>
      </c>
      <c r="L50" s="644">
        <f>IFERROR(IF(B50="funkcna poziadavka",VLOOKUP(G50,MODULY_CBA!$B$3:$E$23,4,0)*H50/SUMIFS($H$3:$H$168,$G$3:$G$168,G50,$B$3:$B$168,B50),),)</f>
        <v>1.875</v>
      </c>
      <c r="M50" s="381">
        <f>IFERROR(IF(B50="Funkcna poziadavka",VLOOKUP(G50,MODULY_CBA!$B$3:$E$23,3,0),),)</f>
        <v>0.99499999999999988</v>
      </c>
      <c r="N50" s="381">
        <f>IFERROR(IF(B50="funkcna poziadavka",VLOOKUP(G50,MODULY_CBA!$B$3:$E$23,2,0),),)</f>
        <v>0.99</v>
      </c>
      <c r="O50" s="380">
        <f t="shared" si="5"/>
        <v>16.622718749999997</v>
      </c>
      <c r="P50" s="379">
        <f>IFERROR(O50*VLOOKUP(G50,MODULY_CBA!$B$3:$F$23,5,0),)</f>
        <v>332.45437499999991</v>
      </c>
      <c r="Q50" s="480" t="str">
        <f>IFERROR(VLOOKUP(G50,MODULY_CBA!$B$3:$I$23,6,0),"")</f>
        <v>Inkrement 1</v>
      </c>
      <c r="R50" s="383"/>
      <c r="S50" s="383"/>
      <c r="T50" s="383"/>
      <c r="U50" s="383"/>
      <c r="V50" s="383"/>
      <c r="W50" s="383"/>
      <c r="X50" s="383"/>
      <c r="Y50" s="383"/>
      <c r="Z50" s="383"/>
      <c r="AA50" s="383"/>
      <c r="AB50" s="383"/>
      <c r="AC50" s="383"/>
      <c r="AD50" s="383"/>
      <c r="AE50" s="383"/>
    </row>
    <row r="51" spans="1:31" ht="76.5">
      <c r="A51" s="682" t="s">
        <v>948</v>
      </c>
      <c r="B51" s="402" t="s">
        <v>749</v>
      </c>
      <c r="C51" s="532"/>
      <c r="D51" s="532" t="s">
        <v>949</v>
      </c>
      <c r="E51" s="532" t="s">
        <v>950</v>
      </c>
      <c r="F51" s="390" t="s">
        <v>806</v>
      </c>
      <c r="G51" s="390" t="s">
        <v>788</v>
      </c>
      <c r="H51" s="381">
        <v>1</v>
      </c>
      <c r="I51" s="381">
        <v>5</v>
      </c>
      <c r="J51" s="381">
        <f t="shared" si="4"/>
        <v>1</v>
      </c>
      <c r="K51" s="381">
        <f t="shared" si="1"/>
        <v>5</v>
      </c>
      <c r="L51" s="644">
        <f>IFERROR(IF(B51="funkcna poziadavka",VLOOKUP(G51,MODULY_CBA!$B$3:$E$23,4,0)*H51/SUMIFS($H$3:$H$168,$G$3:$G$168,G51,$B$3:$B$168,B51),),)</f>
        <v>1.875</v>
      </c>
      <c r="M51" s="381">
        <f>IFERROR(IF(B51="Funkcna poziadavka",VLOOKUP(G51,MODULY_CBA!$B$3:$E$23,3,0),),)</f>
        <v>0.99499999999999988</v>
      </c>
      <c r="N51" s="381">
        <f>IFERROR(IF(B51="funkcna poziadavka",VLOOKUP(G51,MODULY_CBA!$B$3:$E$23,2,0),),)</f>
        <v>0.99</v>
      </c>
      <c r="O51" s="380">
        <f t="shared" si="5"/>
        <v>6.7722187499999995</v>
      </c>
      <c r="P51" s="379">
        <f>IFERROR(O51*VLOOKUP(G51,MODULY_CBA!$B$3:$F$23,5,0),)</f>
        <v>135.44437499999998</v>
      </c>
      <c r="Q51" s="480" t="str">
        <f>IFERROR(VLOOKUP(G51,MODULY_CBA!$B$3:$I$23,6,0),"")</f>
        <v>Inkrement 1</v>
      </c>
      <c r="R51" s="383"/>
      <c r="S51" s="383"/>
      <c r="T51" s="383"/>
      <c r="U51" s="383"/>
      <c r="V51" s="383"/>
      <c r="W51" s="383"/>
      <c r="X51" s="383"/>
      <c r="Y51" s="383"/>
      <c r="Z51" s="383"/>
      <c r="AA51" s="383"/>
      <c r="AB51" s="383"/>
      <c r="AC51" s="383"/>
      <c r="AD51" s="383"/>
      <c r="AE51" s="383"/>
    </row>
    <row r="52" spans="1:31">
      <c r="A52" s="682" t="s">
        <v>2508</v>
      </c>
      <c r="B52" s="402" t="s">
        <v>749</v>
      </c>
      <c r="C52" s="532"/>
      <c r="D52" s="532" t="s">
        <v>952</v>
      </c>
      <c r="E52" s="532" t="s">
        <v>953</v>
      </c>
      <c r="F52" s="390" t="s">
        <v>806</v>
      </c>
      <c r="G52" s="390" t="s">
        <v>788</v>
      </c>
      <c r="H52" s="381">
        <v>1</v>
      </c>
      <c r="I52" s="381">
        <v>5</v>
      </c>
      <c r="J52" s="381">
        <f t="shared" si="4"/>
        <v>1</v>
      </c>
      <c r="K52" s="381">
        <f t="shared" si="1"/>
        <v>5</v>
      </c>
      <c r="L52" s="644">
        <f>IFERROR(IF(B52="funkcna poziadavka",VLOOKUP(G52,MODULY_CBA!$B$3:$E$23,4,0)*H52/SUMIFS($H$3:$H$168,$G$3:$G$168,G52,$B$3:$B$168,B52),),)</f>
        <v>1.875</v>
      </c>
      <c r="M52" s="381">
        <f>IFERROR(IF(B52="Funkcna poziadavka",VLOOKUP(G52,MODULY_CBA!$B$3:$E$23,3,0),),)</f>
        <v>0.99499999999999988</v>
      </c>
      <c r="N52" s="381">
        <f>IFERROR(IF(B52="funkcna poziadavka",VLOOKUP(G52,MODULY_CBA!$B$3:$E$23,2,0),),)</f>
        <v>0.99</v>
      </c>
      <c r="O52" s="380">
        <f t="shared" si="5"/>
        <v>6.7722187499999995</v>
      </c>
      <c r="P52" s="379">
        <f>IFERROR(O52*VLOOKUP(G52,MODULY_CBA!$B$3:$F$23,5,0),)</f>
        <v>135.44437499999998</v>
      </c>
      <c r="Q52" s="480" t="str">
        <f>IFERROR(VLOOKUP(G52,MODULY_CBA!$B$3:$I$23,6,0),"")</f>
        <v>Inkrement 1</v>
      </c>
      <c r="R52" s="383" t="s">
        <v>168</v>
      </c>
      <c r="S52" s="383" t="s">
        <v>168</v>
      </c>
      <c r="T52" s="383" t="s">
        <v>168</v>
      </c>
      <c r="U52" s="383" t="s">
        <v>168</v>
      </c>
      <c r="V52" s="383" t="s">
        <v>168</v>
      </c>
      <c r="W52" s="383" t="s">
        <v>168</v>
      </c>
      <c r="X52" s="383" t="s">
        <v>168</v>
      </c>
      <c r="Y52" s="383" t="s">
        <v>168</v>
      </c>
      <c r="Z52" s="383" t="s">
        <v>168</v>
      </c>
      <c r="AA52" s="383" t="s">
        <v>168</v>
      </c>
      <c r="AB52" s="383" t="s">
        <v>168</v>
      </c>
      <c r="AC52" s="383" t="s">
        <v>168</v>
      </c>
      <c r="AD52" s="383" t="s">
        <v>168</v>
      </c>
      <c r="AE52" s="383" t="s">
        <v>168</v>
      </c>
    </row>
    <row r="53" spans="1:31" ht="76.5">
      <c r="A53" s="682" t="s">
        <v>951</v>
      </c>
      <c r="B53" s="402" t="s">
        <v>749</v>
      </c>
      <c r="C53" s="532"/>
      <c r="D53" s="532" t="s">
        <v>955</v>
      </c>
      <c r="E53" s="532" t="s">
        <v>956</v>
      </c>
      <c r="F53" s="390" t="s">
        <v>806</v>
      </c>
      <c r="G53" s="390" t="s">
        <v>790</v>
      </c>
      <c r="H53" s="381">
        <v>1</v>
      </c>
      <c r="I53" s="381">
        <v>5</v>
      </c>
      <c r="J53" s="381">
        <f t="shared" si="4"/>
        <v>1</v>
      </c>
      <c r="K53" s="381">
        <f t="shared" si="1"/>
        <v>5</v>
      </c>
      <c r="L53" s="644">
        <f>IFERROR(IF(B53="funkcna poziadavka",VLOOKUP(G53,MODULY_CBA!$B$3:$E$23,4,0)*H53/SUMIFS($H$3:$H$168,$G$3:$G$168,G53,$B$3:$B$168,B53),),)</f>
        <v>2</v>
      </c>
      <c r="M53" s="381">
        <f>IFERROR(IF(B53="Funkcna poziadavka",VLOOKUP(G53,MODULY_CBA!$B$3:$E$23,3,0),),)</f>
        <v>0.99499999999999988</v>
      </c>
      <c r="N53" s="381">
        <f>IFERROR(IF(B53="funkcna poziadavka",VLOOKUP(G53,MODULY_CBA!$B$3:$E$23,2,0),),)</f>
        <v>0.99</v>
      </c>
      <c r="O53" s="380">
        <f t="shared" si="5"/>
        <v>6.8953499999999988</v>
      </c>
      <c r="P53" s="379">
        <f>IFERROR(O53*VLOOKUP(G53,MODULY_CBA!$B$3:$F$23,5,0),)</f>
        <v>103.43024999999999</v>
      </c>
      <c r="Q53" s="480" t="str">
        <f>IFERROR(VLOOKUP(G53,MODULY_CBA!$B$3:$I$23,6,0),"")</f>
        <v>Inkrement 2</v>
      </c>
      <c r="R53" s="383"/>
      <c r="S53" s="383"/>
      <c r="T53" s="383"/>
      <c r="U53" s="383"/>
      <c r="V53" s="383"/>
      <c r="W53" s="383"/>
      <c r="X53" s="383"/>
      <c r="Y53" s="383"/>
      <c r="Z53" s="383"/>
      <c r="AA53" s="383"/>
      <c r="AB53" s="383"/>
      <c r="AC53" s="383"/>
      <c r="AD53" s="383"/>
      <c r="AE53" s="383"/>
    </row>
    <row r="54" spans="1:31" ht="25.5">
      <c r="A54" s="682" t="s">
        <v>2509</v>
      </c>
      <c r="B54" s="402" t="s">
        <v>749</v>
      </c>
      <c r="C54" s="532"/>
      <c r="D54" s="532" t="s">
        <v>958</v>
      </c>
      <c r="E54" s="532" t="s">
        <v>959</v>
      </c>
      <c r="F54" s="390" t="s">
        <v>806</v>
      </c>
      <c r="G54" s="390" t="s">
        <v>788</v>
      </c>
      <c r="H54" s="381">
        <v>1</v>
      </c>
      <c r="I54" s="381">
        <v>5</v>
      </c>
      <c r="J54" s="381">
        <f t="shared" si="4"/>
        <v>1</v>
      </c>
      <c r="K54" s="381">
        <f t="shared" si="1"/>
        <v>5</v>
      </c>
      <c r="L54" s="644">
        <f>IFERROR(IF(B54="funkcna poziadavka",VLOOKUP(G54,MODULY_CBA!$B$3:$E$23,4,0)*H54/SUMIFS($H$3:$H$168,$G$3:$G$168,G54,$B$3:$B$168,B54),),)</f>
        <v>1.875</v>
      </c>
      <c r="M54" s="381">
        <f>IFERROR(IF(B54="Funkcna poziadavka",VLOOKUP(G54,MODULY_CBA!$B$3:$E$23,3,0),),)</f>
        <v>0.99499999999999988</v>
      </c>
      <c r="N54" s="381">
        <f>IFERROR(IF(B54="funkcna poziadavka",VLOOKUP(G54,MODULY_CBA!$B$3:$E$23,2,0),),)</f>
        <v>0.99</v>
      </c>
      <c r="O54" s="380">
        <f t="shared" si="5"/>
        <v>6.7722187499999995</v>
      </c>
      <c r="P54" s="379">
        <f>IFERROR(O54*VLOOKUP(G54,MODULY_CBA!$B$3:$F$23,5,0),)</f>
        <v>135.44437499999998</v>
      </c>
      <c r="Q54" s="480" t="str">
        <f>IFERROR(VLOOKUP(G54,MODULY_CBA!$B$3:$I$23,6,0),"")</f>
        <v>Inkrement 1</v>
      </c>
      <c r="R54" s="383"/>
      <c r="S54" s="383"/>
      <c r="T54" s="383"/>
      <c r="U54" s="383"/>
      <c r="V54" s="383"/>
      <c r="W54" s="383"/>
      <c r="X54" s="383"/>
      <c r="Y54" s="383"/>
      <c r="Z54" s="383"/>
      <c r="AA54" s="383"/>
      <c r="AB54" s="383"/>
      <c r="AC54" s="383"/>
      <c r="AD54" s="383"/>
      <c r="AE54" s="383"/>
    </row>
    <row r="55" spans="1:31" ht="38.25">
      <c r="A55" s="682" t="s">
        <v>2510</v>
      </c>
      <c r="B55" s="402" t="s">
        <v>749</v>
      </c>
      <c r="C55" s="532"/>
      <c r="D55" s="532" t="s">
        <v>961</v>
      </c>
      <c r="E55" s="532" t="s">
        <v>962</v>
      </c>
      <c r="F55" s="390" t="s">
        <v>806</v>
      </c>
      <c r="G55" s="390" t="s">
        <v>788</v>
      </c>
      <c r="H55" s="381">
        <v>1</v>
      </c>
      <c r="I55" s="381">
        <v>10</v>
      </c>
      <c r="J55" s="381">
        <f t="shared" si="4"/>
        <v>1</v>
      </c>
      <c r="K55" s="381">
        <f t="shared" si="1"/>
        <v>10</v>
      </c>
      <c r="L55" s="644">
        <f>IFERROR(IF(B55="funkcna poziadavka",VLOOKUP(G55,MODULY_CBA!$B$3:$E$23,4,0)*H55/SUMIFS($H$3:$H$168,$G$3:$G$168,G55,$B$3:$B$168,B55),),)</f>
        <v>1.875</v>
      </c>
      <c r="M55" s="381">
        <f>IFERROR(IF(B55="Funkcna poziadavka",VLOOKUP(G55,MODULY_CBA!$B$3:$E$23,3,0),),)</f>
        <v>0.99499999999999988</v>
      </c>
      <c r="N55" s="381">
        <f>IFERROR(IF(B55="funkcna poziadavka",VLOOKUP(G55,MODULY_CBA!$B$3:$E$23,2,0),),)</f>
        <v>0.99</v>
      </c>
      <c r="O55" s="380">
        <f t="shared" si="5"/>
        <v>11.697468749999999</v>
      </c>
      <c r="P55" s="379">
        <f>IFERROR(O55*VLOOKUP(G55,MODULY_CBA!$B$3:$F$23,5,0),)</f>
        <v>233.94937499999997</v>
      </c>
      <c r="Q55" s="480" t="str">
        <f>IFERROR(VLOOKUP(G55,MODULY_CBA!$B$3:$I$23,6,0),"")</f>
        <v>Inkrement 1</v>
      </c>
      <c r="R55" s="383"/>
      <c r="S55" s="383"/>
      <c r="T55" s="383"/>
      <c r="U55" s="383"/>
      <c r="V55" s="383"/>
      <c r="W55" s="383"/>
      <c r="X55" s="383"/>
      <c r="Y55" s="383"/>
      <c r="Z55" s="383"/>
      <c r="AA55" s="383"/>
      <c r="AB55" s="383"/>
      <c r="AC55" s="383"/>
      <c r="AD55" s="383"/>
      <c r="AE55" s="383"/>
    </row>
    <row r="56" spans="1:31" ht="25.5">
      <c r="A56" s="682" t="s">
        <v>2511</v>
      </c>
      <c r="B56" s="402" t="s">
        <v>749</v>
      </c>
      <c r="C56" s="532"/>
      <c r="D56" s="532" t="s">
        <v>964</v>
      </c>
      <c r="E56" s="532" t="s">
        <v>965</v>
      </c>
      <c r="F56" s="390" t="s">
        <v>806</v>
      </c>
      <c r="G56" s="390" t="s">
        <v>788</v>
      </c>
      <c r="H56" s="381">
        <v>1</v>
      </c>
      <c r="I56" s="381">
        <v>5</v>
      </c>
      <c r="J56" s="381">
        <f t="shared" si="4"/>
        <v>1</v>
      </c>
      <c r="K56" s="381">
        <f t="shared" si="1"/>
        <v>5</v>
      </c>
      <c r="L56" s="644">
        <f>IFERROR(IF(B56="funkcna poziadavka",VLOOKUP(G56,MODULY_CBA!$B$3:$E$23,4,0)*H56/SUMIFS($H$3:$H$168,$G$3:$G$168,G56,$B$3:$B$168,B56),),)</f>
        <v>1.875</v>
      </c>
      <c r="M56" s="381">
        <f>IFERROR(IF(B56="Funkcna poziadavka",VLOOKUP(G56,MODULY_CBA!$B$3:$E$23,3,0),),)</f>
        <v>0.99499999999999988</v>
      </c>
      <c r="N56" s="381">
        <f>IFERROR(IF(B56="funkcna poziadavka",VLOOKUP(G56,MODULY_CBA!$B$3:$E$23,2,0),),)</f>
        <v>0.99</v>
      </c>
      <c r="O56" s="380">
        <f t="shared" si="5"/>
        <v>6.7722187499999995</v>
      </c>
      <c r="P56" s="379">
        <f>IFERROR(O56*VLOOKUP(G56,MODULY_CBA!$B$3:$F$23,5,0),)</f>
        <v>135.44437499999998</v>
      </c>
      <c r="Q56" s="480" t="str">
        <f>IFERROR(VLOOKUP(G56,MODULY_CBA!$B$3:$I$23,6,0),"")</f>
        <v>Inkrement 1</v>
      </c>
      <c r="R56" s="383"/>
      <c r="S56" s="383"/>
      <c r="T56" s="383"/>
      <c r="U56" s="383"/>
      <c r="V56" s="383"/>
      <c r="W56" s="383"/>
      <c r="X56" s="383"/>
      <c r="Y56" s="383"/>
      <c r="Z56" s="383"/>
      <c r="AA56" s="383"/>
      <c r="AB56" s="383"/>
      <c r="AC56" s="383"/>
      <c r="AD56" s="383"/>
      <c r="AE56" s="383"/>
    </row>
    <row r="57" spans="1:31">
      <c r="A57" s="682" t="s">
        <v>2512</v>
      </c>
      <c r="B57" s="402" t="s">
        <v>749</v>
      </c>
      <c r="C57" s="532"/>
      <c r="D57" s="532" t="s">
        <v>967</v>
      </c>
      <c r="E57" s="532" t="s">
        <v>968</v>
      </c>
      <c r="F57" s="390" t="s">
        <v>806</v>
      </c>
      <c r="G57" s="390" t="s">
        <v>784</v>
      </c>
      <c r="H57" s="381">
        <v>1</v>
      </c>
      <c r="I57" s="381">
        <v>5</v>
      </c>
      <c r="J57" s="381">
        <f t="shared" si="4"/>
        <v>1</v>
      </c>
      <c r="K57" s="381">
        <f t="shared" si="1"/>
        <v>5</v>
      </c>
      <c r="L57" s="644">
        <f>IFERROR(IF(B57="funkcna poziadavka",VLOOKUP(G57,MODULY_CBA!$B$3:$E$23,4,0)*H57/SUMIFS($H$3:$H$168,$G$3:$G$168,G57,$B$3:$B$168,B57),),)</f>
        <v>0.5901639344262295</v>
      </c>
      <c r="M57" s="381">
        <f>IFERROR(IF(B57="Funkcna poziadavka",VLOOKUP(G57,MODULY_CBA!$B$3:$E$23,3,0),),)</f>
        <v>0.99499999999999988</v>
      </c>
      <c r="N57" s="381">
        <f>IFERROR(IF(B57="funkcna poziadavka",VLOOKUP(G57,MODULY_CBA!$B$3:$E$23,2,0),),)</f>
        <v>0.99</v>
      </c>
      <c r="O57" s="380">
        <f t="shared" si="5"/>
        <v>5.5065909836065563</v>
      </c>
      <c r="P57" s="379">
        <f>IFERROR(O57*VLOOKUP(G57,MODULY_CBA!$B$3:$F$23,5,0),)</f>
        <v>110.13181967213113</v>
      </c>
      <c r="Q57" s="480" t="str">
        <f>IFERROR(VLOOKUP(G57,MODULY_CBA!$B$3:$I$23,6,0),"")</f>
        <v>Inkrement 1</v>
      </c>
      <c r="R57" s="383"/>
      <c r="S57" s="383"/>
      <c r="T57" s="383"/>
      <c r="U57" s="383"/>
      <c r="V57" s="383"/>
      <c r="W57" s="383"/>
      <c r="X57" s="383"/>
      <c r="Y57" s="383"/>
      <c r="Z57" s="383"/>
      <c r="AA57" s="383"/>
      <c r="AB57" s="383"/>
      <c r="AC57" s="383"/>
      <c r="AD57" s="383"/>
      <c r="AE57" s="383"/>
    </row>
    <row r="58" spans="1:31" ht="25.5">
      <c r="A58" s="682" t="s">
        <v>2513</v>
      </c>
      <c r="B58" s="402" t="s">
        <v>749</v>
      </c>
      <c r="C58" s="532"/>
      <c r="D58" s="532" t="s">
        <v>970</v>
      </c>
      <c r="E58" s="532" t="s">
        <v>914</v>
      </c>
      <c r="F58" s="390" t="s">
        <v>806</v>
      </c>
      <c r="G58" s="390" t="s">
        <v>785</v>
      </c>
      <c r="H58" s="381">
        <v>1</v>
      </c>
      <c r="I58" s="381">
        <v>5</v>
      </c>
      <c r="J58" s="381">
        <f t="shared" si="4"/>
        <v>1</v>
      </c>
      <c r="K58" s="381">
        <f t="shared" si="1"/>
        <v>5</v>
      </c>
      <c r="L58" s="644">
        <f>IFERROR(IF(B58="funkcna poziadavka",VLOOKUP(G58,MODULY_CBA!$B$3:$E$23,4,0)*H58/SUMIFS($H$3:$H$168,$G$3:$G$168,G58,$B$3:$B$168,B58),),)</f>
        <v>6</v>
      </c>
      <c r="M58" s="381">
        <f>IFERROR(IF(B58="Funkcna poziadavka",VLOOKUP(G58,MODULY_CBA!$B$3:$E$23,3,0),),)</f>
        <v>0.99499999999999988</v>
      </c>
      <c r="N58" s="381">
        <f>IFERROR(IF(B58="funkcna poziadavka",VLOOKUP(G58,MODULY_CBA!$B$3:$E$23,2,0),),)</f>
        <v>0.99</v>
      </c>
      <c r="O58" s="380">
        <f t="shared" si="5"/>
        <v>10.835549999999998</v>
      </c>
      <c r="P58" s="379">
        <f>IFERROR(O58*VLOOKUP(G58,MODULY_CBA!$B$3:$F$23,5,0),)</f>
        <v>216.71099999999996</v>
      </c>
      <c r="Q58" s="480" t="str">
        <f>IFERROR(VLOOKUP(G58,MODULY_CBA!$B$3:$I$23,6,0),"")</f>
        <v>Inkrement 1</v>
      </c>
      <c r="R58" s="383"/>
      <c r="S58" s="383"/>
      <c r="T58" s="383"/>
      <c r="U58" s="383"/>
      <c r="V58" s="383"/>
      <c r="W58" s="383"/>
      <c r="X58" s="383"/>
      <c r="Y58" s="383"/>
      <c r="Z58" s="383"/>
      <c r="AA58" s="383"/>
      <c r="AB58" s="383"/>
      <c r="AC58" s="383"/>
      <c r="AD58" s="383"/>
      <c r="AE58" s="383"/>
    </row>
    <row r="59" spans="1:31" ht="25.5">
      <c r="A59" s="682" t="s">
        <v>954</v>
      </c>
      <c r="B59" s="402" t="s">
        <v>749</v>
      </c>
      <c r="C59" s="532"/>
      <c r="D59" s="532" t="s">
        <v>972</v>
      </c>
      <c r="E59" s="532" t="s">
        <v>973</v>
      </c>
      <c r="F59" s="390" t="s">
        <v>806</v>
      </c>
      <c r="G59" s="390" t="s">
        <v>787</v>
      </c>
      <c r="H59" s="381">
        <v>1</v>
      </c>
      <c r="I59" s="381">
        <v>5</v>
      </c>
      <c r="J59" s="381">
        <f t="shared" ref="J59:J83" si="6">IF(ISNUMBER(H59),H59,)</f>
        <v>1</v>
      </c>
      <c r="K59" s="381">
        <f t="shared" si="1"/>
        <v>5</v>
      </c>
      <c r="L59" s="644">
        <f>IFERROR(IF(B59="funkcna poziadavka",VLOOKUP(G59,MODULY_CBA!$B$3:$E$23,4,0)*H59/SUMIFS($H$3:$H$168,$G$3:$G$168,G59,$B$3:$B$168,B59),),)</f>
        <v>6</v>
      </c>
      <c r="M59" s="381">
        <f>IFERROR(IF(B59="Funkcna poziadavka",VLOOKUP(G59,MODULY_CBA!$B$3:$E$23,3,0),),)</f>
        <v>0.99499999999999988</v>
      </c>
      <c r="N59" s="381">
        <f>IFERROR(IF(B59="funkcna poziadavka",VLOOKUP(G59,MODULY_CBA!$B$3:$E$23,2,0),),)</f>
        <v>0.99</v>
      </c>
      <c r="O59" s="380">
        <f t="shared" ref="O59:O83" si="7">(K59+L59)*M59*N59</f>
        <v>10.835549999999998</v>
      </c>
      <c r="P59" s="379">
        <f>IFERROR(O59*VLOOKUP(G59,MODULY_CBA!$B$3:$F$23,5,0),)</f>
        <v>216.71099999999996</v>
      </c>
      <c r="Q59" s="480" t="str">
        <f>IFERROR(VLOOKUP(G59,MODULY_CBA!$B$3:$I$23,6,0),"")</f>
        <v>Inkrement 1</v>
      </c>
      <c r="R59" s="383"/>
      <c r="S59" s="383"/>
      <c r="T59" s="383"/>
      <c r="U59" s="383"/>
      <c r="V59" s="383"/>
      <c r="W59" s="383"/>
      <c r="X59" s="383"/>
      <c r="Y59" s="383"/>
      <c r="Z59" s="383"/>
      <c r="AA59" s="383"/>
      <c r="AB59" s="383"/>
      <c r="AC59" s="383"/>
      <c r="AD59" s="383"/>
      <c r="AE59" s="383"/>
    </row>
    <row r="60" spans="1:31" ht="38.25">
      <c r="A60" s="682" t="s">
        <v>957</v>
      </c>
      <c r="B60" s="402" t="s">
        <v>749</v>
      </c>
      <c r="C60" s="532"/>
      <c r="D60" s="532" t="s">
        <v>975</v>
      </c>
      <c r="E60" s="532" t="s">
        <v>976</v>
      </c>
      <c r="F60" s="390" t="s">
        <v>806</v>
      </c>
      <c r="G60" s="390" t="s">
        <v>784</v>
      </c>
      <c r="H60" s="381">
        <v>1</v>
      </c>
      <c r="I60" s="381">
        <v>5</v>
      </c>
      <c r="J60" s="381">
        <f t="shared" si="6"/>
        <v>1</v>
      </c>
      <c r="K60" s="381">
        <f t="shared" ref="K60:K118" si="8">H60*I60</f>
        <v>5</v>
      </c>
      <c r="L60" s="644">
        <f>IFERROR(IF(B60="funkcna poziadavka",VLOOKUP(G60,MODULY_CBA!$B$3:$E$23,4,0)*H60/SUMIFS($H$3:$H$168,$G$3:$G$168,G60,$B$3:$B$168,B60),),)</f>
        <v>0.5901639344262295</v>
      </c>
      <c r="M60" s="381">
        <f>IFERROR(IF(B60="Funkcna poziadavka",VLOOKUP(G60,MODULY_CBA!$B$3:$E$23,3,0),),)</f>
        <v>0.99499999999999988</v>
      </c>
      <c r="N60" s="381">
        <f>IFERROR(IF(B60="funkcna poziadavka",VLOOKUP(G60,MODULY_CBA!$B$3:$E$23,2,0),),)</f>
        <v>0.99</v>
      </c>
      <c r="O60" s="380">
        <f t="shared" si="7"/>
        <v>5.5065909836065563</v>
      </c>
      <c r="P60" s="379">
        <f>IFERROR(O60*VLOOKUP(G60,MODULY_CBA!$B$3:$F$23,5,0),)</f>
        <v>110.13181967213113</v>
      </c>
      <c r="Q60" s="480" t="str">
        <f>IFERROR(VLOOKUP(G60,MODULY_CBA!$B$3:$I$23,6,0),"")</f>
        <v>Inkrement 1</v>
      </c>
      <c r="R60" s="383"/>
      <c r="S60" s="383"/>
      <c r="T60" s="383"/>
      <c r="U60" s="383"/>
      <c r="V60" s="383"/>
      <c r="W60" s="383"/>
      <c r="X60" s="383"/>
      <c r="Y60" s="383"/>
      <c r="Z60" s="383"/>
      <c r="AA60" s="383"/>
      <c r="AB60" s="383"/>
      <c r="AC60" s="383"/>
      <c r="AD60" s="383"/>
      <c r="AE60" s="383"/>
    </row>
    <row r="61" spans="1:31" ht="38.25">
      <c r="A61" s="682" t="s">
        <v>960</v>
      </c>
      <c r="B61" s="402" t="s">
        <v>749</v>
      </c>
      <c r="C61" s="532"/>
      <c r="D61" s="532" t="s">
        <v>978</v>
      </c>
      <c r="E61" s="532" t="s">
        <v>979</v>
      </c>
      <c r="F61" s="390" t="s">
        <v>806</v>
      </c>
      <c r="G61" s="390" t="s">
        <v>789</v>
      </c>
      <c r="H61" s="381">
        <v>1</v>
      </c>
      <c r="I61" s="381">
        <v>15</v>
      </c>
      <c r="J61" s="381">
        <f t="shared" si="6"/>
        <v>1</v>
      </c>
      <c r="K61" s="381">
        <f t="shared" si="8"/>
        <v>15</v>
      </c>
      <c r="L61" s="644">
        <f>IFERROR(IF(B61="funkcna poziadavka",VLOOKUP(G61,MODULY_CBA!$B$3:$E$23,4,0)*H61/SUMIFS($H$3:$H$168,$G$3:$G$168,G61,$B$3:$B$168,B61),),)</f>
        <v>3</v>
      </c>
      <c r="M61" s="381">
        <f>IFERROR(IF(B61="Funkcna poziadavka",VLOOKUP(G61,MODULY_CBA!$B$3:$E$23,3,0),),)</f>
        <v>0.99499999999999988</v>
      </c>
      <c r="N61" s="381">
        <f>IFERROR(IF(B61="funkcna poziadavka",VLOOKUP(G61,MODULY_CBA!$B$3:$E$23,2,0),),)</f>
        <v>0.99</v>
      </c>
      <c r="O61" s="380">
        <f t="shared" si="7"/>
        <v>17.730899999999995</v>
      </c>
      <c r="P61" s="379">
        <f>IFERROR(O61*VLOOKUP(G61,MODULY_CBA!$B$3:$F$23,5,0),)</f>
        <v>443.27249999999987</v>
      </c>
      <c r="Q61" s="480" t="str">
        <f>IFERROR(VLOOKUP(G61,MODULY_CBA!$B$3:$I$23,6,0),"")</f>
        <v>Inkrement 1</v>
      </c>
      <c r="R61" s="383"/>
      <c r="S61" s="383"/>
      <c r="T61" s="383"/>
      <c r="U61" s="383"/>
      <c r="V61" s="383"/>
      <c r="W61" s="383"/>
      <c r="X61" s="383"/>
      <c r="Y61" s="383"/>
      <c r="Z61" s="383"/>
      <c r="AA61" s="383"/>
      <c r="AB61" s="383"/>
      <c r="AC61" s="383"/>
      <c r="AD61" s="383"/>
      <c r="AE61" s="383"/>
    </row>
    <row r="62" spans="1:31" ht="51">
      <c r="A62" s="682" t="s">
        <v>963</v>
      </c>
      <c r="B62" s="402" t="s">
        <v>749</v>
      </c>
      <c r="C62" s="532"/>
      <c r="D62" s="532" t="s">
        <v>981</v>
      </c>
      <c r="E62" s="532" t="s">
        <v>982</v>
      </c>
      <c r="F62" s="390" t="s">
        <v>806</v>
      </c>
      <c r="G62" s="390" t="s">
        <v>789</v>
      </c>
      <c r="H62" s="381">
        <v>1</v>
      </c>
      <c r="I62" s="381">
        <v>5</v>
      </c>
      <c r="J62" s="381">
        <f t="shared" si="6"/>
        <v>1</v>
      </c>
      <c r="K62" s="381">
        <f t="shared" si="8"/>
        <v>5</v>
      </c>
      <c r="L62" s="644">
        <f>IFERROR(IF(B62="funkcna poziadavka",VLOOKUP(G62,MODULY_CBA!$B$3:$E$23,4,0)*H62/SUMIFS($H$3:$H$168,$G$3:$G$168,G62,$B$3:$B$168,B62),),)</f>
        <v>3</v>
      </c>
      <c r="M62" s="381">
        <f>IFERROR(IF(B62="Funkcna poziadavka",VLOOKUP(G62,MODULY_CBA!$B$3:$E$23,3,0),),)</f>
        <v>0.99499999999999988</v>
      </c>
      <c r="N62" s="381">
        <f>IFERROR(IF(B62="funkcna poziadavka",VLOOKUP(G62,MODULY_CBA!$B$3:$E$23,2,0),),)</f>
        <v>0.99</v>
      </c>
      <c r="O62" s="380">
        <f t="shared" si="7"/>
        <v>7.880399999999999</v>
      </c>
      <c r="P62" s="379">
        <f>IFERROR(O62*VLOOKUP(G62,MODULY_CBA!$B$3:$F$23,5,0),)</f>
        <v>197.00999999999996</v>
      </c>
      <c r="Q62" s="480" t="str">
        <f>IFERROR(VLOOKUP(G62,MODULY_CBA!$B$3:$I$23,6,0),"")</f>
        <v>Inkrement 1</v>
      </c>
      <c r="R62" s="383"/>
      <c r="S62" s="383"/>
      <c r="T62" s="383"/>
      <c r="U62" s="383"/>
      <c r="V62" s="383"/>
      <c r="W62" s="383"/>
      <c r="X62" s="383"/>
      <c r="Y62" s="383"/>
      <c r="Z62" s="383"/>
      <c r="AA62" s="383"/>
      <c r="AB62" s="383"/>
      <c r="AC62" s="383"/>
      <c r="AD62" s="383"/>
      <c r="AE62" s="383"/>
    </row>
    <row r="63" spans="1:31" ht="25.5">
      <c r="A63" s="682" t="s">
        <v>966</v>
      </c>
      <c r="B63" s="402" t="s">
        <v>749</v>
      </c>
      <c r="C63" s="532"/>
      <c r="D63" s="532" t="s">
        <v>984</v>
      </c>
      <c r="E63" s="532" t="s">
        <v>985</v>
      </c>
      <c r="F63" s="390" t="s">
        <v>806</v>
      </c>
      <c r="G63" s="390" t="s">
        <v>789</v>
      </c>
      <c r="H63" s="381">
        <v>1</v>
      </c>
      <c r="I63" s="381">
        <v>5</v>
      </c>
      <c r="J63" s="381">
        <f t="shared" si="6"/>
        <v>1</v>
      </c>
      <c r="K63" s="381">
        <f t="shared" si="8"/>
        <v>5</v>
      </c>
      <c r="L63" s="644">
        <f>IFERROR(IF(B63="funkcna poziadavka",VLOOKUP(G63,MODULY_CBA!$B$3:$E$23,4,0)*H63/SUMIFS($H$3:$H$168,$G$3:$G$168,G63,$B$3:$B$168,B63),),)</f>
        <v>3</v>
      </c>
      <c r="M63" s="381">
        <f>IFERROR(IF(B63="Funkcna poziadavka",VLOOKUP(G63,MODULY_CBA!$B$3:$E$23,3,0),),)</f>
        <v>0.99499999999999988</v>
      </c>
      <c r="N63" s="381">
        <f>IFERROR(IF(B63="funkcna poziadavka",VLOOKUP(G63,MODULY_CBA!$B$3:$E$23,2,0),),)</f>
        <v>0.99</v>
      </c>
      <c r="O63" s="380">
        <f t="shared" si="7"/>
        <v>7.880399999999999</v>
      </c>
      <c r="P63" s="379">
        <f>IFERROR(O63*VLOOKUP(G63,MODULY_CBA!$B$3:$F$23,5,0),)</f>
        <v>197.00999999999996</v>
      </c>
      <c r="Q63" s="480" t="str">
        <f>IFERROR(VLOOKUP(G63,MODULY_CBA!$B$3:$I$23,6,0),"")</f>
        <v>Inkrement 1</v>
      </c>
      <c r="R63" s="383"/>
      <c r="S63" s="383"/>
      <c r="T63" s="383"/>
      <c r="U63" s="383"/>
      <c r="V63" s="383"/>
      <c r="W63" s="383"/>
      <c r="X63" s="383"/>
      <c r="Y63" s="383"/>
      <c r="Z63" s="383"/>
      <c r="AA63" s="383"/>
      <c r="AB63" s="383"/>
      <c r="AC63" s="383"/>
      <c r="AD63" s="383"/>
      <c r="AE63" s="383"/>
    </row>
    <row r="64" spans="1:31" ht="25.5">
      <c r="A64" s="682" t="s">
        <v>969</v>
      </c>
      <c r="B64" s="402" t="s">
        <v>749</v>
      </c>
      <c r="C64" s="532"/>
      <c r="D64" s="532" t="s">
        <v>987</v>
      </c>
      <c r="E64" s="532" t="s">
        <v>988</v>
      </c>
      <c r="F64" s="390" t="s">
        <v>806</v>
      </c>
      <c r="G64" s="390" t="s">
        <v>789</v>
      </c>
      <c r="H64" s="381">
        <v>1</v>
      </c>
      <c r="I64" s="381">
        <v>5</v>
      </c>
      <c r="J64" s="381">
        <f t="shared" si="6"/>
        <v>1</v>
      </c>
      <c r="K64" s="381">
        <f t="shared" si="8"/>
        <v>5</v>
      </c>
      <c r="L64" s="644">
        <f>IFERROR(IF(B64="funkcna poziadavka",VLOOKUP(G64,MODULY_CBA!$B$3:$E$23,4,0)*H64/SUMIFS($H$3:$H$168,$G$3:$G$168,G64,$B$3:$B$168,B64),),)</f>
        <v>3</v>
      </c>
      <c r="M64" s="381">
        <f>IFERROR(IF(B64="Funkcna poziadavka",VLOOKUP(G64,MODULY_CBA!$B$3:$E$23,3,0),),)</f>
        <v>0.99499999999999988</v>
      </c>
      <c r="N64" s="381">
        <f>IFERROR(IF(B64="funkcna poziadavka",VLOOKUP(G64,MODULY_CBA!$B$3:$E$23,2,0),),)</f>
        <v>0.99</v>
      </c>
      <c r="O64" s="380">
        <f t="shared" si="7"/>
        <v>7.880399999999999</v>
      </c>
      <c r="P64" s="379">
        <f>IFERROR(O64*VLOOKUP(G64,MODULY_CBA!$B$3:$F$23,5,0),)</f>
        <v>197.00999999999996</v>
      </c>
      <c r="Q64" s="480" t="str">
        <f>IFERROR(VLOOKUP(G64,MODULY_CBA!$B$3:$I$23,6,0),"")</f>
        <v>Inkrement 1</v>
      </c>
      <c r="R64" s="383"/>
      <c r="S64" s="383"/>
      <c r="T64" s="383"/>
      <c r="U64" s="383"/>
      <c r="V64" s="383"/>
      <c r="W64" s="383"/>
      <c r="X64" s="383"/>
      <c r="Y64" s="383"/>
      <c r="Z64" s="383"/>
      <c r="AA64" s="383"/>
      <c r="AB64" s="383"/>
      <c r="AC64" s="383"/>
      <c r="AD64" s="383"/>
      <c r="AE64" s="383"/>
    </row>
    <row r="65" spans="1:31" ht="25.5">
      <c r="A65" s="682" t="s">
        <v>2514</v>
      </c>
      <c r="B65" s="402" t="s">
        <v>749</v>
      </c>
      <c r="C65" s="532"/>
      <c r="D65" s="532" t="s">
        <v>990</v>
      </c>
      <c r="E65" s="532" t="s">
        <v>991</v>
      </c>
      <c r="F65" s="390" t="s">
        <v>806</v>
      </c>
      <c r="G65" s="390" t="s">
        <v>798</v>
      </c>
      <c r="H65" s="381">
        <v>1</v>
      </c>
      <c r="I65" s="381">
        <v>5</v>
      </c>
      <c r="J65" s="381">
        <f t="shared" si="6"/>
        <v>1</v>
      </c>
      <c r="K65" s="381">
        <f t="shared" si="8"/>
        <v>5</v>
      </c>
      <c r="L65" s="644">
        <f>IFERROR(IF(B65="funkcna poziadavka",VLOOKUP(G65,MODULY_CBA!$B$3:$E$23,4,0)*H65/SUMIFS($H$3:$H$168,$G$3:$G$168,G65,$B$3:$B$168,B65),),)</f>
        <v>6</v>
      </c>
      <c r="M65" s="381">
        <f>IFERROR(IF(B65="Funkcna poziadavka",VLOOKUP(G65,MODULY_CBA!$B$3:$E$23,3,0),),)</f>
        <v>0.99499999999999988</v>
      </c>
      <c r="N65" s="381">
        <f>IFERROR(IF(B65="funkcna poziadavka",VLOOKUP(G65,MODULY_CBA!$B$3:$E$23,2,0),),)</f>
        <v>0.99</v>
      </c>
      <c r="O65" s="380">
        <f t="shared" si="7"/>
        <v>10.835549999999998</v>
      </c>
      <c r="P65" s="379">
        <f>IFERROR(O65*VLOOKUP(G65,MODULY_CBA!$B$3:$F$23,5,0),)</f>
        <v>216.71099999999996</v>
      </c>
      <c r="Q65" s="480" t="str">
        <f>IFERROR(VLOOKUP(G65,MODULY_CBA!$B$3:$I$23,6,0),"")</f>
        <v>Inkrement 1</v>
      </c>
      <c r="R65" s="383"/>
      <c r="S65" s="383"/>
      <c r="T65" s="383"/>
      <c r="U65" s="383"/>
      <c r="V65" s="383"/>
      <c r="W65" s="383"/>
      <c r="X65" s="383"/>
      <c r="Y65" s="383"/>
      <c r="Z65" s="383"/>
      <c r="AA65" s="383"/>
      <c r="AB65" s="383"/>
      <c r="AC65" s="383"/>
      <c r="AD65" s="383"/>
      <c r="AE65" s="383"/>
    </row>
    <row r="66" spans="1:31" ht="25.5">
      <c r="A66" s="682" t="s">
        <v>2515</v>
      </c>
      <c r="B66" s="402" t="s">
        <v>749</v>
      </c>
      <c r="C66" s="532"/>
      <c r="D66" s="532" t="s">
        <v>993</v>
      </c>
      <c r="E66" s="532" t="s">
        <v>994</v>
      </c>
      <c r="F66" s="390" t="s">
        <v>806</v>
      </c>
      <c r="G66" s="390" t="s">
        <v>799</v>
      </c>
      <c r="H66" s="381">
        <v>1</v>
      </c>
      <c r="I66" s="381">
        <v>5</v>
      </c>
      <c r="J66" s="381">
        <f t="shared" si="6"/>
        <v>1</v>
      </c>
      <c r="K66" s="381">
        <f t="shared" si="8"/>
        <v>5</v>
      </c>
      <c r="L66" s="644">
        <f>IFERROR(IF(B66="funkcna poziadavka",VLOOKUP(G66,MODULY_CBA!$B$3:$E$23,4,0)*H66/SUMIFS($H$3:$H$168,$G$3:$G$168,G66,$B$3:$B$168,B66),),)</f>
        <v>1.2</v>
      </c>
      <c r="M66" s="381">
        <f>IFERROR(IF(B66="Funkcna poziadavka",VLOOKUP(G66,MODULY_CBA!$B$3:$E$23,3,0),),)</f>
        <v>0.99499999999999988</v>
      </c>
      <c r="N66" s="381">
        <f>IFERROR(IF(B66="funkcna poziadavka",VLOOKUP(G66,MODULY_CBA!$B$3:$E$23,2,0),),)</f>
        <v>0.99</v>
      </c>
      <c r="O66" s="380">
        <f t="shared" si="7"/>
        <v>6.1073099999999991</v>
      </c>
      <c r="P66" s="379">
        <f>IFERROR(O66*VLOOKUP(G66,MODULY_CBA!$B$3:$F$23,5,0),)</f>
        <v>122.14619999999998</v>
      </c>
      <c r="Q66" s="480" t="str">
        <f>IFERROR(VLOOKUP(G66,MODULY_CBA!$B$3:$I$23,6,0),"")</f>
        <v>Inkrement 1</v>
      </c>
      <c r="R66" s="383"/>
      <c r="S66" s="383"/>
      <c r="T66" s="383"/>
      <c r="U66" s="383"/>
      <c r="V66" s="383"/>
      <c r="W66" s="383"/>
      <c r="X66" s="383"/>
      <c r="Y66" s="383"/>
      <c r="Z66" s="383"/>
      <c r="AA66" s="383"/>
      <c r="AB66" s="383"/>
      <c r="AC66" s="383"/>
      <c r="AD66" s="383"/>
      <c r="AE66" s="383"/>
    </row>
    <row r="67" spans="1:31" ht="25.5">
      <c r="A67" s="682" t="s">
        <v>971</v>
      </c>
      <c r="B67" s="402" t="s">
        <v>749</v>
      </c>
      <c r="C67" s="532"/>
      <c r="D67" s="532" t="s">
        <v>996</v>
      </c>
      <c r="E67" s="532" t="s">
        <v>997</v>
      </c>
      <c r="F67" s="390" t="s">
        <v>806</v>
      </c>
      <c r="G67" s="390" t="s">
        <v>789</v>
      </c>
      <c r="H67" s="381">
        <v>1</v>
      </c>
      <c r="I67" s="381">
        <v>10</v>
      </c>
      <c r="J67" s="381">
        <f t="shared" si="6"/>
        <v>1</v>
      </c>
      <c r="K67" s="381">
        <f t="shared" si="8"/>
        <v>10</v>
      </c>
      <c r="L67" s="644">
        <f>IFERROR(IF(B67="funkcna poziadavka",VLOOKUP(G67,MODULY_CBA!$B$3:$E$23,4,0)*H67/SUMIFS($H$3:$H$168,$G$3:$G$168,G67,$B$3:$B$168,B67),),)</f>
        <v>3</v>
      </c>
      <c r="M67" s="381">
        <f>IFERROR(IF(B67="Funkcna poziadavka",VLOOKUP(G67,MODULY_CBA!$B$3:$E$23,3,0),),)</f>
        <v>0.99499999999999988</v>
      </c>
      <c r="N67" s="381">
        <f>IFERROR(IF(B67="funkcna poziadavka",VLOOKUP(G67,MODULY_CBA!$B$3:$E$23,2,0),),)</f>
        <v>0.99</v>
      </c>
      <c r="O67" s="380">
        <f t="shared" si="7"/>
        <v>12.805649999999998</v>
      </c>
      <c r="P67" s="379">
        <f>IFERROR(O67*VLOOKUP(G67,MODULY_CBA!$B$3:$F$23,5,0),)</f>
        <v>320.14124999999996</v>
      </c>
      <c r="Q67" s="480" t="str">
        <f>IFERROR(VLOOKUP(G67,MODULY_CBA!$B$3:$I$23,6,0),"")</f>
        <v>Inkrement 1</v>
      </c>
      <c r="R67" s="383"/>
      <c r="S67" s="383"/>
      <c r="T67" s="383"/>
      <c r="U67" s="383"/>
      <c r="V67" s="383"/>
      <c r="W67" s="383"/>
      <c r="X67" s="383"/>
      <c r="Y67" s="383"/>
      <c r="Z67" s="383"/>
      <c r="AA67" s="383"/>
      <c r="AB67" s="383"/>
      <c r="AC67" s="383"/>
      <c r="AD67" s="383"/>
      <c r="AE67" s="383"/>
    </row>
    <row r="68" spans="1:31" ht="25.5">
      <c r="A68" s="682" t="s">
        <v>2516</v>
      </c>
      <c r="B68" s="402" t="s">
        <v>749</v>
      </c>
      <c r="C68" s="532"/>
      <c r="D68" s="532" t="s">
        <v>999</v>
      </c>
      <c r="E68" s="532" t="s">
        <v>1000</v>
      </c>
      <c r="F68" s="390" t="s">
        <v>806</v>
      </c>
      <c r="G68" s="390" t="s">
        <v>789</v>
      </c>
      <c r="H68" s="381">
        <v>1</v>
      </c>
      <c r="I68" s="381">
        <v>10</v>
      </c>
      <c r="J68" s="381">
        <f t="shared" si="6"/>
        <v>1</v>
      </c>
      <c r="K68" s="381">
        <f t="shared" si="8"/>
        <v>10</v>
      </c>
      <c r="L68" s="644">
        <f>IFERROR(IF(B68="funkcna poziadavka",VLOOKUP(G68,MODULY_CBA!$B$3:$E$23,4,0)*H68/SUMIFS($H$3:$H$168,$G$3:$G$168,G68,$B$3:$B$168,B68),),)</f>
        <v>3</v>
      </c>
      <c r="M68" s="381">
        <f>IFERROR(IF(B68="Funkcna poziadavka",VLOOKUP(G68,MODULY_CBA!$B$3:$E$23,3,0),),)</f>
        <v>0.99499999999999988</v>
      </c>
      <c r="N68" s="381">
        <f>IFERROR(IF(B68="funkcna poziadavka",VLOOKUP(G68,MODULY_CBA!$B$3:$E$23,2,0),),)</f>
        <v>0.99</v>
      </c>
      <c r="O68" s="380">
        <f t="shared" si="7"/>
        <v>12.805649999999998</v>
      </c>
      <c r="P68" s="379">
        <f>IFERROR(O68*VLOOKUP(G68,MODULY_CBA!$B$3:$F$23,5,0),)</f>
        <v>320.14124999999996</v>
      </c>
      <c r="Q68" s="480" t="str">
        <f>IFERROR(VLOOKUP(G68,MODULY_CBA!$B$3:$I$23,6,0),"")</f>
        <v>Inkrement 1</v>
      </c>
      <c r="R68" s="383"/>
      <c r="S68" s="383"/>
      <c r="T68" s="383"/>
      <c r="U68" s="383"/>
      <c r="V68" s="383"/>
      <c r="W68" s="383"/>
      <c r="X68" s="383"/>
      <c r="Y68" s="383"/>
      <c r="Z68" s="383"/>
      <c r="AA68" s="383"/>
      <c r="AB68" s="383"/>
      <c r="AC68" s="383"/>
      <c r="AD68" s="383"/>
      <c r="AE68" s="383"/>
    </row>
    <row r="69" spans="1:31" ht="76.5">
      <c r="A69" s="682" t="s">
        <v>974</v>
      </c>
      <c r="B69" s="402" t="s">
        <v>749</v>
      </c>
      <c r="C69" s="533"/>
      <c r="D69" s="532" t="s">
        <v>1002</v>
      </c>
      <c r="E69" s="532" t="s">
        <v>1003</v>
      </c>
      <c r="F69" s="390" t="s">
        <v>806</v>
      </c>
      <c r="G69" s="390" t="s">
        <v>790</v>
      </c>
      <c r="H69" s="381">
        <v>1</v>
      </c>
      <c r="I69" s="381">
        <v>10</v>
      </c>
      <c r="J69" s="381">
        <f t="shared" si="6"/>
        <v>1</v>
      </c>
      <c r="K69" s="381">
        <f t="shared" si="8"/>
        <v>10</v>
      </c>
      <c r="L69" s="644">
        <f>IFERROR(IF(B69="funkcna poziadavka",VLOOKUP(G69,MODULY_CBA!$B$3:$E$23,4,0)*H69/SUMIFS($H$3:$H$168,$G$3:$G$168,G69,$B$3:$B$168,B69),),)</f>
        <v>2</v>
      </c>
      <c r="M69" s="381">
        <f>IFERROR(IF(B69="Funkcna poziadavka",VLOOKUP(G69,MODULY_CBA!$B$3:$E$23,3,0),),)</f>
        <v>0.99499999999999988</v>
      </c>
      <c r="N69" s="381">
        <f>IFERROR(IF(B69="funkcna poziadavka",VLOOKUP(G69,MODULY_CBA!$B$3:$E$23,2,0),),)</f>
        <v>0.99</v>
      </c>
      <c r="O69" s="380">
        <f t="shared" si="7"/>
        <v>11.820599999999997</v>
      </c>
      <c r="P69" s="379">
        <f>IFERROR(O69*VLOOKUP(G69,MODULY_CBA!$B$3:$F$23,5,0),)</f>
        <v>177.30899999999997</v>
      </c>
      <c r="Q69" s="480" t="str">
        <f>IFERROR(VLOOKUP(G69,MODULY_CBA!$B$3:$I$23,6,0),"")</f>
        <v>Inkrement 2</v>
      </c>
      <c r="R69" s="383"/>
      <c r="S69" s="383"/>
      <c r="T69" s="383"/>
      <c r="U69" s="383"/>
      <c r="V69" s="383"/>
      <c r="W69" s="383"/>
      <c r="X69" s="383"/>
      <c r="Y69" s="383"/>
      <c r="Z69" s="383"/>
      <c r="AA69" s="383"/>
      <c r="AB69" s="383"/>
      <c r="AC69" s="383"/>
      <c r="AD69" s="383"/>
      <c r="AE69" s="383"/>
    </row>
    <row r="70" spans="1:31" ht="76.5">
      <c r="A70" s="682" t="s">
        <v>977</v>
      </c>
      <c r="B70" s="402" t="s">
        <v>749</v>
      </c>
      <c r="C70" s="533"/>
      <c r="D70" s="532" t="s">
        <v>1005</v>
      </c>
      <c r="E70" s="532" t="s">
        <v>1006</v>
      </c>
      <c r="F70" s="390" t="s">
        <v>806</v>
      </c>
      <c r="G70" s="390" t="s">
        <v>792</v>
      </c>
      <c r="H70" s="381">
        <v>1</v>
      </c>
      <c r="I70" s="381">
        <v>10</v>
      </c>
      <c r="J70" s="381">
        <f t="shared" si="6"/>
        <v>1</v>
      </c>
      <c r="K70" s="381">
        <f t="shared" si="8"/>
        <v>10</v>
      </c>
      <c r="L70" s="644">
        <f>IFERROR(IF(B70="funkcna poziadavka",VLOOKUP(G70,MODULY_CBA!$B$3:$E$23,4,0)*H70/SUMIFS($H$3:$H$168,$G$3:$G$168,G70,$B$3:$B$168,B70),),)</f>
        <v>0.94736842105263153</v>
      </c>
      <c r="M70" s="381">
        <f>IFERROR(IF(B70="Funkcna poziadavka",VLOOKUP(G70,MODULY_CBA!$B$3:$E$23,3,0),),)</f>
        <v>0.99499999999999988</v>
      </c>
      <c r="N70" s="381">
        <f>IFERROR(IF(B70="funkcna poziadavka",VLOOKUP(G70,MODULY_CBA!$B$3:$E$23,2,0),),)</f>
        <v>0.99</v>
      </c>
      <c r="O70" s="380">
        <f t="shared" si="7"/>
        <v>10.783705263157895</v>
      </c>
      <c r="P70" s="379">
        <f>IFERROR(O70*VLOOKUP(G70,MODULY_CBA!$B$3:$F$23,5,0),)</f>
        <v>269.59263157894736</v>
      </c>
      <c r="Q70" s="480" t="str">
        <f>IFERROR(VLOOKUP(G70,MODULY_CBA!$B$3:$I$23,6,0),"")</f>
        <v>Inkrement 2</v>
      </c>
      <c r="R70" s="387"/>
      <c r="S70" s="387"/>
      <c r="T70" s="391"/>
      <c r="U70" s="391"/>
      <c r="V70" s="391"/>
      <c r="W70" s="391"/>
      <c r="X70" s="391"/>
      <c r="Y70" s="391"/>
      <c r="Z70" s="391"/>
      <c r="AA70" s="391"/>
      <c r="AB70" s="391"/>
      <c r="AC70" s="391"/>
      <c r="AD70" s="391"/>
      <c r="AE70" s="391"/>
    </row>
    <row r="71" spans="1:31">
      <c r="A71" s="682" t="s">
        <v>980</v>
      </c>
      <c r="B71" s="402" t="s">
        <v>749</v>
      </c>
      <c r="C71" s="533"/>
      <c r="D71" s="533" t="s">
        <v>1008</v>
      </c>
      <c r="E71" s="532" t="s">
        <v>1009</v>
      </c>
      <c r="F71" s="390" t="s">
        <v>806</v>
      </c>
      <c r="G71" s="390" t="s">
        <v>801</v>
      </c>
      <c r="H71" s="381">
        <v>1</v>
      </c>
      <c r="I71" s="381">
        <v>5</v>
      </c>
      <c r="J71" s="381">
        <f t="shared" si="6"/>
        <v>1</v>
      </c>
      <c r="K71" s="381">
        <f t="shared" si="8"/>
        <v>5</v>
      </c>
      <c r="L71" s="644">
        <f>IFERROR(IF(B71="funkcna poziadavka",VLOOKUP(G71,MODULY_CBA!$B$3:$E$23,4,0)*H71/SUMIFS($H$3:$H$168,$G$3:$G$168,G71,$B$3:$B$168,B71),),)</f>
        <v>2</v>
      </c>
      <c r="M71" s="381">
        <f>IFERROR(IF(B71="Funkcna poziadavka",VLOOKUP(G71,MODULY_CBA!$B$3:$E$23,3,0),),)</f>
        <v>0.99499999999999988</v>
      </c>
      <c r="N71" s="381">
        <f>IFERROR(IF(B71="funkcna poziadavka",VLOOKUP(G71,MODULY_CBA!$B$3:$E$23,2,0),),)</f>
        <v>0.99</v>
      </c>
      <c r="O71" s="380">
        <f t="shared" si="7"/>
        <v>6.8953499999999988</v>
      </c>
      <c r="P71" s="379">
        <f>IFERROR(O71*VLOOKUP(G71,MODULY_CBA!$B$3:$F$23,5,0),)</f>
        <v>103.43024999999999</v>
      </c>
      <c r="Q71" s="480" t="str">
        <f>IFERROR(VLOOKUP(G71,MODULY_CBA!$B$3:$I$23,6,0),"")</f>
        <v>Inkrement 1</v>
      </c>
      <c r="R71" s="387"/>
      <c r="S71" s="387"/>
      <c r="T71" s="391"/>
      <c r="U71" s="391"/>
      <c r="V71" s="391"/>
      <c r="W71" s="391"/>
      <c r="X71" s="391"/>
      <c r="Y71" s="391"/>
      <c r="Z71" s="391"/>
      <c r="AA71" s="391"/>
      <c r="AB71" s="391"/>
      <c r="AC71" s="391"/>
      <c r="AD71" s="391"/>
      <c r="AE71" s="391"/>
    </row>
    <row r="72" spans="1:31" ht="25.5">
      <c r="A72" s="682" t="s">
        <v>983</v>
      </c>
      <c r="B72" s="402" t="s">
        <v>749</v>
      </c>
      <c r="C72" s="535"/>
      <c r="D72" s="533" t="s">
        <v>1011</v>
      </c>
      <c r="E72" s="532" t="s">
        <v>1012</v>
      </c>
      <c r="F72" s="390" t="s">
        <v>806</v>
      </c>
      <c r="G72" s="390" t="s">
        <v>801</v>
      </c>
      <c r="H72" s="381">
        <v>1</v>
      </c>
      <c r="I72" s="381">
        <v>5</v>
      </c>
      <c r="J72" s="381">
        <f t="shared" si="6"/>
        <v>1</v>
      </c>
      <c r="K72" s="381">
        <f t="shared" si="8"/>
        <v>5</v>
      </c>
      <c r="L72" s="644">
        <f>IFERROR(IF(B72="funkcna poziadavka",VLOOKUP(G72,MODULY_CBA!$B$3:$E$23,4,0)*H72/SUMIFS($H$3:$H$168,$G$3:$G$168,G72,$B$3:$B$168,B72),),)</f>
        <v>2</v>
      </c>
      <c r="M72" s="381">
        <f>IFERROR(IF(B72="Funkcna poziadavka",VLOOKUP(G72,MODULY_CBA!$B$3:$E$23,3,0),),)</f>
        <v>0.99499999999999988</v>
      </c>
      <c r="N72" s="381">
        <f>IFERROR(IF(B72="funkcna poziadavka",VLOOKUP(G72,MODULY_CBA!$B$3:$E$23,2,0),),)</f>
        <v>0.99</v>
      </c>
      <c r="O72" s="380">
        <f t="shared" si="7"/>
        <v>6.8953499999999988</v>
      </c>
      <c r="P72" s="379">
        <f>IFERROR(O72*VLOOKUP(G72,MODULY_CBA!$B$3:$F$23,5,0),)</f>
        <v>103.43024999999999</v>
      </c>
      <c r="Q72" s="480" t="str">
        <f>IFERROR(VLOOKUP(G72,MODULY_CBA!$B$3:$I$23,6,0),"")</f>
        <v>Inkrement 1</v>
      </c>
      <c r="R72" s="387"/>
      <c r="S72" s="387"/>
      <c r="T72" s="391"/>
      <c r="U72" s="391"/>
      <c r="V72" s="391"/>
      <c r="W72" s="391"/>
      <c r="X72" s="391"/>
      <c r="Y72" s="391"/>
      <c r="Z72" s="391"/>
      <c r="AA72" s="391"/>
      <c r="AB72" s="391"/>
      <c r="AC72" s="391"/>
      <c r="AD72" s="391"/>
      <c r="AE72" s="391"/>
    </row>
    <row r="73" spans="1:31" ht="38.25">
      <c r="A73" s="682" t="s">
        <v>986</v>
      </c>
      <c r="B73" s="402" t="s">
        <v>749</v>
      </c>
      <c r="C73" s="390"/>
      <c r="D73" s="536" t="s">
        <v>1014</v>
      </c>
      <c r="E73" s="532" t="s">
        <v>1015</v>
      </c>
      <c r="F73" s="390" t="s">
        <v>806</v>
      </c>
      <c r="G73" s="390" t="s">
        <v>801</v>
      </c>
      <c r="H73" s="381">
        <v>1</v>
      </c>
      <c r="I73" s="381">
        <v>15</v>
      </c>
      <c r="J73" s="381">
        <f t="shared" si="6"/>
        <v>1</v>
      </c>
      <c r="K73" s="381">
        <f t="shared" si="8"/>
        <v>15</v>
      </c>
      <c r="L73" s="644">
        <f>IFERROR(IF(B73="funkcna poziadavka",VLOOKUP(G73,MODULY_CBA!$B$3:$E$23,4,0)*H73/SUMIFS($H$3:$H$168,$G$3:$G$168,G73,$B$3:$B$168,B73),),)</f>
        <v>2</v>
      </c>
      <c r="M73" s="381">
        <f>IFERROR(IF(B73="Funkcna poziadavka",VLOOKUP(G73,MODULY_CBA!$B$3:$E$23,3,0),),)</f>
        <v>0.99499999999999988</v>
      </c>
      <c r="N73" s="381">
        <f>IFERROR(IF(B73="funkcna poziadavka",VLOOKUP(G73,MODULY_CBA!$B$3:$E$23,2,0),),)</f>
        <v>0.99</v>
      </c>
      <c r="O73" s="380">
        <f t="shared" si="7"/>
        <v>16.745849999999997</v>
      </c>
      <c r="P73" s="379">
        <f>IFERROR(O73*VLOOKUP(G73,MODULY_CBA!$B$3:$F$23,5,0),)</f>
        <v>251.18774999999997</v>
      </c>
      <c r="Q73" s="480" t="str">
        <f>IFERROR(VLOOKUP(G73,MODULY_CBA!$B$3:$I$23,6,0),"")</f>
        <v>Inkrement 1</v>
      </c>
      <c r="R73" s="387"/>
      <c r="S73" s="387"/>
      <c r="T73" s="391"/>
      <c r="U73" s="391"/>
      <c r="V73" s="391"/>
      <c r="W73" s="391"/>
      <c r="X73" s="391"/>
      <c r="Y73" s="391"/>
      <c r="Z73" s="391"/>
      <c r="AA73" s="391"/>
      <c r="AB73" s="391"/>
      <c r="AC73" s="391"/>
      <c r="AD73" s="391"/>
      <c r="AE73" s="391"/>
    </row>
    <row r="74" spans="1:31" ht="38.25">
      <c r="A74" s="682" t="s">
        <v>2517</v>
      </c>
      <c r="B74" s="402" t="s">
        <v>749</v>
      </c>
      <c r="C74" s="390"/>
      <c r="D74" s="536" t="s">
        <v>1017</v>
      </c>
      <c r="E74" s="532" t="s">
        <v>1018</v>
      </c>
      <c r="F74" s="390" t="s">
        <v>806</v>
      </c>
      <c r="G74" s="390" t="s">
        <v>801</v>
      </c>
      <c r="H74" s="381">
        <v>1</v>
      </c>
      <c r="I74" s="381">
        <v>5</v>
      </c>
      <c r="J74" s="381">
        <f t="shared" si="6"/>
        <v>1</v>
      </c>
      <c r="K74" s="381">
        <f t="shared" si="8"/>
        <v>5</v>
      </c>
      <c r="L74" s="644">
        <f>IFERROR(IF(B74="funkcna poziadavka",VLOOKUP(G74,MODULY_CBA!$B$3:$E$23,4,0)*H74/SUMIFS($H$3:$H$168,$G$3:$G$168,G74,$B$3:$B$168,B74),),)</f>
        <v>2</v>
      </c>
      <c r="M74" s="381">
        <f>IFERROR(IF(B74="Funkcna poziadavka",VLOOKUP(G74,MODULY_CBA!$B$3:$E$23,3,0),),)</f>
        <v>0.99499999999999988</v>
      </c>
      <c r="N74" s="381">
        <f>IFERROR(IF(B74="funkcna poziadavka",VLOOKUP(G74,MODULY_CBA!$B$3:$E$23,2,0),),)</f>
        <v>0.99</v>
      </c>
      <c r="O74" s="380">
        <f t="shared" si="7"/>
        <v>6.8953499999999988</v>
      </c>
      <c r="P74" s="379">
        <f>IFERROR(O74*VLOOKUP(G74,MODULY_CBA!$B$3:$F$23,5,0),)</f>
        <v>103.43024999999999</v>
      </c>
      <c r="Q74" s="480" t="str">
        <f>IFERROR(VLOOKUP(G74,MODULY_CBA!$B$3:$I$23,6,0),"")</f>
        <v>Inkrement 1</v>
      </c>
      <c r="R74" s="385"/>
      <c r="S74" s="385"/>
      <c r="T74" s="385"/>
      <c r="U74" s="385"/>
      <c r="V74" s="385"/>
      <c r="W74" s="385"/>
      <c r="X74" s="385"/>
      <c r="Y74" s="385"/>
      <c r="Z74" s="385"/>
      <c r="AA74" s="385"/>
      <c r="AB74" s="385"/>
      <c r="AC74" s="385"/>
      <c r="AD74" s="385"/>
      <c r="AE74" s="385"/>
    </row>
    <row r="75" spans="1:31" ht="25.5">
      <c r="A75" s="682" t="s">
        <v>989</v>
      </c>
      <c r="B75" s="402" t="s">
        <v>749</v>
      </c>
      <c r="C75" s="390"/>
      <c r="D75" s="533" t="s">
        <v>1020</v>
      </c>
      <c r="E75" s="532" t="s">
        <v>1021</v>
      </c>
      <c r="F75" s="390" t="s">
        <v>806</v>
      </c>
      <c r="G75" s="390" t="s">
        <v>801</v>
      </c>
      <c r="H75" s="381">
        <v>1</v>
      </c>
      <c r="I75" s="381">
        <v>5</v>
      </c>
      <c r="J75" s="381">
        <f t="shared" si="6"/>
        <v>1</v>
      </c>
      <c r="K75" s="381">
        <f t="shared" si="8"/>
        <v>5</v>
      </c>
      <c r="L75" s="644">
        <f>IFERROR(IF(B75="funkcna poziadavka",VLOOKUP(G75,MODULY_CBA!$B$3:$E$23,4,0)*H75/SUMIFS($H$3:$H$168,$G$3:$G$168,G75,$B$3:$B$168,B75),),)</f>
        <v>2</v>
      </c>
      <c r="M75" s="381">
        <f>IFERROR(IF(B75="Funkcna poziadavka",VLOOKUP(G75,MODULY_CBA!$B$3:$E$23,3,0),),)</f>
        <v>0.99499999999999988</v>
      </c>
      <c r="N75" s="381">
        <f>IFERROR(IF(B75="funkcna poziadavka",VLOOKUP(G75,MODULY_CBA!$B$3:$E$23,2,0),),)</f>
        <v>0.99</v>
      </c>
      <c r="O75" s="380">
        <f t="shared" si="7"/>
        <v>6.8953499999999988</v>
      </c>
      <c r="P75" s="379">
        <f>IFERROR(O75*VLOOKUP(G75,MODULY_CBA!$B$3:$F$23,5,0),)</f>
        <v>103.43024999999999</v>
      </c>
      <c r="Q75" s="480" t="str">
        <f>IFERROR(VLOOKUP(G75,MODULY_CBA!$B$3:$I$23,6,0),"")</f>
        <v>Inkrement 1</v>
      </c>
      <c r="R75" s="385"/>
      <c r="S75" s="385"/>
      <c r="T75" s="385"/>
      <c r="U75" s="385"/>
      <c r="V75" s="385"/>
      <c r="W75" s="385"/>
      <c r="X75" s="385"/>
      <c r="Y75" s="385"/>
      <c r="Z75" s="385"/>
      <c r="AA75" s="385"/>
      <c r="AB75" s="385"/>
      <c r="AC75" s="385"/>
      <c r="AD75" s="385"/>
      <c r="AE75" s="385"/>
    </row>
    <row r="76" spans="1:31" ht="25.5">
      <c r="A76" s="682" t="s">
        <v>992</v>
      </c>
      <c r="B76" s="402" t="s">
        <v>749</v>
      </c>
      <c r="C76" s="390"/>
      <c r="D76" s="533" t="s">
        <v>1023</v>
      </c>
      <c r="E76" s="532" t="s">
        <v>1024</v>
      </c>
      <c r="F76" s="390" t="s">
        <v>806</v>
      </c>
      <c r="G76" s="390" t="s">
        <v>800</v>
      </c>
      <c r="H76" s="381">
        <v>1</v>
      </c>
      <c r="I76" s="381">
        <v>5</v>
      </c>
      <c r="J76" s="381">
        <f t="shared" si="6"/>
        <v>1</v>
      </c>
      <c r="K76" s="381">
        <f t="shared" si="8"/>
        <v>5</v>
      </c>
      <c r="L76" s="644">
        <f>IFERROR(IF(B76="funkcna poziadavka",VLOOKUP(G76,MODULY_CBA!$B$3:$E$23,4,0)*H76/SUMIFS($H$3:$H$168,$G$3:$G$168,G76,$B$3:$B$168,B76),),)</f>
        <v>6</v>
      </c>
      <c r="M76" s="381">
        <f>IFERROR(IF(B76="Funkcna poziadavka",VLOOKUP(G76,MODULY_CBA!$B$3:$E$23,3,0),),)</f>
        <v>0.99499999999999988</v>
      </c>
      <c r="N76" s="381">
        <f>IFERROR(IF(B76="funkcna poziadavka",VLOOKUP(G76,MODULY_CBA!$B$3:$E$23,2,0),),)</f>
        <v>0.99</v>
      </c>
      <c r="O76" s="380">
        <f t="shared" si="7"/>
        <v>10.835549999999998</v>
      </c>
      <c r="P76" s="379">
        <f>IFERROR(O76*VLOOKUP(G76,MODULY_CBA!$B$3:$F$23,5,0),)</f>
        <v>162.53324999999995</v>
      </c>
      <c r="Q76" s="480" t="str">
        <f>IFERROR(VLOOKUP(G76,MODULY_CBA!$B$3:$I$23,6,0),"")</f>
        <v>Inkrement 1</v>
      </c>
      <c r="R76" s="385"/>
      <c r="S76" s="385"/>
      <c r="T76" s="385"/>
      <c r="U76" s="385"/>
      <c r="V76" s="385"/>
      <c r="W76" s="385"/>
      <c r="X76" s="385"/>
      <c r="Y76" s="385"/>
      <c r="Z76" s="385"/>
      <c r="AA76" s="385"/>
      <c r="AB76" s="385"/>
      <c r="AC76" s="385"/>
      <c r="AD76" s="385"/>
      <c r="AE76" s="385"/>
    </row>
    <row r="77" spans="1:31">
      <c r="A77" s="682" t="s">
        <v>2518</v>
      </c>
      <c r="B77" s="402" t="s">
        <v>749</v>
      </c>
      <c r="C77" s="390"/>
      <c r="D77" s="533" t="s">
        <v>1026</v>
      </c>
      <c r="E77" s="532" t="s">
        <v>1027</v>
      </c>
      <c r="F77" s="390" t="s">
        <v>806</v>
      </c>
      <c r="G77" s="390" t="s">
        <v>784</v>
      </c>
      <c r="H77" s="381">
        <v>1</v>
      </c>
      <c r="I77" s="381">
        <v>5</v>
      </c>
      <c r="J77" s="381">
        <f t="shared" si="6"/>
        <v>1</v>
      </c>
      <c r="K77" s="381">
        <f t="shared" si="8"/>
        <v>5</v>
      </c>
      <c r="L77" s="644">
        <f>IFERROR(IF(B77="funkcna poziadavka",VLOOKUP(G77,MODULY_CBA!$B$3:$E$23,4,0)*H77/SUMIFS($H$3:$H$168,$G$3:$G$168,G77,$B$3:$B$168,B77),),)</f>
        <v>0.5901639344262295</v>
      </c>
      <c r="M77" s="381">
        <f>IFERROR(IF(B77="Funkcna poziadavka",VLOOKUP(G77,MODULY_CBA!$B$3:$E$23,3,0),),)</f>
        <v>0.99499999999999988</v>
      </c>
      <c r="N77" s="381">
        <f>IFERROR(IF(B77="funkcna poziadavka",VLOOKUP(G77,MODULY_CBA!$B$3:$E$23,2,0),),)</f>
        <v>0.99</v>
      </c>
      <c r="O77" s="380">
        <f t="shared" si="7"/>
        <v>5.5065909836065563</v>
      </c>
      <c r="P77" s="379">
        <f>IFERROR(O77*VLOOKUP(G77,MODULY_CBA!$B$3:$F$23,5,0),)</f>
        <v>110.13181967213113</v>
      </c>
      <c r="Q77" s="480" t="str">
        <f>IFERROR(VLOOKUP(G77,MODULY_CBA!$B$3:$I$23,6,0),"")</f>
        <v>Inkrement 1</v>
      </c>
      <c r="R77" s="385"/>
      <c r="S77" s="385"/>
      <c r="T77" s="385"/>
      <c r="U77" s="385"/>
      <c r="V77" s="385"/>
      <c r="W77" s="385"/>
      <c r="X77" s="385"/>
      <c r="Y77" s="385"/>
      <c r="Z77" s="385"/>
      <c r="AA77" s="385"/>
      <c r="AB77" s="385"/>
      <c r="AC77" s="385"/>
      <c r="AD77" s="385"/>
      <c r="AE77" s="385"/>
    </row>
    <row r="78" spans="1:31" ht="38.25">
      <c r="A78" s="682" t="s">
        <v>2519</v>
      </c>
      <c r="B78" s="402" t="s">
        <v>749</v>
      </c>
      <c r="C78" s="390"/>
      <c r="D78" s="533" t="s">
        <v>1029</v>
      </c>
      <c r="E78" s="532" t="s">
        <v>1030</v>
      </c>
      <c r="F78" s="390" t="s">
        <v>806</v>
      </c>
      <c r="G78" s="390" t="s">
        <v>785</v>
      </c>
      <c r="H78" s="381">
        <v>1</v>
      </c>
      <c r="I78" s="381">
        <v>5</v>
      </c>
      <c r="J78" s="381">
        <f t="shared" si="6"/>
        <v>1</v>
      </c>
      <c r="K78" s="381">
        <f t="shared" si="8"/>
        <v>5</v>
      </c>
      <c r="L78" s="644">
        <f>IFERROR(IF(B78="funkcna poziadavka",VLOOKUP(G78,MODULY_CBA!$B$3:$E$23,4,0)*H78/SUMIFS($H$3:$H$168,$G$3:$G$168,G78,$B$3:$B$168,B78),),)</f>
        <v>6</v>
      </c>
      <c r="M78" s="381">
        <f>IFERROR(IF(B78="Funkcna poziadavka",VLOOKUP(G78,MODULY_CBA!$B$3:$E$23,3,0),),)</f>
        <v>0.99499999999999988</v>
      </c>
      <c r="N78" s="381">
        <f>IFERROR(IF(B78="funkcna poziadavka",VLOOKUP(G78,MODULY_CBA!$B$3:$E$23,2,0),),)</f>
        <v>0.99</v>
      </c>
      <c r="O78" s="380">
        <f t="shared" si="7"/>
        <v>10.835549999999998</v>
      </c>
      <c r="P78" s="379">
        <f>IFERROR(O78*VLOOKUP(G78,MODULY_CBA!$B$3:$F$23,5,0),)</f>
        <v>216.71099999999996</v>
      </c>
      <c r="Q78" s="480" t="str">
        <f>IFERROR(VLOOKUP(G78,MODULY_CBA!$B$3:$I$23,6,0),"")</f>
        <v>Inkrement 1</v>
      </c>
      <c r="R78" s="385"/>
      <c r="S78" s="385"/>
      <c r="T78" s="385"/>
      <c r="U78" s="385"/>
      <c r="V78" s="385"/>
      <c r="W78" s="385"/>
      <c r="X78" s="385"/>
      <c r="Y78" s="385"/>
      <c r="Z78" s="385"/>
      <c r="AA78" s="385"/>
      <c r="AB78" s="385"/>
      <c r="AC78" s="385"/>
      <c r="AD78" s="385"/>
      <c r="AE78" s="385"/>
    </row>
    <row r="79" spans="1:31" ht="38.25">
      <c r="A79" s="682" t="s">
        <v>2520</v>
      </c>
      <c r="B79" s="402" t="s">
        <v>749</v>
      </c>
      <c r="C79" s="390"/>
      <c r="D79" s="533" t="s">
        <v>1032</v>
      </c>
      <c r="E79" s="532" t="s">
        <v>1033</v>
      </c>
      <c r="F79" s="390" t="s">
        <v>806</v>
      </c>
      <c r="G79" s="390" t="s">
        <v>784</v>
      </c>
      <c r="H79" s="381">
        <v>1</v>
      </c>
      <c r="I79" s="381">
        <v>5</v>
      </c>
      <c r="J79" s="381">
        <f t="shared" si="6"/>
        <v>1</v>
      </c>
      <c r="K79" s="381">
        <f t="shared" si="8"/>
        <v>5</v>
      </c>
      <c r="L79" s="644">
        <f>IFERROR(IF(B79="funkcna poziadavka",VLOOKUP(G79,MODULY_CBA!$B$3:$E$23,4,0)*H79/SUMIFS($H$3:$H$168,$G$3:$G$168,G79,$B$3:$B$168,B79),),)</f>
        <v>0.5901639344262295</v>
      </c>
      <c r="M79" s="381">
        <f>IFERROR(IF(B79="Funkcna poziadavka",VLOOKUP(G79,MODULY_CBA!$B$3:$E$23,3,0),),)</f>
        <v>0.99499999999999988</v>
      </c>
      <c r="N79" s="381">
        <f>IFERROR(IF(B79="funkcna poziadavka",VLOOKUP(G79,MODULY_CBA!$B$3:$E$23,2,0),),)</f>
        <v>0.99</v>
      </c>
      <c r="O79" s="380">
        <f t="shared" si="7"/>
        <v>5.5065909836065563</v>
      </c>
      <c r="P79" s="379">
        <f>IFERROR(O79*VLOOKUP(G79,MODULY_CBA!$B$3:$F$23,5,0),)</f>
        <v>110.13181967213113</v>
      </c>
      <c r="Q79" s="480" t="str">
        <f>IFERROR(VLOOKUP(G79,MODULY_CBA!$B$3:$I$23,6,0),"")</f>
        <v>Inkrement 1</v>
      </c>
      <c r="R79" s="385"/>
      <c r="S79" s="385"/>
      <c r="T79" s="385"/>
      <c r="U79" s="385"/>
      <c r="V79" s="385"/>
      <c r="W79" s="385"/>
      <c r="X79" s="385"/>
      <c r="Y79" s="385"/>
      <c r="Z79" s="385"/>
      <c r="AA79" s="385"/>
      <c r="AB79" s="385"/>
      <c r="AC79" s="385"/>
      <c r="AD79" s="385"/>
      <c r="AE79" s="385"/>
    </row>
    <row r="80" spans="1:31">
      <c r="A80" s="682" t="s">
        <v>995</v>
      </c>
      <c r="B80" s="402" t="s">
        <v>749</v>
      </c>
      <c r="C80" s="390"/>
      <c r="D80" s="533" t="s">
        <v>1035</v>
      </c>
      <c r="E80" s="532" t="s">
        <v>1036</v>
      </c>
      <c r="F80" s="390" t="s">
        <v>806</v>
      </c>
      <c r="G80" s="390" t="s">
        <v>784</v>
      </c>
      <c r="H80" s="381">
        <v>1</v>
      </c>
      <c r="I80" s="381">
        <v>5</v>
      </c>
      <c r="J80" s="381">
        <f t="shared" si="6"/>
        <v>1</v>
      </c>
      <c r="K80" s="381">
        <f t="shared" si="8"/>
        <v>5</v>
      </c>
      <c r="L80" s="644">
        <f>IFERROR(IF(B80="funkcna poziadavka",VLOOKUP(G80,MODULY_CBA!$B$3:$E$23,4,0)*H80/SUMIFS($H$3:$H$168,$G$3:$G$168,G80,$B$3:$B$168,B80),),)</f>
        <v>0.5901639344262295</v>
      </c>
      <c r="M80" s="381">
        <f>IFERROR(IF(B80="Funkcna poziadavka",VLOOKUP(G80,MODULY_CBA!$B$3:$E$23,3,0),),)</f>
        <v>0.99499999999999988</v>
      </c>
      <c r="N80" s="381">
        <f>IFERROR(IF(B80="funkcna poziadavka",VLOOKUP(G80,MODULY_CBA!$B$3:$E$23,2,0),),)</f>
        <v>0.99</v>
      </c>
      <c r="O80" s="380">
        <f t="shared" si="7"/>
        <v>5.5065909836065563</v>
      </c>
      <c r="P80" s="379">
        <f>IFERROR(O80*VLOOKUP(G80,MODULY_CBA!$B$3:$F$23,5,0),)</f>
        <v>110.13181967213113</v>
      </c>
      <c r="Q80" s="480" t="str">
        <f>IFERROR(VLOOKUP(G80,MODULY_CBA!$B$3:$I$23,6,0),"")</f>
        <v>Inkrement 1</v>
      </c>
      <c r="R80" s="385"/>
      <c r="S80" s="385"/>
      <c r="T80" s="385"/>
      <c r="U80" s="385"/>
      <c r="V80" s="385"/>
      <c r="W80" s="385"/>
      <c r="X80" s="385"/>
      <c r="Y80" s="385"/>
      <c r="Z80" s="385"/>
      <c r="AA80" s="385"/>
      <c r="AB80" s="385"/>
      <c r="AC80" s="385"/>
      <c r="AD80" s="385"/>
      <c r="AE80" s="385"/>
    </row>
    <row r="81" spans="1:31" ht="25.5">
      <c r="A81" s="682" t="s">
        <v>998</v>
      </c>
      <c r="B81" s="402" t="s">
        <v>749</v>
      </c>
      <c r="C81" s="390"/>
      <c r="D81" s="390" t="s">
        <v>1038</v>
      </c>
      <c r="E81" s="532" t="s">
        <v>1039</v>
      </c>
      <c r="F81" s="390" t="s">
        <v>806</v>
      </c>
      <c r="G81" s="390" t="s">
        <v>784</v>
      </c>
      <c r="H81" s="381">
        <v>1</v>
      </c>
      <c r="I81" s="381">
        <v>5</v>
      </c>
      <c r="J81" s="381">
        <f t="shared" si="6"/>
        <v>1</v>
      </c>
      <c r="K81" s="381">
        <f t="shared" si="8"/>
        <v>5</v>
      </c>
      <c r="L81" s="644">
        <f>IFERROR(IF(B81="funkcna poziadavka",VLOOKUP(G81,MODULY_CBA!$B$3:$E$23,4,0)*H81/SUMIFS($H$3:$H$168,$G$3:$G$168,G81,$B$3:$B$168,B81),),)</f>
        <v>0.5901639344262295</v>
      </c>
      <c r="M81" s="381">
        <f>IFERROR(IF(B81="Funkcna poziadavka",VLOOKUP(G81,MODULY_CBA!$B$3:$E$23,3,0),),)</f>
        <v>0.99499999999999988</v>
      </c>
      <c r="N81" s="381">
        <f>IFERROR(IF(B81="funkcna poziadavka",VLOOKUP(G81,MODULY_CBA!$B$3:$E$23,2,0),),)</f>
        <v>0.99</v>
      </c>
      <c r="O81" s="380">
        <f t="shared" si="7"/>
        <v>5.5065909836065563</v>
      </c>
      <c r="P81" s="379">
        <f>IFERROR(O81*VLOOKUP(G81,MODULY_CBA!$B$3:$F$23,5,0),)</f>
        <v>110.13181967213113</v>
      </c>
      <c r="Q81" s="480" t="str">
        <f>IFERROR(VLOOKUP(G81,MODULY_CBA!$B$3:$I$23,6,0),"")</f>
        <v>Inkrement 1</v>
      </c>
      <c r="R81" s="385"/>
      <c r="S81" s="385"/>
      <c r="T81" s="385"/>
      <c r="U81" s="385"/>
      <c r="V81" s="385"/>
      <c r="W81" s="385"/>
      <c r="X81" s="385"/>
      <c r="Y81" s="385"/>
      <c r="Z81" s="385"/>
      <c r="AA81" s="385"/>
      <c r="AB81" s="385"/>
      <c r="AC81" s="385"/>
      <c r="AD81" s="385"/>
      <c r="AE81" s="385"/>
    </row>
    <row r="82" spans="1:31" ht="38.25">
      <c r="A82" s="682" t="s">
        <v>1001</v>
      </c>
      <c r="B82" s="402" t="s">
        <v>749</v>
      </c>
      <c r="C82" s="390"/>
      <c r="D82" s="533" t="s">
        <v>1041</v>
      </c>
      <c r="E82" s="532" t="s">
        <v>1042</v>
      </c>
      <c r="F82" s="390" t="s">
        <v>806</v>
      </c>
      <c r="G82" s="390" t="s">
        <v>784</v>
      </c>
      <c r="H82" s="381">
        <v>1</v>
      </c>
      <c r="I82" s="381">
        <v>5</v>
      </c>
      <c r="J82" s="381">
        <f t="shared" si="6"/>
        <v>1</v>
      </c>
      <c r="K82" s="381">
        <f t="shared" si="8"/>
        <v>5</v>
      </c>
      <c r="L82" s="644">
        <f>IFERROR(IF(B82="funkcna poziadavka",VLOOKUP(G82,MODULY_CBA!$B$3:$E$23,4,0)*H82/SUMIFS($H$3:$H$168,$G$3:$G$168,G82,$B$3:$B$168,B82),),)</f>
        <v>0.5901639344262295</v>
      </c>
      <c r="M82" s="381">
        <f>IFERROR(IF(B82="Funkcna poziadavka",VLOOKUP(G82,MODULY_CBA!$B$3:$E$23,3,0),),)</f>
        <v>0.99499999999999988</v>
      </c>
      <c r="N82" s="381">
        <f>IFERROR(IF(B82="funkcna poziadavka",VLOOKUP(G82,MODULY_CBA!$B$3:$E$23,2,0),),)</f>
        <v>0.99</v>
      </c>
      <c r="O82" s="380">
        <f t="shared" si="7"/>
        <v>5.5065909836065563</v>
      </c>
      <c r="P82" s="379">
        <f>IFERROR(O82*VLOOKUP(G82,MODULY_CBA!$B$3:$F$23,5,0),)</f>
        <v>110.13181967213113</v>
      </c>
      <c r="Q82" s="480" t="str">
        <f>IFERROR(VLOOKUP(G82,MODULY_CBA!$B$3:$I$23,6,0),"")</f>
        <v>Inkrement 1</v>
      </c>
      <c r="R82" s="384"/>
      <c r="S82" s="384"/>
      <c r="T82" s="384"/>
      <c r="U82" s="384"/>
      <c r="V82" s="389"/>
      <c r="W82" s="388"/>
      <c r="X82" s="388"/>
      <c r="Y82" s="384"/>
      <c r="Z82" s="384"/>
      <c r="AA82" s="384"/>
      <c r="AB82" s="384"/>
      <c r="AC82" s="384"/>
      <c r="AD82" s="384"/>
      <c r="AE82" s="384"/>
    </row>
    <row r="83" spans="1:31">
      <c r="A83" s="682" t="s">
        <v>2521</v>
      </c>
      <c r="B83" s="402" t="s">
        <v>749</v>
      </c>
      <c r="C83" s="386"/>
      <c r="D83" s="533" t="s">
        <v>1044</v>
      </c>
      <c r="E83" s="532" t="s">
        <v>1045</v>
      </c>
      <c r="F83" s="390" t="s">
        <v>806</v>
      </c>
      <c r="G83" s="390" t="s">
        <v>784</v>
      </c>
      <c r="H83" s="381">
        <v>1</v>
      </c>
      <c r="I83" s="381">
        <v>5</v>
      </c>
      <c r="J83" s="381">
        <f t="shared" si="6"/>
        <v>1</v>
      </c>
      <c r="K83" s="381">
        <f t="shared" si="8"/>
        <v>5</v>
      </c>
      <c r="L83" s="644">
        <f>IFERROR(IF(B83="funkcna poziadavka",VLOOKUP(G83,MODULY_CBA!$B$3:$E$23,4,0)*H83/SUMIFS($H$3:$H$168,$G$3:$G$168,G83,$B$3:$B$168,B83),),)</f>
        <v>0.5901639344262295</v>
      </c>
      <c r="M83" s="381">
        <f>IFERROR(IF(B83="Funkcna poziadavka",VLOOKUP(G83,MODULY_CBA!$B$3:$E$23,3,0),),)</f>
        <v>0.99499999999999988</v>
      </c>
      <c r="N83" s="381">
        <f>IFERROR(IF(B83="funkcna poziadavka",VLOOKUP(G83,MODULY_CBA!$B$3:$E$23,2,0),),)</f>
        <v>0.99</v>
      </c>
      <c r="O83" s="380">
        <f t="shared" si="7"/>
        <v>5.5065909836065563</v>
      </c>
      <c r="P83" s="379">
        <f>IFERROR(O83*VLOOKUP(G83,MODULY_CBA!$B$3:$F$23,5,0),)</f>
        <v>110.13181967213113</v>
      </c>
      <c r="Q83" s="480" t="str">
        <f>IFERROR(VLOOKUP(G83,MODULY_CBA!$B$3:$I$23,6,0),"")</f>
        <v>Inkrement 1</v>
      </c>
      <c r="R83" s="385"/>
      <c r="S83" s="385"/>
      <c r="T83" s="385"/>
      <c r="U83" s="385"/>
      <c r="V83" s="385"/>
      <c r="W83" s="385"/>
      <c r="X83" s="385"/>
      <c r="Y83" s="385"/>
      <c r="Z83" s="385"/>
      <c r="AA83" s="385"/>
      <c r="AB83" s="385"/>
      <c r="AC83" s="385"/>
      <c r="AD83" s="385"/>
      <c r="AE83" s="385"/>
    </row>
    <row r="84" spans="1:31">
      <c r="A84" s="682" t="s">
        <v>2522</v>
      </c>
      <c r="B84" s="402" t="s">
        <v>749</v>
      </c>
      <c r="C84" s="390"/>
      <c r="D84" s="533" t="s">
        <v>1047</v>
      </c>
      <c r="E84" s="532" t="s">
        <v>1048</v>
      </c>
      <c r="F84" s="390" t="s">
        <v>806</v>
      </c>
      <c r="G84" s="390" t="s">
        <v>784</v>
      </c>
      <c r="H84" s="381">
        <v>1</v>
      </c>
      <c r="I84" s="381">
        <v>15</v>
      </c>
      <c r="J84" s="381">
        <f t="shared" ref="J84:J117" si="9">IF(ISNUMBER(H84),H84,)</f>
        <v>1</v>
      </c>
      <c r="K84" s="381">
        <f t="shared" si="8"/>
        <v>15</v>
      </c>
      <c r="L84" s="644">
        <f>IFERROR(IF(B84="funkcna poziadavka",VLOOKUP(G84,MODULY_CBA!$B$3:$E$23,4,0)*H84/SUMIFS($H$3:$H$168,$G$3:$G$168,G84,$B$3:$B$168,B84),),)</f>
        <v>0.5901639344262295</v>
      </c>
      <c r="M84" s="381">
        <f>IFERROR(IF(B84="Funkcna poziadavka",VLOOKUP(G84,MODULY_CBA!$B$3:$E$23,3,0),),)</f>
        <v>0.99499999999999988</v>
      </c>
      <c r="N84" s="381">
        <f>IFERROR(IF(B84="funkcna poziadavka",VLOOKUP(G84,MODULY_CBA!$B$3:$E$23,2,0),),)</f>
        <v>0.99</v>
      </c>
      <c r="O84" s="380">
        <f t="shared" ref="O84:O117" si="10">(K84+L84)*M84*N84</f>
        <v>15.357090983606556</v>
      </c>
      <c r="P84" s="379">
        <f>IFERROR(O84*VLOOKUP(G84,MODULY_CBA!$B$3:$F$23,5,0),)</f>
        <v>307.14181967213113</v>
      </c>
      <c r="Q84" s="480" t="str">
        <f>IFERROR(VLOOKUP(G84,MODULY_CBA!$B$3:$I$23,6,0),"")</f>
        <v>Inkrement 1</v>
      </c>
      <c r="R84" s="385"/>
      <c r="S84" s="385"/>
      <c r="T84" s="385"/>
      <c r="U84" s="385"/>
      <c r="V84" s="385"/>
      <c r="W84" s="385"/>
      <c r="X84" s="385"/>
      <c r="Y84" s="385"/>
      <c r="Z84" s="385"/>
      <c r="AA84" s="385"/>
      <c r="AB84" s="385"/>
      <c r="AC84" s="385"/>
      <c r="AD84" s="385"/>
      <c r="AE84" s="385"/>
    </row>
    <row r="85" spans="1:31">
      <c r="A85" s="682" t="s">
        <v>1004</v>
      </c>
      <c r="B85" s="402" t="s">
        <v>749</v>
      </c>
      <c r="C85" s="390"/>
      <c r="D85" s="533" t="s">
        <v>1050</v>
      </c>
      <c r="E85" s="532" t="s">
        <v>1051</v>
      </c>
      <c r="F85" s="390" t="s">
        <v>806</v>
      </c>
      <c r="G85" s="390" t="s">
        <v>784</v>
      </c>
      <c r="H85" s="381">
        <v>1</v>
      </c>
      <c r="I85" s="381">
        <v>5</v>
      </c>
      <c r="J85" s="381">
        <f t="shared" si="9"/>
        <v>1</v>
      </c>
      <c r="K85" s="381">
        <f t="shared" si="8"/>
        <v>5</v>
      </c>
      <c r="L85" s="644">
        <f>IFERROR(IF(B85="funkcna poziadavka",VLOOKUP(G85,MODULY_CBA!$B$3:$E$23,4,0)*H85/SUMIFS($H$3:$H$168,$G$3:$G$168,G85,$B$3:$B$168,B85),),)</f>
        <v>0.5901639344262295</v>
      </c>
      <c r="M85" s="381">
        <f>IFERROR(IF(B85="Funkcna poziadavka",VLOOKUP(G85,MODULY_CBA!$B$3:$E$23,3,0),),)</f>
        <v>0.99499999999999988</v>
      </c>
      <c r="N85" s="381">
        <f>IFERROR(IF(B85="funkcna poziadavka",VLOOKUP(G85,MODULY_CBA!$B$3:$E$23,2,0),),)</f>
        <v>0.99</v>
      </c>
      <c r="O85" s="380">
        <f t="shared" si="10"/>
        <v>5.5065909836065563</v>
      </c>
      <c r="P85" s="379">
        <f>IFERROR(O85*VLOOKUP(G85,MODULY_CBA!$B$3:$F$23,5,0),)</f>
        <v>110.13181967213113</v>
      </c>
      <c r="Q85" s="480" t="str">
        <f>IFERROR(VLOOKUP(G85,MODULY_CBA!$B$3:$I$23,6,0),"")</f>
        <v>Inkrement 1</v>
      </c>
      <c r="R85" s="385"/>
      <c r="S85" s="385"/>
      <c r="T85" s="385"/>
      <c r="U85" s="385"/>
      <c r="V85" s="385"/>
      <c r="W85" s="385"/>
      <c r="X85" s="385"/>
      <c r="Y85" s="385"/>
      <c r="Z85" s="385"/>
      <c r="AA85" s="385"/>
      <c r="AB85" s="385"/>
      <c r="AC85" s="385"/>
      <c r="AD85" s="385"/>
      <c r="AE85" s="385"/>
    </row>
    <row r="86" spans="1:31" ht="25.5">
      <c r="A86" s="682" t="s">
        <v>1007</v>
      </c>
      <c r="B86" s="402" t="s">
        <v>749</v>
      </c>
      <c r="C86" s="386"/>
      <c r="D86" s="533" t="s">
        <v>1053</v>
      </c>
      <c r="E86" s="532" t="s">
        <v>1054</v>
      </c>
      <c r="F86" s="390" t="s">
        <v>806</v>
      </c>
      <c r="G86" s="390" t="s">
        <v>784</v>
      </c>
      <c r="H86" s="381">
        <v>1</v>
      </c>
      <c r="I86" s="381">
        <v>5</v>
      </c>
      <c r="J86" s="381">
        <f t="shared" si="9"/>
        <v>1</v>
      </c>
      <c r="K86" s="381">
        <f t="shared" si="8"/>
        <v>5</v>
      </c>
      <c r="L86" s="644">
        <f>IFERROR(IF(B86="funkcna poziadavka",VLOOKUP(G86,MODULY_CBA!$B$3:$E$23,4,0)*H86/SUMIFS($H$3:$H$168,$G$3:$G$168,G86,$B$3:$B$168,B86),),)</f>
        <v>0.5901639344262295</v>
      </c>
      <c r="M86" s="381">
        <f>IFERROR(IF(B86="Funkcna poziadavka",VLOOKUP(G86,MODULY_CBA!$B$3:$E$23,3,0),),)</f>
        <v>0.99499999999999988</v>
      </c>
      <c r="N86" s="381">
        <f>IFERROR(IF(B86="funkcna poziadavka",VLOOKUP(G86,MODULY_CBA!$B$3:$E$23,2,0),),)</f>
        <v>0.99</v>
      </c>
      <c r="O86" s="380">
        <f t="shared" si="10"/>
        <v>5.5065909836065563</v>
      </c>
      <c r="P86" s="379">
        <f>IFERROR(O86*VLOOKUP(G86,MODULY_CBA!$B$3:$F$23,5,0),)</f>
        <v>110.13181967213113</v>
      </c>
      <c r="Q86" s="480" t="str">
        <f>IFERROR(VLOOKUP(G86,MODULY_CBA!$B$3:$I$23,6,0),"")</f>
        <v>Inkrement 1</v>
      </c>
      <c r="R86" s="385"/>
      <c r="S86" s="385"/>
      <c r="T86" s="385"/>
      <c r="U86" s="385"/>
      <c r="V86" s="385"/>
      <c r="W86" s="385"/>
      <c r="X86" s="385"/>
      <c r="Y86" s="385"/>
      <c r="Z86" s="385"/>
      <c r="AA86" s="385"/>
      <c r="AB86" s="385"/>
      <c r="AC86" s="385"/>
      <c r="AD86" s="385"/>
      <c r="AE86" s="385"/>
    </row>
    <row r="87" spans="1:31">
      <c r="A87" s="682" t="s">
        <v>1010</v>
      </c>
      <c r="B87" s="402" t="s">
        <v>749</v>
      </c>
      <c r="C87" s="390"/>
      <c r="D87" s="533" t="s">
        <v>1056</v>
      </c>
      <c r="E87" s="532" t="s">
        <v>1057</v>
      </c>
      <c r="F87" s="390" t="s">
        <v>806</v>
      </c>
      <c r="G87" s="390" t="s">
        <v>784</v>
      </c>
      <c r="H87" s="381">
        <v>1</v>
      </c>
      <c r="I87" s="381">
        <v>5</v>
      </c>
      <c r="J87" s="381">
        <f t="shared" si="9"/>
        <v>1</v>
      </c>
      <c r="K87" s="381">
        <f t="shared" si="8"/>
        <v>5</v>
      </c>
      <c r="L87" s="644">
        <f>IFERROR(IF(B87="funkcna poziadavka",VLOOKUP(G87,MODULY_CBA!$B$3:$E$23,4,0)*H87/SUMIFS($H$3:$H$168,$G$3:$G$168,G87,$B$3:$B$168,B87),),)</f>
        <v>0.5901639344262295</v>
      </c>
      <c r="M87" s="381">
        <f>IFERROR(IF(B87="Funkcna poziadavka",VLOOKUP(G87,MODULY_CBA!$B$3:$E$23,3,0),),)</f>
        <v>0.99499999999999988</v>
      </c>
      <c r="N87" s="381">
        <f>IFERROR(IF(B87="funkcna poziadavka",VLOOKUP(G87,MODULY_CBA!$B$3:$E$23,2,0),),)</f>
        <v>0.99</v>
      </c>
      <c r="O87" s="380">
        <f t="shared" si="10"/>
        <v>5.5065909836065563</v>
      </c>
      <c r="P87" s="379">
        <f>IFERROR(O87*VLOOKUP(G87,MODULY_CBA!$B$3:$F$23,5,0),)</f>
        <v>110.13181967213113</v>
      </c>
      <c r="Q87" s="480" t="str">
        <f>IFERROR(VLOOKUP(G87,MODULY_CBA!$B$3:$I$23,6,0),"")</f>
        <v>Inkrement 1</v>
      </c>
      <c r="R87" s="385"/>
      <c r="S87" s="385"/>
      <c r="T87" s="385"/>
      <c r="U87" s="385"/>
      <c r="V87" s="385"/>
      <c r="W87" s="385"/>
      <c r="X87" s="385"/>
      <c r="Y87" s="385"/>
      <c r="Z87" s="385"/>
      <c r="AA87" s="385"/>
      <c r="AB87" s="385"/>
      <c r="AC87" s="385"/>
      <c r="AD87" s="385"/>
      <c r="AE87" s="385"/>
    </row>
    <row r="88" spans="1:31" ht="25.5">
      <c r="A88" s="682" t="s">
        <v>1013</v>
      </c>
      <c r="B88" s="402" t="s">
        <v>749</v>
      </c>
      <c r="C88" s="532"/>
      <c r="D88" s="532" t="s">
        <v>1059</v>
      </c>
      <c r="E88" s="532" t="s">
        <v>1060</v>
      </c>
      <c r="F88" s="390" t="s">
        <v>806</v>
      </c>
      <c r="G88" s="390" t="s">
        <v>784</v>
      </c>
      <c r="H88" s="381">
        <v>1</v>
      </c>
      <c r="I88" s="381">
        <v>5</v>
      </c>
      <c r="J88" s="381">
        <f t="shared" si="9"/>
        <v>1</v>
      </c>
      <c r="K88" s="381">
        <f t="shared" si="8"/>
        <v>5</v>
      </c>
      <c r="L88" s="644">
        <f>IFERROR(IF(B88="funkcna poziadavka",VLOOKUP(G88,MODULY_CBA!$B$3:$E$23,4,0)*H88/SUMIFS($H$3:$H$168,$G$3:$G$168,G88,$B$3:$B$168,B88),),)</f>
        <v>0.5901639344262295</v>
      </c>
      <c r="M88" s="381">
        <f>IFERROR(IF(B88="Funkcna poziadavka",VLOOKUP(G88,MODULY_CBA!$B$3:$E$23,3,0),),)</f>
        <v>0.99499999999999988</v>
      </c>
      <c r="N88" s="381">
        <f>IFERROR(IF(B88="funkcna poziadavka",VLOOKUP(G88,MODULY_CBA!$B$3:$E$23,2,0),),)</f>
        <v>0.99</v>
      </c>
      <c r="O88" s="380">
        <f t="shared" si="10"/>
        <v>5.5065909836065563</v>
      </c>
      <c r="P88" s="379">
        <f>IFERROR(O88*VLOOKUP(G88,MODULY_CBA!$B$3:$F$23,5,0),)</f>
        <v>110.13181967213113</v>
      </c>
      <c r="Q88" s="480" t="str">
        <f>IFERROR(VLOOKUP(G88,MODULY_CBA!$B$3:$I$23,6,0),"")</f>
        <v>Inkrement 1</v>
      </c>
      <c r="R88" s="385"/>
      <c r="S88" s="385"/>
      <c r="T88" s="385"/>
      <c r="U88" s="385"/>
      <c r="V88" s="385"/>
      <c r="W88" s="385"/>
      <c r="X88" s="385"/>
      <c r="Y88" s="385"/>
      <c r="Z88" s="385"/>
      <c r="AA88" s="385"/>
      <c r="AB88" s="385"/>
      <c r="AC88" s="385"/>
      <c r="AD88" s="385"/>
      <c r="AE88" s="385"/>
    </row>
    <row r="89" spans="1:31" ht="38.25">
      <c r="A89" s="682" t="s">
        <v>1016</v>
      </c>
      <c r="B89" s="402" t="s">
        <v>749</v>
      </c>
      <c r="C89" s="532"/>
      <c r="D89" s="532" t="s">
        <v>1062</v>
      </c>
      <c r="E89" s="532" t="s">
        <v>1063</v>
      </c>
      <c r="F89" s="390" t="s">
        <v>806</v>
      </c>
      <c r="G89" s="390" t="s">
        <v>784</v>
      </c>
      <c r="H89" s="381">
        <v>1</v>
      </c>
      <c r="I89" s="381">
        <v>5</v>
      </c>
      <c r="J89" s="381">
        <f t="shared" si="9"/>
        <v>1</v>
      </c>
      <c r="K89" s="381">
        <f t="shared" si="8"/>
        <v>5</v>
      </c>
      <c r="L89" s="644">
        <f>IFERROR(IF(B89="funkcna poziadavka",VLOOKUP(G89,MODULY_CBA!$B$3:$E$23,4,0)*H89/SUMIFS($H$3:$H$168,$G$3:$G$168,G89,$B$3:$B$168,B89),),)</f>
        <v>0.5901639344262295</v>
      </c>
      <c r="M89" s="381">
        <f>IFERROR(IF(B89="Funkcna poziadavka",VLOOKUP(G89,MODULY_CBA!$B$3:$E$23,3,0),),)</f>
        <v>0.99499999999999988</v>
      </c>
      <c r="N89" s="381">
        <f>IFERROR(IF(B89="funkcna poziadavka",VLOOKUP(G89,MODULY_CBA!$B$3:$E$23,2,0),),)</f>
        <v>0.99</v>
      </c>
      <c r="O89" s="380">
        <f t="shared" si="10"/>
        <v>5.5065909836065563</v>
      </c>
      <c r="P89" s="379">
        <f>IFERROR(O89*VLOOKUP(G89,MODULY_CBA!$B$3:$F$23,5,0),)</f>
        <v>110.13181967213113</v>
      </c>
      <c r="Q89" s="480" t="str">
        <f>IFERROR(VLOOKUP(G89,MODULY_CBA!$B$3:$I$23,6,0),"")</f>
        <v>Inkrement 1</v>
      </c>
      <c r="R89" s="377"/>
      <c r="S89" s="377"/>
      <c r="T89" s="377"/>
      <c r="U89" s="377"/>
      <c r="V89" s="377"/>
      <c r="W89" s="377"/>
      <c r="X89" s="377"/>
      <c r="Y89" s="377"/>
      <c r="Z89" s="377"/>
      <c r="AA89" s="377"/>
      <c r="AB89" s="377"/>
      <c r="AC89" s="377"/>
      <c r="AD89" s="377"/>
      <c r="AE89" s="377"/>
    </row>
    <row r="90" spans="1:31" s="704" customFormat="1" ht="63.75">
      <c r="A90" s="682" t="s">
        <v>1019</v>
      </c>
      <c r="B90" s="716" t="s">
        <v>749</v>
      </c>
      <c r="C90" s="717"/>
      <c r="D90" s="717" t="s">
        <v>2504</v>
      </c>
      <c r="E90" s="717" t="s">
        <v>2505</v>
      </c>
      <c r="F90" s="715" t="s">
        <v>806</v>
      </c>
      <c r="G90" s="715" t="s">
        <v>784</v>
      </c>
      <c r="H90" s="718">
        <v>1</v>
      </c>
      <c r="I90" s="718">
        <v>5</v>
      </c>
      <c r="J90" s="708"/>
      <c r="K90" s="723">
        <f t="shared" ref="K90:K91" si="11">H90*I90</f>
        <v>5</v>
      </c>
      <c r="L90" s="728">
        <f>IFERROR(IF(B90="funkcna poziadavka",VLOOKUP(G90,MODULY_CBA!$B$3:$E$23,4,0)*H90/SUMIFS($H$3:$H$168,$G$3:$G$168,G90,$B$3:$B$168,B90),),)</f>
        <v>0.5901639344262295</v>
      </c>
      <c r="M90" s="723">
        <f>IFERROR(IF(B90="Funkcna poziadavka",VLOOKUP(G90,MODULY_CBA!$B$3:$E$23,3,0),),)</f>
        <v>0.99499999999999988</v>
      </c>
      <c r="N90" s="723">
        <f>IFERROR(IF(B90="funkcna poziadavka",VLOOKUP(G90,MODULY_CBA!$B$3:$E$23,2,0),),)</f>
        <v>0.99</v>
      </c>
      <c r="O90" s="722">
        <f t="shared" ref="O90:O91" si="12">(K90+L90)*M90*N90</f>
        <v>5.5065909836065563</v>
      </c>
      <c r="P90" s="721">
        <f>IFERROR(O90*VLOOKUP(G90,MODULY_CBA!$B$3:$F$23,5,0),)</f>
        <v>110.13181967213113</v>
      </c>
      <c r="Q90" s="726" t="str">
        <f>IFERROR(VLOOKUP(G90,MODULY_CBA!$B$3:$I$23,6,0),"")</f>
        <v>Inkrement 1</v>
      </c>
      <c r="R90" s="705"/>
      <c r="S90" s="705"/>
      <c r="T90" s="705"/>
      <c r="U90" s="705"/>
      <c r="V90" s="705"/>
      <c r="W90" s="705"/>
      <c r="X90" s="705"/>
      <c r="Y90" s="705"/>
      <c r="Z90" s="705"/>
      <c r="AA90" s="705"/>
      <c r="AB90" s="705"/>
      <c r="AC90" s="705"/>
      <c r="AD90" s="705"/>
      <c r="AE90" s="705"/>
    </row>
    <row r="91" spans="1:31" s="704" customFormat="1" ht="63.75">
      <c r="A91" s="682" t="s">
        <v>1022</v>
      </c>
      <c r="B91" s="725" t="s">
        <v>749</v>
      </c>
      <c r="C91" s="727"/>
      <c r="D91" s="727" t="s">
        <v>2506</v>
      </c>
      <c r="E91" s="727" t="s">
        <v>2507</v>
      </c>
      <c r="F91" s="724" t="s">
        <v>806</v>
      </c>
      <c r="G91" s="724" t="s">
        <v>784</v>
      </c>
      <c r="H91" s="729">
        <v>1</v>
      </c>
      <c r="I91" s="729">
        <v>5</v>
      </c>
      <c r="J91" s="708"/>
      <c r="K91" s="723">
        <f t="shared" si="11"/>
        <v>5</v>
      </c>
      <c r="L91" s="728">
        <f>IFERROR(IF(B91="funkcna poziadavka",VLOOKUP(G91,MODULY_CBA!$B$3:$E$23,4,0)*H91/SUMIFS($H$3:$H$168,$G$3:$G$168,G91,$B$3:$B$168,B91),),)</f>
        <v>0.5901639344262295</v>
      </c>
      <c r="M91" s="723">
        <f>IFERROR(IF(B91="Funkcna poziadavka",VLOOKUP(G91,MODULY_CBA!$B$3:$E$23,3,0),),)</f>
        <v>0.99499999999999988</v>
      </c>
      <c r="N91" s="723">
        <f>IFERROR(IF(B91="funkcna poziadavka",VLOOKUP(G91,MODULY_CBA!$B$3:$E$23,2,0),),)</f>
        <v>0.99</v>
      </c>
      <c r="O91" s="722">
        <f t="shared" si="12"/>
        <v>5.5065909836065563</v>
      </c>
      <c r="P91" s="721">
        <f>IFERROR(O91*VLOOKUP(G91,MODULY_CBA!$B$3:$F$23,5,0),)</f>
        <v>110.13181967213113</v>
      </c>
      <c r="Q91" s="726" t="str">
        <f>IFERROR(VLOOKUP(G91,MODULY_CBA!$B$3:$I$23,6,0),"")</f>
        <v>Inkrement 1</v>
      </c>
      <c r="R91" s="705"/>
      <c r="S91" s="705"/>
      <c r="T91" s="705"/>
      <c r="U91" s="705"/>
      <c r="V91" s="705"/>
      <c r="W91" s="705"/>
      <c r="X91" s="705"/>
      <c r="Y91" s="705"/>
      <c r="Z91" s="705"/>
      <c r="AA91" s="705"/>
      <c r="AB91" s="705"/>
      <c r="AC91" s="705"/>
      <c r="AD91" s="705"/>
      <c r="AE91" s="705"/>
    </row>
    <row r="92" spans="1:31" ht="25.5">
      <c r="A92" s="682" t="s">
        <v>1025</v>
      </c>
      <c r="B92" s="402" t="s">
        <v>749</v>
      </c>
      <c r="C92" s="532"/>
      <c r="D92" s="532" t="s">
        <v>1065</v>
      </c>
      <c r="E92" s="532" t="s">
        <v>1066</v>
      </c>
      <c r="F92" s="390" t="s">
        <v>806</v>
      </c>
      <c r="G92" s="390" t="s">
        <v>785</v>
      </c>
      <c r="H92" s="381">
        <v>1</v>
      </c>
      <c r="I92" s="381">
        <v>5</v>
      </c>
      <c r="J92" s="381">
        <f t="shared" si="9"/>
        <v>1</v>
      </c>
      <c r="K92" s="381">
        <f t="shared" si="8"/>
        <v>5</v>
      </c>
      <c r="L92" s="644">
        <f>IFERROR(IF(B92="funkcna poziadavka",VLOOKUP(G92,MODULY_CBA!$B$3:$E$23,4,0)*H92/SUMIFS($H$3:$H$168,$G$3:$G$168,G92,$B$3:$B$168,B92),),)</f>
        <v>6</v>
      </c>
      <c r="M92" s="381">
        <f>IFERROR(IF(B92="Funkcna poziadavka",VLOOKUP(G92,MODULY_CBA!$B$3:$E$23,3,0),),)</f>
        <v>0.99499999999999988</v>
      </c>
      <c r="N92" s="381">
        <f>IFERROR(IF(B92="funkcna poziadavka",VLOOKUP(G92,MODULY_CBA!$B$3:$E$23,2,0),),)</f>
        <v>0.99</v>
      </c>
      <c r="O92" s="380">
        <f t="shared" si="10"/>
        <v>10.835549999999998</v>
      </c>
      <c r="P92" s="379">
        <f>IFERROR(O92*VLOOKUP(G92,MODULY_CBA!$B$3:$F$23,5,0),)</f>
        <v>216.71099999999996</v>
      </c>
      <c r="Q92" s="480" t="str">
        <f>IFERROR(VLOOKUP(G92,MODULY_CBA!$B$3:$I$23,6,0),"")</f>
        <v>Inkrement 1</v>
      </c>
      <c r="R92" s="377" t="s">
        <v>168</v>
      </c>
      <c r="S92" s="377" t="s">
        <v>168</v>
      </c>
      <c r="T92" s="377" t="s">
        <v>168</v>
      </c>
      <c r="U92" s="377" t="s">
        <v>168</v>
      </c>
      <c r="V92" s="377" t="s">
        <v>168</v>
      </c>
      <c r="W92" s="377" t="s">
        <v>168</v>
      </c>
      <c r="X92" s="377" t="s">
        <v>168</v>
      </c>
      <c r="Y92" s="377" t="s">
        <v>168</v>
      </c>
      <c r="Z92" s="377" t="s">
        <v>168</v>
      </c>
      <c r="AA92" s="377" t="s">
        <v>168</v>
      </c>
      <c r="AB92" s="377" t="s">
        <v>168</v>
      </c>
      <c r="AC92" s="377" t="s">
        <v>168</v>
      </c>
      <c r="AD92" s="377" t="s">
        <v>168</v>
      </c>
      <c r="AE92" s="377" t="s">
        <v>168</v>
      </c>
    </row>
    <row r="93" spans="1:31">
      <c r="A93" s="682" t="s">
        <v>1028</v>
      </c>
      <c r="B93" s="402" t="s">
        <v>749</v>
      </c>
      <c r="C93" s="532"/>
      <c r="D93" s="532" t="s">
        <v>1068</v>
      </c>
      <c r="E93" s="532" t="s">
        <v>1069</v>
      </c>
      <c r="F93" s="390" t="s">
        <v>806</v>
      </c>
      <c r="G93" s="390" t="s">
        <v>784</v>
      </c>
      <c r="H93" s="381">
        <v>1</v>
      </c>
      <c r="I93" s="381">
        <v>5</v>
      </c>
      <c r="J93" s="381">
        <f t="shared" si="9"/>
        <v>1</v>
      </c>
      <c r="K93" s="381">
        <f t="shared" si="8"/>
        <v>5</v>
      </c>
      <c r="L93" s="644">
        <f>IFERROR(IF(B93="funkcna poziadavka",VLOOKUP(G93,MODULY_CBA!$B$3:$E$23,4,0)*H93/SUMIFS($H$3:$H$168,$G$3:$G$168,G93,$B$3:$B$168,B93),),)</f>
        <v>0.5901639344262295</v>
      </c>
      <c r="M93" s="381">
        <f>IFERROR(IF(B93="Funkcna poziadavka",VLOOKUP(G93,MODULY_CBA!$B$3:$E$23,3,0),),)</f>
        <v>0.99499999999999988</v>
      </c>
      <c r="N93" s="381">
        <f>IFERROR(IF(B93="funkcna poziadavka",VLOOKUP(G93,MODULY_CBA!$B$3:$E$23,2,0),),)</f>
        <v>0.99</v>
      </c>
      <c r="O93" s="380">
        <f t="shared" si="10"/>
        <v>5.5065909836065563</v>
      </c>
      <c r="P93" s="379">
        <f>IFERROR(O93*VLOOKUP(G93,MODULY_CBA!$B$3:$F$23,5,0),)</f>
        <v>110.13181967213113</v>
      </c>
      <c r="Q93" s="480" t="str">
        <f>IFERROR(VLOOKUP(G93,MODULY_CBA!$B$3:$I$23,6,0),"")</f>
        <v>Inkrement 1</v>
      </c>
      <c r="R93" s="377" t="s">
        <v>168</v>
      </c>
      <c r="S93" s="377" t="s">
        <v>168</v>
      </c>
      <c r="T93" s="377" t="s">
        <v>168</v>
      </c>
      <c r="U93" s="377" t="s">
        <v>168</v>
      </c>
      <c r="V93" s="377" t="s">
        <v>168</v>
      </c>
      <c r="W93" s="377" t="s">
        <v>168</v>
      </c>
      <c r="X93" s="377" t="s">
        <v>168</v>
      </c>
      <c r="Y93" s="377" t="s">
        <v>168</v>
      </c>
      <c r="Z93" s="377" t="s">
        <v>168</v>
      </c>
      <c r="AA93" s="377" t="s">
        <v>168</v>
      </c>
      <c r="AB93" s="377" t="s">
        <v>168</v>
      </c>
      <c r="AC93" s="377" t="s">
        <v>168</v>
      </c>
      <c r="AD93" s="377" t="s">
        <v>168</v>
      </c>
      <c r="AE93" s="377" t="s">
        <v>168</v>
      </c>
    </row>
    <row r="94" spans="1:31">
      <c r="A94" s="682" t="s">
        <v>1031</v>
      </c>
      <c r="B94" s="402" t="s">
        <v>749</v>
      </c>
      <c r="C94" s="532"/>
      <c r="D94" s="532" t="s">
        <v>1071</v>
      </c>
      <c r="E94" s="532" t="s">
        <v>1072</v>
      </c>
      <c r="F94" s="390" t="s">
        <v>806</v>
      </c>
      <c r="G94" s="390" t="s">
        <v>784</v>
      </c>
      <c r="H94" s="381">
        <v>1</v>
      </c>
      <c r="I94" s="381">
        <v>5</v>
      </c>
      <c r="J94" s="381">
        <f t="shared" si="9"/>
        <v>1</v>
      </c>
      <c r="K94" s="381">
        <f t="shared" si="8"/>
        <v>5</v>
      </c>
      <c r="L94" s="644">
        <f>IFERROR(IF(B94="funkcna poziadavka",VLOOKUP(G94,MODULY_CBA!$B$3:$E$23,4,0)*H94/SUMIFS($H$3:$H$168,$G$3:$G$168,G94,$B$3:$B$168,B94),),)</f>
        <v>0.5901639344262295</v>
      </c>
      <c r="M94" s="381">
        <f>IFERROR(IF(B94="Funkcna poziadavka",VLOOKUP(G94,MODULY_CBA!$B$3:$E$23,3,0),),)</f>
        <v>0.99499999999999988</v>
      </c>
      <c r="N94" s="381">
        <f>IFERROR(IF(B94="funkcna poziadavka",VLOOKUP(G94,MODULY_CBA!$B$3:$E$23,2,0),),)</f>
        <v>0.99</v>
      </c>
      <c r="O94" s="380">
        <f t="shared" si="10"/>
        <v>5.5065909836065563</v>
      </c>
      <c r="P94" s="379">
        <f>IFERROR(O94*VLOOKUP(G94,MODULY_CBA!$B$3:$F$23,5,0),)</f>
        <v>110.13181967213113</v>
      </c>
      <c r="Q94" s="480" t="str">
        <f>IFERROR(VLOOKUP(G94,MODULY_CBA!$B$3:$I$23,6,0),"")</f>
        <v>Inkrement 1</v>
      </c>
      <c r="R94" s="383" t="s">
        <v>168</v>
      </c>
      <c r="S94" s="383" t="s">
        <v>168</v>
      </c>
      <c r="T94" s="383" t="s">
        <v>168</v>
      </c>
      <c r="U94" s="383" t="s">
        <v>168</v>
      </c>
      <c r="V94" s="383" t="s">
        <v>168</v>
      </c>
      <c r="W94" s="383" t="s">
        <v>168</v>
      </c>
      <c r="X94" s="383" t="s">
        <v>168</v>
      </c>
      <c r="Y94" s="383" t="s">
        <v>168</v>
      </c>
      <c r="Z94" s="383" t="s">
        <v>168</v>
      </c>
      <c r="AA94" s="383" t="s">
        <v>168</v>
      </c>
      <c r="AB94" s="383" t="s">
        <v>168</v>
      </c>
      <c r="AC94" s="383" t="s">
        <v>168</v>
      </c>
      <c r="AD94" s="383" t="s">
        <v>168</v>
      </c>
      <c r="AE94" s="383" t="s">
        <v>168</v>
      </c>
    </row>
    <row r="95" spans="1:31">
      <c r="A95" s="682" t="s">
        <v>1034</v>
      </c>
      <c r="B95" s="402" t="s">
        <v>749</v>
      </c>
      <c r="C95" s="532"/>
      <c r="D95" s="532" t="s">
        <v>1074</v>
      </c>
      <c r="E95" s="532" t="s">
        <v>1075</v>
      </c>
      <c r="F95" s="390" t="s">
        <v>806</v>
      </c>
      <c r="G95" s="390" t="s">
        <v>784</v>
      </c>
      <c r="H95" s="381">
        <v>1</v>
      </c>
      <c r="I95" s="381">
        <v>5</v>
      </c>
      <c r="J95" s="381">
        <f t="shared" si="9"/>
        <v>1</v>
      </c>
      <c r="K95" s="381">
        <f t="shared" si="8"/>
        <v>5</v>
      </c>
      <c r="L95" s="644">
        <f>IFERROR(IF(B95="funkcna poziadavka",VLOOKUP(G95,MODULY_CBA!$B$3:$E$23,4,0)*H95/SUMIFS($H$3:$H$168,$G$3:$G$168,G95,$B$3:$B$168,B95),),)</f>
        <v>0.5901639344262295</v>
      </c>
      <c r="M95" s="381">
        <f>IFERROR(IF(B95="Funkcna poziadavka",VLOOKUP(G95,MODULY_CBA!$B$3:$E$23,3,0),),)</f>
        <v>0.99499999999999988</v>
      </c>
      <c r="N95" s="381">
        <f>IFERROR(IF(B95="funkcna poziadavka",VLOOKUP(G95,MODULY_CBA!$B$3:$E$23,2,0),),)</f>
        <v>0.99</v>
      </c>
      <c r="O95" s="380">
        <f t="shared" si="10"/>
        <v>5.5065909836065563</v>
      </c>
      <c r="P95" s="379">
        <f>IFERROR(O95*VLOOKUP(G95,MODULY_CBA!$B$3:$F$23,5,0),)</f>
        <v>110.13181967213113</v>
      </c>
      <c r="Q95" s="480" t="str">
        <f>IFERROR(VLOOKUP(G95,MODULY_CBA!$B$3:$I$23,6,0),"")</f>
        <v>Inkrement 1</v>
      </c>
      <c r="R95" s="383"/>
      <c r="S95" s="383"/>
      <c r="T95" s="383"/>
      <c r="U95" s="383"/>
      <c r="V95" s="383"/>
      <c r="W95" s="383"/>
      <c r="X95" s="383"/>
      <c r="Y95" s="383"/>
      <c r="Z95" s="383"/>
      <c r="AA95" s="383"/>
      <c r="AB95" s="383"/>
      <c r="AC95" s="383"/>
      <c r="AD95" s="383"/>
      <c r="AE95" s="383"/>
    </row>
    <row r="96" spans="1:31" ht="25.5">
      <c r="A96" s="682" t="s">
        <v>1037</v>
      </c>
      <c r="B96" s="402" t="s">
        <v>749</v>
      </c>
      <c r="C96" s="532"/>
      <c r="D96" s="532" t="s">
        <v>1077</v>
      </c>
      <c r="E96" s="532" t="s">
        <v>1078</v>
      </c>
      <c r="F96" s="390" t="s">
        <v>806</v>
      </c>
      <c r="G96" s="390" t="s">
        <v>784</v>
      </c>
      <c r="H96" s="381">
        <v>1</v>
      </c>
      <c r="I96" s="381">
        <v>5</v>
      </c>
      <c r="J96" s="381">
        <f t="shared" si="9"/>
        <v>1</v>
      </c>
      <c r="K96" s="381">
        <f t="shared" si="8"/>
        <v>5</v>
      </c>
      <c r="L96" s="644">
        <f>IFERROR(IF(B96="funkcna poziadavka",VLOOKUP(G96,MODULY_CBA!$B$3:$E$23,4,0)*H96/SUMIFS($H$3:$H$168,$G$3:$G$168,G96,$B$3:$B$168,B96),),)</f>
        <v>0.5901639344262295</v>
      </c>
      <c r="M96" s="381">
        <f>IFERROR(IF(B96="Funkcna poziadavka",VLOOKUP(G96,MODULY_CBA!$B$3:$E$23,3,0),),)</f>
        <v>0.99499999999999988</v>
      </c>
      <c r="N96" s="381">
        <f>IFERROR(IF(B96="funkcna poziadavka",VLOOKUP(G96,MODULY_CBA!$B$3:$E$23,2,0),),)</f>
        <v>0.99</v>
      </c>
      <c r="O96" s="380">
        <f t="shared" si="10"/>
        <v>5.5065909836065563</v>
      </c>
      <c r="P96" s="379">
        <f>IFERROR(O96*VLOOKUP(G96,MODULY_CBA!$B$3:$F$23,5,0),)</f>
        <v>110.13181967213113</v>
      </c>
      <c r="Q96" s="480" t="str">
        <f>IFERROR(VLOOKUP(G96,MODULY_CBA!$B$3:$I$23,6,0),"")</f>
        <v>Inkrement 1</v>
      </c>
      <c r="R96" s="383"/>
      <c r="S96" s="383"/>
      <c r="T96" s="383"/>
      <c r="U96" s="383"/>
      <c r="V96" s="383"/>
      <c r="W96" s="383"/>
      <c r="X96" s="383"/>
      <c r="Y96" s="383"/>
      <c r="Z96" s="383"/>
      <c r="AA96" s="383"/>
      <c r="AB96" s="383"/>
      <c r="AC96" s="383"/>
      <c r="AD96" s="383"/>
      <c r="AE96" s="383"/>
    </row>
    <row r="97" spans="1:31" ht="25.5">
      <c r="A97" s="682" t="s">
        <v>1040</v>
      </c>
      <c r="B97" s="402" t="s">
        <v>749</v>
      </c>
      <c r="C97" s="532"/>
      <c r="D97" s="532" t="s">
        <v>1080</v>
      </c>
      <c r="E97" s="532" t="s">
        <v>1081</v>
      </c>
      <c r="F97" s="390" t="s">
        <v>806</v>
      </c>
      <c r="G97" s="390" t="s">
        <v>784</v>
      </c>
      <c r="H97" s="381">
        <v>1</v>
      </c>
      <c r="I97" s="381">
        <v>5</v>
      </c>
      <c r="J97" s="381">
        <f t="shared" si="9"/>
        <v>1</v>
      </c>
      <c r="K97" s="381">
        <f t="shared" si="8"/>
        <v>5</v>
      </c>
      <c r="L97" s="644">
        <f>IFERROR(IF(B97="funkcna poziadavka",VLOOKUP(G97,MODULY_CBA!$B$3:$E$23,4,0)*H97/SUMIFS($H$3:$H$168,$G$3:$G$168,G97,$B$3:$B$168,B97),),)</f>
        <v>0.5901639344262295</v>
      </c>
      <c r="M97" s="381">
        <f>IFERROR(IF(B97="Funkcna poziadavka",VLOOKUP(G97,MODULY_CBA!$B$3:$E$23,3,0),),)</f>
        <v>0.99499999999999988</v>
      </c>
      <c r="N97" s="381">
        <f>IFERROR(IF(B97="funkcna poziadavka",VLOOKUP(G97,MODULY_CBA!$B$3:$E$23,2,0),),)</f>
        <v>0.99</v>
      </c>
      <c r="O97" s="380">
        <f t="shared" si="10"/>
        <v>5.5065909836065563</v>
      </c>
      <c r="P97" s="379">
        <f>IFERROR(O97*VLOOKUP(G97,MODULY_CBA!$B$3:$F$23,5,0),)</f>
        <v>110.13181967213113</v>
      </c>
      <c r="Q97" s="480" t="str">
        <f>IFERROR(VLOOKUP(G97,MODULY_CBA!$B$3:$I$23,6,0),"")</f>
        <v>Inkrement 1</v>
      </c>
      <c r="R97" s="383"/>
      <c r="S97" s="383"/>
      <c r="T97" s="383"/>
      <c r="U97" s="383"/>
      <c r="V97" s="383"/>
      <c r="W97" s="383"/>
      <c r="X97" s="383"/>
      <c r="Y97" s="383"/>
      <c r="Z97" s="383"/>
      <c r="AA97" s="383"/>
      <c r="AB97" s="383"/>
      <c r="AC97" s="383"/>
      <c r="AD97" s="383"/>
      <c r="AE97" s="383"/>
    </row>
    <row r="98" spans="1:31" ht="25.5">
      <c r="A98" s="682" t="s">
        <v>1043</v>
      </c>
      <c r="B98" s="402" t="s">
        <v>749</v>
      </c>
      <c r="C98" s="532"/>
      <c r="D98" s="532" t="s">
        <v>1083</v>
      </c>
      <c r="E98" s="532" t="s">
        <v>1084</v>
      </c>
      <c r="F98" s="390" t="s">
        <v>806</v>
      </c>
      <c r="G98" s="390" t="s">
        <v>784</v>
      </c>
      <c r="H98" s="381">
        <v>1</v>
      </c>
      <c r="I98" s="381">
        <v>10</v>
      </c>
      <c r="J98" s="381">
        <f t="shared" si="9"/>
        <v>1</v>
      </c>
      <c r="K98" s="381">
        <f t="shared" si="8"/>
        <v>10</v>
      </c>
      <c r="L98" s="644">
        <f>IFERROR(IF(B98="funkcna poziadavka",VLOOKUP(G98,MODULY_CBA!$B$3:$E$23,4,0)*H98/SUMIFS($H$3:$H$168,$G$3:$G$168,G98,$B$3:$B$168,B98),),)</f>
        <v>0.5901639344262295</v>
      </c>
      <c r="M98" s="381">
        <f>IFERROR(IF(B98="Funkcna poziadavka",VLOOKUP(G98,MODULY_CBA!$B$3:$E$23,3,0),),)</f>
        <v>0.99499999999999988</v>
      </c>
      <c r="N98" s="381">
        <f>IFERROR(IF(B98="funkcna poziadavka",VLOOKUP(G98,MODULY_CBA!$B$3:$E$23,2,0),),)</f>
        <v>0.99</v>
      </c>
      <c r="O98" s="380">
        <f t="shared" si="10"/>
        <v>10.431840983606556</v>
      </c>
      <c r="P98" s="379">
        <f>IFERROR(O98*VLOOKUP(G98,MODULY_CBA!$B$3:$F$23,5,0),)</f>
        <v>208.63681967213111</v>
      </c>
      <c r="Q98" s="480" t="str">
        <f>IFERROR(VLOOKUP(G98,MODULY_CBA!$B$3:$I$23,6,0),"")</f>
        <v>Inkrement 1</v>
      </c>
      <c r="R98" s="383"/>
      <c r="S98" s="383"/>
      <c r="T98" s="383"/>
      <c r="U98" s="383"/>
      <c r="V98" s="383"/>
      <c r="W98" s="383"/>
      <c r="X98" s="383"/>
      <c r="Y98" s="383"/>
      <c r="Z98" s="383"/>
      <c r="AA98" s="383"/>
      <c r="AB98" s="383"/>
      <c r="AC98" s="383"/>
      <c r="AD98" s="383"/>
      <c r="AE98" s="383"/>
    </row>
    <row r="99" spans="1:31" ht="25.5">
      <c r="A99" s="682" t="s">
        <v>1046</v>
      </c>
      <c r="B99" s="402" t="s">
        <v>749</v>
      </c>
      <c r="C99" s="532"/>
      <c r="D99" s="532" t="s">
        <v>1086</v>
      </c>
      <c r="E99" s="532" t="s">
        <v>1087</v>
      </c>
      <c r="F99" s="390" t="s">
        <v>806</v>
      </c>
      <c r="G99" s="390" t="s">
        <v>784</v>
      </c>
      <c r="H99" s="381">
        <v>1</v>
      </c>
      <c r="I99" s="381">
        <v>5</v>
      </c>
      <c r="J99" s="381">
        <f t="shared" si="9"/>
        <v>1</v>
      </c>
      <c r="K99" s="381">
        <f t="shared" si="8"/>
        <v>5</v>
      </c>
      <c r="L99" s="644">
        <f>IFERROR(IF(B99="funkcna poziadavka",VLOOKUP(G99,MODULY_CBA!$B$3:$E$23,4,0)*H99/SUMIFS($H$3:$H$168,$G$3:$G$168,G99,$B$3:$B$168,B99),),)</f>
        <v>0.5901639344262295</v>
      </c>
      <c r="M99" s="381">
        <f>IFERROR(IF(B99="Funkcna poziadavka",VLOOKUP(G99,MODULY_CBA!$B$3:$E$23,3,0),),)</f>
        <v>0.99499999999999988</v>
      </c>
      <c r="N99" s="381">
        <f>IFERROR(IF(B99="funkcna poziadavka",VLOOKUP(G99,MODULY_CBA!$B$3:$E$23,2,0),),)</f>
        <v>0.99</v>
      </c>
      <c r="O99" s="380">
        <f t="shared" si="10"/>
        <v>5.5065909836065563</v>
      </c>
      <c r="P99" s="379">
        <f>IFERROR(O99*VLOOKUP(G99,MODULY_CBA!$B$3:$F$23,5,0),)</f>
        <v>110.13181967213113</v>
      </c>
      <c r="Q99" s="480" t="str">
        <f>IFERROR(VLOOKUP(G99,MODULY_CBA!$B$3:$I$23,6,0),"")</f>
        <v>Inkrement 1</v>
      </c>
      <c r="R99" s="383"/>
      <c r="S99" s="383"/>
      <c r="T99" s="383"/>
      <c r="U99" s="383"/>
      <c r="V99" s="383"/>
      <c r="W99" s="383"/>
      <c r="X99" s="383"/>
      <c r="Y99" s="383"/>
      <c r="Z99" s="383"/>
      <c r="AA99" s="383"/>
      <c r="AB99" s="383"/>
      <c r="AC99" s="383"/>
      <c r="AD99" s="383"/>
      <c r="AE99" s="383"/>
    </row>
    <row r="100" spans="1:31">
      <c r="A100" s="682" t="s">
        <v>1049</v>
      </c>
      <c r="B100" s="402" t="s">
        <v>749</v>
      </c>
      <c r="C100" s="532"/>
      <c r="D100" s="532" t="s">
        <v>1089</v>
      </c>
      <c r="E100" s="532" t="s">
        <v>1090</v>
      </c>
      <c r="F100" s="390" t="s">
        <v>806</v>
      </c>
      <c r="G100" s="390" t="s">
        <v>784</v>
      </c>
      <c r="H100" s="381">
        <v>1</v>
      </c>
      <c r="I100" s="381">
        <v>5</v>
      </c>
      <c r="J100" s="381">
        <f t="shared" si="9"/>
        <v>1</v>
      </c>
      <c r="K100" s="381">
        <f t="shared" si="8"/>
        <v>5</v>
      </c>
      <c r="L100" s="644">
        <f>IFERROR(IF(B100="funkcna poziadavka",VLOOKUP(G100,MODULY_CBA!$B$3:$E$23,4,0)*H100/SUMIFS($H$3:$H$168,$G$3:$G$168,G100,$B$3:$B$168,B100),),)</f>
        <v>0.5901639344262295</v>
      </c>
      <c r="M100" s="381">
        <f>IFERROR(IF(B100="Funkcna poziadavka",VLOOKUP(G100,MODULY_CBA!$B$3:$E$23,3,0),),)</f>
        <v>0.99499999999999988</v>
      </c>
      <c r="N100" s="381">
        <f>IFERROR(IF(B100="funkcna poziadavka",VLOOKUP(G100,MODULY_CBA!$B$3:$E$23,2,0),),)</f>
        <v>0.99</v>
      </c>
      <c r="O100" s="380">
        <f t="shared" si="10"/>
        <v>5.5065909836065563</v>
      </c>
      <c r="P100" s="379">
        <f>IFERROR(O100*VLOOKUP(G100,MODULY_CBA!$B$3:$F$23,5,0),)</f>
        <v>110.13181967213113</v>
      </c>
      <c r="Q100" s="480" t="str">
        <f>IFERROR(VLOOKUP(G100,MODULY_CBA!$B$3:$I$23,6,0),"")</f>
        <v>Inkrement 1</v>
      </c>
      <c r="R100" s="383"/>
      <c r="S100" s="383"/>
      <c r="T100" s="383"/>
      <c r="U100" s="383"/>
      <c r="V100" s="383"/>
      <c r="W100" s="383"/>
      <c r="X100" s="383"/>
      <c r="Y100" s="383"/>
      <c r="Z100" s="383"/>
      <c r="AA100" s="383"/>
      <c r="AB100" s="383"/>
      <c r="AC100" s="383"/>
      <c r="AD100" s="383"/>
      <c r="AE100" s="383"/>
    </row>
    <row r="101" spans="1:31">
      <c r="A101" s="682" t="s">
        <v>1052</v>
      </c>
      <c r="B101" s="402" t="s">
        <v>749</v>
      </c>
      <c r="C101" s="532"/>
      <c r="D101" s="532" t="s">
        <v>1092</v>
      </c>
      <c r="E101" s="532" t="s">
        <v>1093</v>
      </c>
      <c r="F101" s="390" t="s">
        <v>806</v>
      </c>
      <c r="G101" s="390" t="s">
        <v>784</v>
      </c>
      <c r="H101" s="381">
        <v>1</v>
      </c>
      <c r="I101" s="381">
        <v>5</v>
      </c>
      <c r="J101" s="381">
        <f t="shared" si="9"/>
        <v>1</v>
      </c>
      <c r="K101" s="381">
        <f t="shared" si="8"/>
        <v>5</v>
      </c>
      <c r="L101" s="644">
        <f>IFERROR(IF(B101="funkcna poziadavka",VLOOKUP(G101,MODULY_CBA!$B$3:$E$23,4,0)*H101/SUMIFS($H$3:$H$168,$G$3:$G$168,G101,$B$3:$B$168,B101),),)</f>
        <v>0.5901639344262295</v>
      </c>
      <c r="M101" s="381">
        <f>IFERROR(IF(B101="Funkcna poziadavka",VLOOKUP(G101,MODULY_CBA!$B$3:$E$23,3,0),),)</f>
        <v>0.99499999999999988</v>
      </c>
      <c r="N101" s="381">
        <f>IFERROR(IF(B101="funkcna poziadavka",VLOOKUP(G101,MODULY_CBA!$B$3:$E$23,2,0),),)</f>
        <v>0.99</v>
      </c>
      <c r="O101" s="380">
        <f t="shared" si="10"/>
        <v>5.5065909836065563</v>
      </c>
      <c r="P101" s="379">
        <f>IFERROR(O101*VLOOKUP(G101,MODULY_CBA!$B$3:$F$23,5,0),)</f>
        <v>110.13181967213113</v>
      </c>
      <c r="Q101" s="480" t="str">
        <f>IFERROR(VLOOKUP(G101,MODULY_CBA!$B$3:$I$23,6,0),"")</f>
        <v>Inkrement 1</v>
      </c>
      <c r="R101" s="383" t="s">
        <v>168</v>
      </c>
      <c r="S101" s="383" t="s">
        <v>168</v>
      </c>
      <c r="T101" s="383" t="s">
        <v>168</v>
      </c>
      <c r="U101" s="383" t="s">
        <v>168</v>
      </c>
      <c r="V101" s="383" t="s">
        <v>168</v>
      </c>
      <c r="W101" s="383" t="s">
        <v>168</v>
      </c>
      <c r="X101" s="383" t="s">
        <v>168</v>
      </c>
      <c r="Y101" s="383" t="s">
        <v>168</v>
      </c>
      <c r="Z101" s="383" t="s">
        <v>168</v>
      </c>
      <c r="AA101" s="383" t="s">
        <v>168</v>
      </c>
      <c r="AB101" s="383" t="s">
        <v>168</v>
      </c>
      <c r="AC101" s="383" t="s">
        <v>168</v>
      </c>
      <c r="AD101" s="383" t="s">
        <v>168</v>
      </c>
      <c r="AE101" s="383" t="s">
        <v>168</v>
      </c>
    </row>
    <row r="102" spans="1:31" hidden="1">
      <c r="A102" s="402" t="s">
        <v>1055</v>
      </c>
      <c r="B102" s="402" t="s">
        <v>1095</v>
      </c>
      <c r="C102" s="532"/>
      <c r="D102" s="532" t="s">
        <v>1096</v>
      </c>
      <c r="E102" s="532" t="s">
        <v>1097</v>
      </c>
      <c r="F102" s="390" t="s">
        <v>806</v>
      </c>
      <c r="G102" s="390" t="s">
        <v>784</v>
      </c>
      <c r="H102" s="381"/>
      <c r="I102" s="381"/>
      <c r="J102" s="381">
        <f t="shared" si="9"/>
        <v>0</v>
      </c>
      <c r="K102" s="381">
        <f t="shared" si="8"/>
        <v>0</v>
      </c>
      <c r="L102" s="644">
        <f>IFERROR(IF(B102="funkcna poziadavka",VLOOKUP(G102,MODULY_CBA!$B$3:$E$23,4,0)*H102/SUMIFS($H$3:$H$168,$G$3:$G$168,G102,$B$3:$B$168,B102),),)</f>
        <v>0</v>
      </c>
      <c r="M102" s="381">
        <f>IFERROR(IF(B102="Funkcna poziadavka",VLOOKUP(G102,MODULY_CBA!$B$3:$E$23,3,0),),)</f>
        <v>0</v>
      </c>
      <c r="N102" s="381">
        <f>IFERROR(IF(B102="funkcna poziadavka",VLOOKUP(G102,MODULY_CBA!$B$3:$E$23,2,0),),)</f>
        <v>0</v>
      </c>
      <c r="O102" s="380">
        <f t="shared" si="10"/>
        <v>0</v>
      </c>
      <c r="P102" s="379">
        <f>IFERROR(O102*VLOOKUP(G102,MODULY_CBA!$B$3:$F$23,5,0),)</f>
        <v>0</v>
      </c>
      <c r="Q102" s="480" t="str">
        <f>IFERROR(VLOOKUP(G102,MODULY_CBA!$B$3:$I$23,6,0),"")</f>
        <v>Inkrement 1</v>
      </c>
      <c r="R102" s="383"/>
      <c r="S102" s="383"/>
      <c r="T102" s="383"/>
      <c r="U102" s="383"/>
      <c r="V102" s="383"/>
      <c r="W102" s="383"/>
      <c r="X102" s="383"/>
      <c r="Y102" s="383"/>
      <c r="Z102" s="383"/>
      <c r="AA102" s="383"/>
      <c r="AB102" s="383"/>
      <c r="AC102" s="383"/>
      <c r="AD102" s="383"/>
      <c r="AE102" s="383"/>
    </row>
    <row r="103" spans="1:31" ht="25.5">
      <c r="A103" s="682" t="s">
        <v>1058</v>
      </c>
      <c r="B103" s="402" t="s">
        <v>749</v>
      </c>
      <c r="C103" s="532"/>
      <c r="D103" s="532" t="s">
        <v>1099</v>
      </c>
      <c r="E103" s="532" t="s">
        <v>1100</v>
      </c>
      <c r="F103" s="390" t="s">
        <v>806</v>
      </c>
      <c r="G103" s="390" t="s">
        <v>784</v>
      </c>
      <c r="H103" s="381">
        <v>1</v>
      </c>
      <c r="I103" s="381">
        <v>5</v>
      </c>
      <c r="J103" s="381">
        <f t="shared" si="9"/>
        <v>1</v>
      </c>
      <c r="K103" s="381">
        <f t="shared" si="8"/>
        <v>5</v>
      </c>
      <c r="L103" s="644">
        <f>IFERROR(IF(B103="funkcna poziadavka",VLOOKUP(G103,MODULY_CBA!$B$3:$E$23,4,0)*H103/SUMIFS($H$3:$H$168,$G$3:$G$168,G103,$B$3:$B$168,B103),),)</f>
        <v>0.5901639344262295</v>
      </c>
      <c r="M103" s="381">
        <f>IFERROR(IF(B103="Funkcna poziadavka",VLOOKUP(G103,MODULY_CBA!$B$3:$E$23,3,0),),)</f>
        <v>0.99499999999999988</v>
      </c>
      <c r="N103" s="381">
        <f>IFERROR(IF(B103="funkcna poziadavka",VLOOKUP(G103,MODULY_CBA!$B$3:$E$23,2,0),),)</f>
        <v>0.99</v>
      </c>
      <c r="O103" s="380">
        <f t="shared" si="10"/>
        <v>5.5065909836065563</v>
      </c>
      <c r="P103" s="379">
        <f>IFERROR(O103*VLOOKUP(G103,MODULY_CBA!$B$3:$F$23,5,0),)</f>
        <v>110.13181967213113</v>
      </c>
      <c r="Q103" s="480" t="str">
        <f>IFERROR(VLOOKUP(G103,MODULY_CBA!$B$3:$I$23,6,0),"")</f>
        <v>Inkrement 1</v>
      </c>
      <c r="R103" s="383"/>
      <c r="S103" s="383"/>
      <c r="T103" s="383"/>
      <c r="U103" s="383"/>
      <c r="V103" s="383"/>
      <c r="W103" s="383"/>
      <c r="X103" s="383"/>
      <c r="Y103" s="383"/>
      <c r="Z103" s="383"/>
      <c r="AA103" s="383"/>
      <c r="AB103" s="383"/>
      <c r="AC103" s="383"/>
      <c r="AD103" s="383"/>
      <c r="AE103" s="383"/>
    </row>
    <row r="104" spans="1:31">
      <c r="A104" s="682" t="s">
        <v>1061</v>
      </c>
      <c r="B104" s="402" t="s">
        <v>749</v>
      </c>
      <c r="C104" s="532"/>
      <c r="D104" s="532" t="s">
        <v>1102</v>
      </c>
      <c r="E104" s="532" t="s">
        <v>1103</v>
      </c>
      <c r="F104" s="390" t="s">
        <v>806</v>
      </c>
      <c r="G104" s="390" t="s">
        <v>784</v>
      </c>
      <c r="H104" s="381">
        <v>1</v>
      </c>
      <c r="I104" s="381">
        <v>5</v>
      </c>
      <c r="J104" s="381">
        <f t="shared" si="9"/>
        <v>1</v>
      </c>
      <c r="K104" s="381">
        <f t="shared" si="8"/>
        <v>5</v>
      </c>
      <c r="L104" s="644">
        <f>IFERROR(IF(B104="funkcna poziadavka",VLOOKUP(G104,MODULY_CBA!$B$3:$E$23,4,0)*H104/SUMIFS($H$3:$H$168,$G$3:$G$168,G104,$B$3:$B$168,B104),),)</f>
        <v>0.5901639344262295</v>
      </c>
      <c r="M104" s="381">
        <f>IFERROR(IF(B104="Funkcna poziadavka",VLOOKUP(G104,MODULY_CBA!$B$3:$E$23,3,0),),)</f>
        <v>0.99499999999999988</v>
      </c>
      <c r="N104" s="381">
        <f>IFERROR(IF(B104="funkcna poziadavka",VLOOKUP(G104,MODULY_CBA!$B$3:$E$23,2,0),),)</f>
        <v>0.99</v>
      </c>
      <c r="O104" s="380">
        <f t="shared" si="10"/>
        <v>5.5065909836065563</v>
      </c>
      <c r="P104" s="379">
        <f>IFERROR(O104*VLOOKUP(G104,MODULY_CBA!$B$3:$F$23,5,0),)</f>
        <v>110.13181967213113</v>
      </c>
      <c r="Q104" s="480" t="str">
        <f>IFERROR(VLOOKUP(G104,MODULY_CBA!$B$3:$I$23,6,0),"")</f>
        <v>Inkrement 1</v>
      </c>
      <c r="R104" s="383"/>
      <c r="S104" s="383"/>
      <c r="T104" s="383"/>
      <c r="U104" s="383"/>
      <c r="V104" s="383"/>
      <c r="W104" s="383"/>
      <c r="X104" s="383"/>
      <c r="Y104" s="383"/>
      <c r="Z104" s="383"/>
      <c r="AA104" s="383"/>
      <c r="AB104" s="383"/>
      <c r="AC104" s="383"/>
      <c r="AD104" s="383"/>
      <c r="AE104" s="383"/>
    </row>
    <row r="105" spans="1:31">
      <c r="A105" s="682" t="s">
        <v>1064</v>
      </c>
      <c r="B105" s="402" t="s">
        <v>749</v>
      </c>
      <c r="C105" s="390"/>
      <c r="D105" s="532" t="s">
        <v>1105</v>
      </c>
      <c r="E105" s="532" t="s">
        <v>1106</v>
      </c>
      <c r="F105" s="390" t="s">
        <v>806</v>
      </c>
      <c r="G105" s="390" t="s">
        <v>784</v>
      </c>
      <c r="H105" s="381">
        <v>1</v>
      </c>
      <c r="I105" s="381">
        <v>5</v>
      </c>
      <c r="J105" s="381">
        <f t="shared" si="9"/>
        <v>1</v>
      </c>
      <c r="K105" s="381">
        <f t="shared" si="8"/>
        <v>5</v>
      </c>
      <c r="L105" s="644">
        <f>IFERROR(IF(B105="funkcna poziadavka",VLOOKUP(G105,MODULY_CBA!$B$3:$E$23,4,0)*H105/SUMIFS($H$3:$H$168,$G$3:$G$168,G105,$B$3:$B$168,B105),),)</f>
        <v>0.5901639344262295</v>
      </c>
      <c r="M105" s="381">
        <f>IFERROR(IF(B105="Funkcna poziadavka",VLOOKUP(G105,MODULY_CBA!$B$3:$E$23,3,0),),)</f>
        <v>0.99499999999999988</v>
      </c>
      <c r="N105" s="381">
        <f>IFERROR(IF(B105="funkcna poziadavka",VLOOKUP(G105,MODULY_CBA!$B$3:$E$23,2,0),),)</f>
        <v>0.99</v>
      </c>
      <c r="O105" s="380">
        <f t="shared" si="10"/>
        <v>5.5065909836065563</v>
      </c>
      <c r="P105" s="379">
        <f>IFERROR(O105*VLOOKUP(G105,MODULY_CBA!$B$3:$F$23,5,0),)</f>
        <v>110.13181967213113</v>
      </c>
      <c r="Q105" s="480" t="str">
        <f>IFERROR(VLOOKUP(G105,MODULY_CBA!$B$3:$I$23,6,0),"")</f>
        <v>Inkrement 1</v>
      </c>
      <c r="R105" s="383"/>
      <c r="S105" s="383"/>
      <c r="T105" s="383"/>
      <c r="U105" s="383"/>
      <c r="V105" s="383"/>
      <c r="W105" s="383"/>
      <c r="X105" s="383"/>
      <c r="Y105" s="383"/>
      <c r="Z105" s="383"/>
      <c r="AA105" s="383"/>
      <c r="AB105" s="383"/>
      <c r="AC105" s="383"/>
      <c r="AD105" s="383"/>
      <c r="AE105" s="383"/>
    </row>
    <row r="106" spans="1:31" ht="25.5">
      <c r="A106" s="682" t="s">
        <v>1067</v>
      </c>
      <c r="B106" s="402" t="s">
        <v>749</v>
      </c>
      <c r="C106" s="532"/>
      <c r="D106" s="532" t="s">
        <v>1108</v>
      </c>
      <c r="E106" s="532" t="s">
        <v>1109</v>
      </c>
      <c r="F106" s="390" t="s">
        <v>806</v>
      </c>
      <c r="G106" s="390" t="s">
        <v>784</v>
      </c>
      <c r="H106" s="381">
        <v>1</v>
      </c>
      <c r="I106" s="381">
        <v>5</v>
      </c>
      <c r="J106" s="381">
        <f t="shared" si="9"/>
        <v>1</v>
      </c>
      <c r="K106" s="381">
        <f t="shared" si="8"/>
        <v>5</v>
      </c>
      <c r="L106" s="644">
        <f>IFERROR(IF(B106="funkcna poziadavka",VLOOKUP(G106,MODULY_CBA!$B$3:$E$23,4,0)*H106/SUMIFS($H$3:$H$168,$G$3:$G$168,G106,$B$3:$B$168,B106),),)</f>
        <v>0.5901639344262295</v>
      </c>
      <c r="M106" s="381">
        <f>IFERROR(IF(B106="Funkcna poziadavka",VLOOKUP(G106,MODULY_CBA!$B$3:$E$23,3,0),),)</f>
        <v>0.99499999999999988</v>
      </c>
      <c r="N106" s="381">
        <f>IFERROR(IF(B106="funkcna poziadavka",VLOOKUP(G106,MODULY_CBA!$B$3:$E$23,2,0),),)</f>
        <v>0.99</v>
      </c>
      <c r="O106" s="380">
        <f t="shared" si="10"/>
        <v>5.5065909836065563</v>
      </c>
      <c r="P106" s="379">
        <f>IFERROR(O106*VLOOKUP(G106,MODULY_CBA!$B$3:$F$23,5,0),)</f>
        <v>110.13181967213113</v>
      </c>
      <c r="Q106" s="480" t="str">
        <f>IFERROR(VLOOKUP(G106,MODULY_CBA!$B$3:$I$23,6,0),"")</f>
        <v>Inkrement 1</v>
      </c>
      <c r="R106" s="383"/>
      <c r="S106" s="383"/>
      <c r="T106" s="383"/>
      <c r="U106" s="383"/>
      <c r="V106" s="383"/>
      <c r="W106" s="383"/>
      <c r="X106" s="383"/>
      <c r="Y106" s="383"/>
      <c r="Z106" s="383"/>
      <c r="AA106" s="383"/>
      <c r="AB106" s="383"/>
      <c r="AC106" s="383"/>
      <c r="AD106" s="383"/>
      <c r="AE106" s="383"/>
    </row>
    <row r="107" spans="1:31" ht="25.5">
      <c r="A107" s="682" t="s">
        <v>1070</v>
      </c>
      <c r="B107" s="402" t="s">
        <v>749</v>
      </c>
      <c r="C107" s="532"/>
      <c r="D107" s="532" t="s">
        <v>1111</v>
      </c>
      <c r="E107" s="532" t="s">
        <v>1112</v>
      </c>
      <c r="F107" s="390" t="s">
        <v>806</v>
      </c>
      <c r="G107" s="390" t="s">
        <v>784</v>
      </c>
      <c r="H107" s="381">
        <v>1</v>
      </c>
      <c r="I107" s="381">
        <v>5</v>
      </c>
      <c r="J107" s="381">
        <f t="shared" si="9"/>
        <v>1</v>
      </c>
      <c r="K107" s="381">
        <f t="shared" si="8"/>
        <v>5</v>
      </c>
      <c r="L107" s="644">
        <f>IFERROR(IF(B107="funkcna poziadavka",VLOOKUP(G107,MODULY_CBA!$B$3:$E$23,4,0)*H107/SUMIFS($H$3:$H$168,$G$3:$G$168,G107,$B$3:$B$168,B107),),)</f>
        <v>0.5901639344262295</v>
      </c>
      <c r="M107" s="381">
        <f>IFERROR(IF(B107="Funkcna poziadavka",VLOOKUP(G107,MODULY_CBA!$B$3:$E$23,3,0),),)</f>
        <v>0.99499999999999988</v>
      </c>
      <c r="N107" s="381">
        <f>IFERROR(IF(B107="funkcna poziadavka",VLOOKUP(G107,MODULY_CBA!$B$3:$E$23,2,0),),)</f>
        <v>0.99</v>
      </c>
      <c r="O107" s="380">
        <f t="shared" si="10"/>
        <v>5.5065909836065563</v>
      </c>
      <c r="P107" s="379">
        <f>IFERROR(O107*VLOOKUP(G107,MODULY_CBA!$B$3:$F$23,5,0),)</f>
        <v>110.13181967213113</v>
      </c>
      <c r="Q107" s="480" t="str">
        <f>IFERROR(VLOOKUP(G107,MODULY_CBA!$B$3:$I$23,6,0),"")</f>
        <v>Inkrement 1</v>
      </c>
      <c r="R107" s="383"/>
      <c r="S107" s="383"/>
      <c r="T107" s="383"/>
      <c r="U107" s="383"/>
      <c r="V107" s="383"/>
      <c r="W107" s="383"/>
      <c r="X107" s="383"/>
      <c r="Y107" s="383"/>
      <c r="Z107" s="383"/>
      <c r="AA107" s="383"/>
      <c r="AB107" s="383"/>
      <c r="AC107" s="383"/>
      <c r="AD107" s="383"/>
      <c r="AE107" s="383"/>
    </row>
    <row r="108" spans="1:31">
      <c r="A108" s="682" t="s">
        <v>1073</v>
      </c>
      <c r="B108" s="402" t="s">
        <v>749</v>
      </c>
      <c r="C108" s="532"/>
      <c r="D108" s="532" t="s">
        <v>1114</v>
      </c>
      <c r="E108" s="532" t="s">
        <v>1115</v>
      </c>
      <c r="F108" s="390" t="s">
        <v>806</v>
      </c>
      <c r="G108" s="390" t="s">
        <v>784</v>
      </c>
      <c r="H108" s="381">
        <v>1</v>
      </c>
      <c r="I108" s="381">
        <v>5</v>
      </c>
      <c r="J108" s="381">
        <f t="shared" si="9"/>
        <v>1</v>
      </c>
      <c r="K108" s="381">
        <f t="shared" si="8"/>
        <v>5</v>
      </c>
      <c r="L108" s="644">
        <f>IFERROR(IF(B108="funkcna poziadavka",VLOOKUP(G108,MODULY_CBA!$B$3:$E$23,4,0)*H108/SUMIFS($H$3:$H$168,$G$3:$G$168,G108,$B$3:$B$168,B108),),)</f>
        <v>0.5901639344262295</v>
      </c>
      <c r="M108" s="381">
        <f>IFERROR(IF(B108="Funkcna poziadavka",VLOOKUP(G108,MODULY_CBA!$B$3:$E$23,3,0),),)</f>
        <v>0.99499999999999988</v>
      </c>
      <c r="N108" s="381">
        <f>IFERROR(IF(B108="funkcna poziadavka",VLOOKUP(G108,MODULY_CBA!$B$3:$E$23,2,0),),)</f>
        <v>0.99</v>
      </c>
      <c r="O108" s="380">
        <f t="shared" si="10"/>
        <v>5.5065909836065563</v>
      </c>
      <c r="P108" s="379">
        <f>IFERROR(O108*VLOOKUP(G108,MODULY_CBA!$B$3:$F$23,5,0),)</f>
        <v>110.13181967213113</v>
      </c>
      <c r="Q108" s="480" t="str">
        <f>IFERROR(VLOOKUP(G108,MODULY_CBA!$B$3:$I$23,6,0),"")</f>
        <v>Inkrement 1</v>
      </c>
      <c r="R108" s="383"/>
      <c r="S108" s="383"/>
      <c r="T108" s="383"/>
      <c r="U108" s="383"/>
      <c r="V108" s="383"/>
      <c r="W108" s="383"/>
      <c r="X108" s="383"/>
      <c r="Y108" s="383"/>
      <c r="Z108" s="383"/>
      <c r="AA108" s="383"/>
      <c r="AB108" s="383"/>
      <c r="AC108" s="383"/>
      <c r="AD108" s="383"/>
      <c r="AE108" s="383"/>
    </row>
    <row r="109" spans="1:31" ht="25.5">
      <c r="A109" s="682" t="s">
        <v>1076</v>
      </c>
      <c r="B109" s="402" t="s">
        <v>749</v>
      </c>
      <c r="C109" s="532"/>
      <c r="D109" s="532" t="s">
        <v>1117</v>
      </c>
      <c r="E109" s="532" t="s">
        <v>1118</v>
      </c>
      <c r="F109" s="390" t="s">
        <v>806</v>
      </c>
      <c r="G109" s="390" t="s">
        <v>784</v>
      </c>
      <c r="H109" s="381">
        <v>1</v>
      </c>
      <c r="I109" s="381">
        <v>5</v>
      </c>
      <c r="J109" s="381">
        <f t="shared" si="9"/>
        <v>1</v>
      </c>
      <c r="K109" s="381">
        <f t="shared" si="8"/>
        <v>5</v>
      </c>
      <c r="L109" s="644">
        <f>IFERROR(IF(B109="funkcna poziadavka",VLOOKUP(G109,MODULY_CBA!$B$3:$E$23,4,0)*H109/SUMIFS($H$3:$H$168,$G$3:$G$168,G109,$B$3:$B$168,B109),),)</f>
        <v>0.5901639344262295</v>
      </c>
      <c r="M109" s="381">
        <f>IFERROR(IF(B109="Funkcna poziadavka",VLOOKUP(G109,MODULY_CBA!$B$3:$E$23,3,0),),)</f>
        <v>0.99499999999999988</v>
      </c>
      <c r="N109" s="381">
        <f>IFERROR(IF(B109="funkcna poziadavka",VLOOKUP(G109,MODULY_CBA!$B$3:$E$23,2,0),),)</f>
        <v>0.99</v>
      </c>
      <c r="O109" s="380">
        <f t="shared" si="10"/>
        <v>5.5065909836065563</v>
      </c>
      <c r="P109" s="379">
        <f>IFERROR(O109*VLOOKUP(G109,MODULY_CBA!$B$3:$F$23,5,0),)</f>
        <v>110.13181967213113</v>
      </c>
      <c r="Q109" s="480" t="str">
        <f>IFERROR(VLOOKUP(G109,MODULY_CBA!$B$3:$I$23,6,0),"")</f>
        <v>Inkrement 1</v>
      </c>
      <c r="R109" s="383"/>
      <c r="S109" s="383"/>
      <c r="T109" s="383"/>
      <c r="U109" s="383"/>
      <c r="V109" s="383"/>
      <c r="W109" s="383"/>
      <c r="X109" s="383"/>
      <c r="Y109" s="383"/>
      <c r="Z109" s="383"/>
      <c r="AA109" s="383"/>
      <c r="AB109" s="383"/>
      <c r="AC109" s="383"/>
      <c r="AD109" s="383"/>
      <c r="AE109" s="383"/>
    </row>
    <row r="110" spans="1:31">
      <c r="A110" s="682" t="s">
        <v>1079</v>
      </c>
      <c r="B110" s="402" t="s">
        <v>749</v>
      </c>
      <c r="C110" s="532"/>
      <c r="D110" s="532" t="s">
        <v>1120</v>
      </c>
      <c r="E110" s="532" t="s">
        <v>1121</v>
      </c>
      <c r="F110" s="390" t="s">
        <v>806</v>
      </c>
      <c r="G110" s="390" t="s">
        <v>784</v>
      </c>
      <c r="H110" s="381">
        <v>1</v>
      </c>
      <c r="I110" s="381">
        <v>5</v>
      </c>
      <c r="J110" s="381">
        <f t="shared" si="9"/>
        <v>1</v>
      </c>
      <c r="K110" s="381">
        <f t="shared" si="8"/>
        <v>5</v>
      </c>
      <c r="L110" s="644">
        <f>IFERROR(IF(B110="funkcna poziadavka",VLOOKUP(G110,MODULY_CBA!$B$3:$E$23,4,0)*H110/SUMIFS($H$3:$H$168,$G$3:$G$168,G110,$B$3:$B$168,B110),),)</f>
        <v>0.5901639344262295</v>
      </c>
      <c r="M110" s="381">
        <f>IFERROR(IF(B110="Funkcna poziadavka",VLOOKUP(G110,MODULY_CBA!$B$3:$E$23,3,0),),)</f>
        <v>0.99499999999999988</v>
      </c>
      <c r="N110" s="381">
        <f>IFERROR(IF(B110="funkcna poziadavka",VLOOKUP(G110,MODULY_CBA!$B$3:$E$23,2,0),),)</f>
        <v>0.99</v>
      </c>
      <c r="O110" s="380">
        <f t="shared" si="10"/>
        <v>5.5065909836065563</v>
      </c>
      <c r="P110" s="379">
        <f>IFERROR(O110*VLOOKUP(G110,MODULY_CBA!$B$3:$F$23,5,0),)</f>
        <v>110.13181967213113</v>
      </c>
      <c r="Q110" s="480" t="str">
        <f>IFERROR(VLOOKUP(G110,MODULY_CBA!$B$3:$I$23,6,0),"")</f>
        <v>Inkrement 1</v>
      </c>
      <c r="R110" s="383"/>
      <c r="S110" s="383"/>
      <c r="T110" s="383"/>
      <c r="U110" s="383"/>
      <c r="V110" s="383"/>
      <c r="W110" s="383"/>
      <c r="X110" s="383"/>
      <c r="Y110" s="383"/>
      <c r="Z110" s="383"/>
      <c r="AA110" s="383"/>
      <c r="AB110" s="383"/>
      <c r="AC110" s="383"/>
      <c r="AD110" s="383"/>
      <c r="AE110" s="383"/>
    </row>
    <row r="111" spans="1:31" ht="38.25">
      <c r="A111" s="682" t="s">
        <v>1082</v>
      </c>
      <c r="B111" s="402" t="s">
        <v>749</v>
      </c>
      <c r="C111" s="532"/>
      <c r="D111" s="532" t="s">
        <v>1123</v>
      </c>
      <c r="E111" s="532" t="s">
        <v>1124</v>
      </c>
      <c r="F111" s="390" t="s">
        <v>806</v>
      </c>
      <c r="G111" s="390" t="s">
        <v>784</v>
      </c>
      <c r="H111" s="381">
        <v>1</v>
      </c>
      <c r="I111" s="381">
        <v>5</v>
      </c>
      <c r="J111" s="381">
        <f t="shared" si="9"/>
        <v>1</v>
      </c>
      <c r="K111" s="381">
        <f t="shared" si="8"/>
        <v>5</v>
      </c>
      <c r="L111" s="644">
        <f>IFERROR(IF(B111="funkcna poziadavka",VLOOKUP(G111,MODULY_CBA!$B$3:$E$23,4,0)*H111/SUMIFS($H$3:$H$168,$G$3:$G$168,G111,$B$3:$B$168,B111),),)</f>
        <v>0.5901639344262295</v>
      </c>
      <c r="M111" s="381">
        <f>IFERROR(IF(B111="Funkcna poziadavka",VLOOKUP(G111,MODULY_CBA!$B$3:$E$23,3,0),),)</f>
        <v>0.99499999999999988</v>
      </c>
      <c r="N111" s="381">
        <f>IFERROR(IF(B111="funkcna poziadavka",VLOOKUP(G111,MODULY_CBA!$B$3:$E$23,2,0),),)</f>
        <v>0.99</v>
      </c>
      <c r="O111" s="380">
        <f t="shared" si="10"/>
        <v>5.5065909836065563</v>
      </c>
      <c r="P111" s="379">
        <f>IFERROR(O111*VLOOKUP(G111,MODULY_CBA!$B$3:$F$23,5,0),)</f>
        <v>110.13181967213113</v>
      </c>
      <c r="Q111" s="480" t="str">
        <f>IFERROR(VLOOKUP(G111,MODULY_CBA!$B$3:$I$23,6,0),"")</f>
        <v>Inkrement 1</v>
      </c>
      <c r="R111" s="383"/>
      <c r="S111" s="383"/>
      <c r="T111" s="383"/>
      <c r="U111" s="383"/>
      <c r="V111" s="383"/>
      <c r="W111" s="383"/>
      <c r="X111" s="383"/>
      <c r="Y111" s="383"/>
      <c r="Z111" s="383"/>
      <c r="AA111" s="383"/>
      <c r="AB111" s="383"/>
      <c r="AC111" s="383"/>
      <c r="AD111" s="383"/>
      <c r="AE111" s="383"/>
    </row>
    <row r="112" spans="1:31" ht="25.5">
      <c r="A112" s="682" t="s">
        <v>1085</v>
      </c>
      <c r="B112" s="402" t="s">
        <v>749</v>
      </c>
      <c r="C112" s="532"/>
      <c r="D112" s="532" t="s">
        <v>1126</v>
      </c>
      <c r="E112" s="532" t="s">
        <v>1127</v>
      </c>
      <c r="F112" s="390" t="s">
        <v>806</v>
      </c>
      <c r="G112" s="390" t="s">
        <v>784</v>
      </c>
      <c r="H112" s="381">
        <v>1</v>
      </c>
      <c r="I112" s="381">
        <v>5</v>
      </c>
      <c r="J112" s="381">
        <f t="shared" si="9"/>
        <v>1</v>
      </c>
      <c r="K112" s="381">
        <f t="shared" si="8"/>
        <v>5</v>
      </c>
      <c r="L112" s="644">
        <f>IFERROR(IF(B112="funkcna poziadavka",VLOOKUP(G112,MODULY_CBA!$B$3:$E$23,4,0)*H112/SUMIFS($H$3:$H$168,$G$3:$G$168,G112,$B$3:$B$168,B112),),)</f>
        <v>0.5901639344262295</v>
      </c>
      <c r="M112" s="381">
        <f>IFERROR(IF(B112="Funkcna poziadavka",VLOOKUP(G112,MODULY_CBA!$B$3:$E$23,3,0),),)</f>
        <v>0.99499999999999988</v>
      </c>
      <c r="N112" s="381">
        <f>IFERROR(IF(B112="funkcna poziadavka",VLOOKUP(G112,MODULY_CBA!$B$3:$E$23,2,0),),)</f>
        <v>0.99</v>
      </c>
      <c r="O112" s="380">
        <f t="shared" si="10"/>
        <v>5.5065909836065563</v>
      </c>
      <c r="P112" s="379">
        <f>IFERROR(O112*VLOOKUP(G112,MODULY_CBA!$B$3:$F$23,5,0),)</f>
        <v>110.13181967213113</v>
      </c>
      <c r="Q112" s="480" t="str">
        <f>IFERROR(VLOOKUP(G112,MODULY_CBA!$B$3:$I$23,6,0),"")</f>
        <v>Inkrement 1</v>
      </c>
      <c r="R112" s="383"/>
      <c r="S112" s="383"/>
      <c r="T112" s="383"/>
      <c r="U112" s="383"/>
      <c r="V112" s="383"/>
      <c r="W112" s="383"/>
      <c r="X112" s="383"/>
      <c r="Y112" s="383"/>
      <c r="Z112" s="383"/>
      <c r="AA112" s="383"/>
      <c r="AB112" s="383"/>
      <c r="AC112" s="383"/>
      <c r="AD112" s="383"/>
      <c r="AE112" s="383"/>
    </row>
    <row r="113" spans="1:31" ht="25.5">
      <c r="A113" s="682" t="s">
        <v>1088</v>
      </c>
      <c r="B113" s="402" t="s">
        <v>749</v>
      </c>
      <c r="C113" s="532"/>
      <c r="D113" s="532" t="s">
        <v>1129</v>
      </c>
      <c r="E113" s="532" t="s">
        <v>1130</v>
      </c>
      <c r="F113" s="390" t="s">
        <v>806</v>
      </c>
      <c r="G113" s="390" t="s">
        <v>784</v>
      </c>
      <c r="H113" s="381">
        <v>1</v>
      </c>
      <c r="I113" s="381">
        <v>5</v>
      </c>
      <c r="J113" s="381">
        <f t="shared" si="9"/>
        <v>1</v>
      </c>
      <c r="K113" s="381">
        <f t="shared" si="8"/>
        <v>5</v>
      </c>
      <c r="L113" s="644">
        <f>IFERROR(IF(B113="funkcna poziadavka",VLOOKUP(G113,MODULY_CBA!$B$3:$E$23,4,0)*H113/SUMIFS($H$3:$H$168,$G$3:$G$168,G113,$B$3:$B$168,B113),),)</f>
        <v>0.5901639344262295</v>
      </c>
      <c r="M113" s="381">
        <f>IFERROR(IF(B113="Funkcna poziadavka",VLOOKUP(G113,MODULY_CBA!$B$3:$E$23,3,0),),)</f>
        <v>0.99499999999999988</v>
      </c>
      <c r="N113" s="381">
        <f>IFERROR(IF(B113="funkcna poziadavka",VLOOKUP(G113,MODULY_CBA!$B$3:$E$23,2,0),),)</f>
        <v>0.99</v>
      </c>
      <c r="O113" s="380">
        <f t="shared" si="10"/>
        <v>5.5065909836065563</v>
      </c>
      <c r="P113" s="379">
        <f>IFERROR(O113*VLOOKUP(G113,MODULY_CBA!$B$3:$F$23,5,0),)</f>
        <v>110.13181967213113</v>
      </c>
      <c r="Q113" s="480" t="str">
        <f>IFERROR(VLOOKUP(G113,MODULY_CBA!$B$3:$I$23,6,0),"")</f>
        <v>Inkrement 1</v>
      </c>
      <c r="R113" s="383"/>
      <c r="S113" s="383"/>
      <c r="T113" s="383"/>
      <c r="U113" s="383"/>
      <c r="V113" s="383"/>
      <c r="W113" s="383"/>
      <c r="X113" s="383"/>
      <c r="Y113" s="383"/>
      <c r="Z113" s="383"/>
      <c r="AA113" s="383"/>
      <c r="AB113" s="383"/>
      <c r="AC113" s="383"/>
      <c r="AD113" s="383"/>
      <c r="AE113" s="383"/>
    </row>
    <row r="114" spans="1:31" ht="25.5">
      <c r="A114" s="682" t="s">
        <v>1091</v>
      </c>
      <c r="B114" s="402" t="s">
        <v>749</v>
      </c>
      <c r="C114" s="532"/>
      <c r="D114" s="532" t="s">
        <v>1132</v>
      </c>
      <c r="E114" s="532" t="s">
        <v>1133</v>
      </c>
      <c r="F114" s="390" t="s">
        <v>806</v>
      </c>
      <c r="G114" s="390" t="s">
        <v>784</v>
      </c>
      <c r="H114" s="381">
        <v>1</v>
      </c>
      <c r="I114" s="381">
        <v>5</v>
      </c>
      <c r="J114" s="381">
        <f t="shared" si="9"/>
        <v>1</v>
      </c>
      <c r="K114" s="381">
        <f t="shared" si="8"/>
        <v>5</v>
      </c>
      <c r="L114" s="644">
        <f>IFERROR(IF(B114="funkcna poziadavka",VLOOKUP(G114,MODULY_CBA!$B$3:$E$23,4,0)*H114/SUMIFS($H$3:$H$168,$G$3:$G$168,G114,$B$3:$B$168,B114),),)</f>
        <v>0.5901639344262295</v>
      </c>
      <c r="M114" s="381">
        <f>IFERROR(IF(B114="Funkcna poziadavka",VLOOKUP(G114,MODULY_CBA!$B$3:$E$23,3,0),),)</f>
        <v>0.99499999999999988</v>
      </c>
      <c r="N114" s="381">
        <f>IFERROR(IF(B114="funkcna poziadavka",VLOOKUP(G114,MODULY_CBA!$B$3:$E$23,2,0),),)</f>
        <v>0.99</v>
      </c>
      <c r="O114" s="380">
        <f t="shared" si="10"/>
        <v>5.5065909836065563</v>
      </c>
      <c r="P114" s="379">
        <f>IFERROR(O114*VLOOKUP(G114,MODULY_CBA!$B$3:$F$23,5,0),)</f>
        <v>110.13181967213113</v>
      </c>
      <c r="Q114" s="480" t="str">
        <f>IFERROR(VLOOKUP(G114,MODULY_CBA!$B$3:$I$23,6,0),"")</f>
        <v>Inkrement 1</v>
      </c>
      <c r="R114" s="383"/>
      <c r="S114" s="383"/>
      <c r="T114" s="383"/>
      <c r="U114" s="383"/>
      <c r="V114" s="383"/>
      <c r="W114" s="383"/>
      <c r="X114" s="383"/>
      <c r="Y114" s="383"/>
      <c r="Z114" s="383"/>
      <c r="AA114" s="383"/>
      <c r="AB114" s="383"/>
      <c r="AC114" s="383"/>
      <c r="AD114" s="383"/>
      <c r="AE114" s="383"/>
    </row>
    <row r="115" spans="1:31">
      <c r="A115" s="682" t="s">
        <v>1094</v>
      </c>
      <c r="B115" s="402" t="s">
        <v>749</v>
      </c>
      <c r="C115" s="532"/>
      <c r="D115" s="532" t="s">
        <v>1135</v>
      </c>
      <c r="E115" s="532" t="s">
        <v>1136</v>
      </c>
      <c r="F115" s="390" t="s">
        <v>806</v>
      </c>
      <c r="G115" s="390" t="s">
        <v>784</v>
      </c>
      <c r="H115" s="381">
        <v>1</v>
      </c>
      <c r="I115" s="381">
        <v>5</v>
      </c>
      <c r="J115" s="381">
        <f t="shared" si="9"/>
        <v>1</v>
      </c>
      <c r="K115" s="381">
        <f t="shared" si="8"/>
        <v>5</v>
      </c>
      <c r="L115" s="644">
        <f>IFERROR(IF(B115="funkcna poziadavka",VLOOKUP(G115,MODULY_CBA!$B$3:$E$23,4,0)*H115/SUMIFS($H$3:$H$168,$G$3:$G$168,G115,$B$3:$B$168,B115),),)</f>
        <v>0.5901639344262295</v>
      </c>
      <c r="M115" s="381">
        <f>IFERROR(IF(B115="Funkcna poziadavka",VLOOKUP(G115,MODULY_CBA!$B$3:$E$23,3,0),),)</f>
        <v>0.99499999999999988</v>
      </c>
      <c r="N115" s="381">
        <f>IFERROR(IF(B115="funkcna poziadavka",VLOOKUP(G115,MODULY_CBA!$B$3:$E$23,2,0),),)</f>
        <v>0.99</v>
      </c>
      <c r="O115" s="380">
        <f t="shared" si="10"/>
        <v>5.5065909836065563</v>
      </c>
      <c r="P115" s="379">
        <f>IFERROR(O115*VLOOKUP(G115,MODULY_CBA!$B$3:$F$23,5,0),)</f>
        <v>110.13181967213113</v>
      </c>
      <c r="Q115" s="480" t="str">
        <f>IFERROR(VLOOKUP(G115,MODULY_CBA!$B$3:$I$23,6,0),"")</f>
        <v>Inkrement 1</v>
      </c>
      <c r="R115" s="383" t="s">
        <v>168</v>
      </c>
      <c r="S115" s="383" t="s">
        <v>168</v>
      </c>
      <c r="T115" s="383" t="s">
        <v>168</v>
      </c>
      <c r="U115" s="383" t="s">
        <v>168</v>
      </c>
      <c r="V115" s="383" t="s">
        <v>168</v>
      </c>
      <c r="W115" s="383" t="s">
        <v>168</v>
      </c>
      <c r="X115" s="383" t="s">
        <v>168</v>
      </c>
      <c r="Y115" s="383" t="s">
        <v>168</v>
      </c>
      <c r="Z115" s="383" t="s">
        <v>168</v>
      </c>
      <c r="AA115" s="383" t="s">
        <v>168</v>
      </c>
      <c r="AB115" s="383" t="s">
        <v>168</v>
      </c>
      <c r="AC115" s="383" t="s">
        <v>168</v>
      </c>
      <c r="AD115" s="383" t="s">
        <v>168</v>
      </c>
      <c r="AE115" s="383" t="s">
        <v>168</v>
      </c>
    </row>
    <row r="116" spans="1:31" ht="38.25">
      <c r="A116" s="682" t="s">
        <v>1098</v>
      </c>
      <c r="B116" s="402" t="s">
        <v>749</v>
      </c>
      <c r="C116" s="532"/>
      <c r="D116" s="532" t="s">
        <v>1138</v>
      </c>
      <c r="E116" s="532" t="s">
        <v>1139</v>
      </c>
      <c r="F116" s="390" t="s">
        <v>806</v>
      </c>
      <c r="G116" s="390" t="s">
        <v>793</v>
      </c>
      <c r="H116" s="381">
        <v>1</v>
      </c>
      <c r="I116" s="381">
        <v>10</v>
      </c>
      <c r="J116" s="381">
        <f t="shared" si="9"/>
        <v>1</v>
      </c>
      <c r="K116" s="381">
        <f t="shared" si="8"/>
        <v>10</v>
      </c>
      <c r="L116" s="644">
        <f>IFERROR(IF(B116="funkcna poziadavka",VLOOKUP(G116,MODULY_CBA!$B$3:$E$23,4,0)*H116/SUMIFS($H$3:$H$168,$G$3:$G$168,G116,$B$3:$B$168,B116),),)</f>
        <v>1.263157894736842</v>
      </c>
      <c r="M116" s="381">
        <f>IFERROR(IF(B116="Funkcna poziadavka",VLOOKUP(G116,MODULY_CBA!$B$3:$E$23,3,0),),)</f>
        <v>0.99499999999999988</v>
      </c>
      <c r="N116" s="381">
        <f>IFERROR(IF(B116="funkcna poziadavka",VLOOKUP(G116,MODULY_CBA!$B$3:$E$23,2,0),),)</f>
        <v>0.99</v>
      </c>
      <c r="O116" s="380">
        <f t="shared" si="10"/>
        <v>11.094773684210525</v>
      </c>
      <c r="P116" s="379">
        <f>IFERROR(O116*VLOOKUP(G116,MODULY_CBA!$B$3:$F$23,5,0),)</f>
        <v>221.89547368421049</v>
      </c>
      <c r="Q116" s="480" t="str">
        <f>IFERROR(VLOOKUP(G116,MODULY_CBA!$B$3:$I$23,6,0),"")</f>
        <v>Inkrement 1</v>
      </c>
      <c r="R116" s="383"/>
      <c r="S116" s="383"/>
      <c r="T116" s="383"/>
      <c r="U116" s="383"/>
      <c r="V116" s="383"/>
      <c r="W116" s="383"/>
      <c r="X116" s="383"/>
      <c r="Y116" s="383"/>
      <c r="Z116" s="383"/>
      <c r="AA116" s="383"/>
      <c r="AB116" s="383"/>
      <c r="AC116" s="383"/>
      <c r="AD116" s="383"/>
      <c r="AE116" s="383"/>
    </row>
    <row r="117" spans="1:31" ht="38.25">
      <c r="A117" s="682" t="s">
        <v>1101</v>
      </c>
      <c r="B117" s="402" t="s">
        <v>749</v>
      </c>
      <c r="C117" s="532"/>
      <c r="D117" s="532" t="s">
        <v>1141</v>
      </c>
      <c r="E117" s="532" t="s">
        <v>1142</v>
      </c>
      <c r="F117" s="390" t="s">
        <v>806</v>
      </c>
      <c r="G117" s="390" t="s">
        <v>793</v>
      </c>
      <c r="H117" s="381">
        <v>1</v>
      </c>
      <c r="I117" s="381">
        <v>10</v>
      </c>
      <c r="J117" s="381">
        <f t="shared" si="9"/>
        <v>1</v>
      </c>
      <c r="K117" s="381">
        <f t="shared" si="8"/>
        <v>10</v>
      </c>
      <c r="L117" s="644">
        <f>IFERROR(IF(B117="funkcna poziadavka",VLOOKUP(G117,MODULY_CBA!$B$3:$E$23,4,0)*H117/SUMIFS($H$3:$H$168,$G$3:$G$168,G117,$B$3:$B$168,B117),),)</f>
        <v>1.263157894736842</v>
      </c>
      <c r="M117" s="381">
        <f>IFERROR(IF(B117="Funkcna poziadavka",VLOOKUP(G117,MODULY_CBA!$B$3:$E$23,3,0),),)</f>
        <v>0.99499999999999988</v>
      </c>
      <c r="N117" s="381">
        <f>IFERROR(IF(B117="funkcna poziadavka",VLOOKUP(G117,MODULY_CBA!$B$3:$E$23,2,0),),)</f>
        <v>0.99</v>
      </c>
      <c r="O117" s="380">
        <f t="shared" si="10"/>
        <v>11.094773684210525</v>
      </c>
      <c r="P117" s="379">
        <f>IFERROR(O117*VLOOKUP(G117,MODULY_CBA!$B$3:$F$23,5,0),)</f>
        <v>221.89547368421049</v>
      </c>
      <c r="Q117" s="480" t="str">
        <f>IFERROR(VLOOKUP(G117,MODULY_CBA!$B$3:$I$23,6,0),"")</f>
        <v>Inkrement 1</v>
      </c>
      <c r="R117" s="383"/>
      <c r="S117" s="383"/>
      <c r="T117" s="383"/>
      <c r="U117" s="383"/>
      <c r="V117" s="383"/>
      <c r="W117" s="383"/>
      <c r="X117" s="383"/>
      <c r="Y117" s="383"/>
      <c r="Z117" s="383"/>
      <c r="AA117" s="383"/>
      <c r="AB117" s="383"/>
      <c r="AC117" s="383"/>
      <c r="AD117" s="383"/>
      <c r="AE117" s="383"/>
    </row>
    <row r="118" spans="1:31" ht="51">
      <c r="A118" s="682" t="s">
        <v>1104</v>
      </c>
      <c r="B118" s="402" t="s">
        <v>749</v>
      </c>
      <c r="C118" s="532"/>
      <c r="D118" s="532" t="s">
        <v>1144</v>
      </c>
      <c r="E118" s="532" t="s">
        <v>1145</v>
      </c>
      <c r="F118" s="390" t="s">
        <v>806</v>
      </c>
      <c r="G118" s="390" t="s">
        <v>787</v>
      </c>
      <c r="H118" s="381">
        <v>1</v>
      </c>
      <c r="I118" s="381">
        <v>5</v>
      </c>
      <c r="J118" s="381">
        <f t="shared" ref="J118:J140" si="13">IF(ISNUMBER(H118),H118,)</f>
        <v>1</v>
      </c>
      <c r="K118" s="381">
        <f t="shared" si="8"/>
        <v>5</v>
      </c>
      <c r="L118" s="644">
        <f>IFERROR(IF(B118="funkcna poziadavka",VLOOKUP(G118,MODULY_CBA!$B$3:$E$23,4,0)*H118/SUMIFS($H$3:$H$168,$G$3:$G$168,G118,$B$3:$B$168,B118),),)</f>
        <v>6</v>
      </c>
      <c r="M118" s="381">
        <f>IFERROR(IF(B118="Funkcna poziadavka",VLOOKUP(G118,MODULY_CBA!$B$3:$E$23,3,0),),)</f>
        <v>0.99499999999999988</v>
      </c>
      <c r="N118" s="381">
        <f>IFERROR(IF(B118="funkcna poziadavka",VLOOKUP(G118,MODULY_CBA!$B$3:$E$23,2,0),),)</f>
        <v>0.99</v>
      </c>
      <c r="O118" s="380">
        <f t="shared" ref="O118:O140" si="14">(K118+L118)*M118*N118</f>
        <v>10.835549999999998</v>
      </c>
      <c r="P118" s="379">
        <f>IFERROR(O118*VLOOKUP(G118,MODULY_CBA!$B$3:$F$23,5,0),)</f>
        <v>216.71099999999996</v>
      </c>
      <c r="Q118" s="480" t="str">
        <f>IFERROR(VLOOKUP(G118,MODULY_CBA!$B$3:$I$23,6,0),"")</f>
        <v>Inkrement 1</v>
      </c>
      <c r="R118" s="383"/>
      <c r="S118" s="383"/>
      <c r="T118" s="383"/>
      <c r="U118" s="383"/>
      <c r="V118" s="383"/>
      <c r="W118" s="383"/>
      <c r="X118" s="383"/>
      <c r="Y118" s="383"/>
      <c r="Z118" s="383"/>
      <c r="AA118" s="383"/>
      <c r="AB118" s="383"/>
      <c r="AC118" s="383"/>
      <c r="AD118" s="383"/>
      <c r="AE118" s="383"/>
    </row>
    <row r="119" spans="1:31">
      <c r="A119" s="682" t="s">
        <v>1107</v>
      </c>
      <c r="B119" s="402" t="s">
        <v>749</v>
      </c>
      <c r="C119" s="532"/>
      <c r="D119" s="532" t="s">
        <v>1147</v>
      </c>
      <c r="E119" s="532" t="s">
        <v>1148</v>
      </c>
      <c r="F119" s="390" t="s">
        <v>806</v>
      </c>
      <c r="G119" s="390" t="s">
        <v>787</v>
      </c>
      <c r="H119" s="381">
        <v>1</v>
      </c>
      <c r="I119" s="381">
        <v>5</v>
      </c>
      <c r="J119" s="381">
        <f t="shared" si="13"/>
        <v>1</v>
      </c>
      <c r="K119" s="381">
        <f t="shared" ref="K119:K142" si="15">H119*I119</f>
        <v>5</v>
      </c>
      <c r="L119" s="644">
        <f>IFERROR(IF(B119="funkcna poziadavka",VLOOKUP(G119,MODULY_CBA!$B$3:$E$23,4,0)*H119/SUMIFS($H$3:$H$168,$G$3:$G$168,G119,$B$3:$B$168,B119),),)</f>
        <v>6</v>
      </c>
      <c r="M119" s="381">
        <f>IFERROR(IF(B119="Funkcna poziadavka",VLOOKUP(G119,MODULY_CBA!$B$3:$E$23,3,0),),)</f>
        <v>0.99499999999999988</v>
      </c>
      <c r="N119" s="381">
        <f>IFERROR(IF(B119="funkcna poziadavka",VLOOKUP(G119,MODULY_CBA!$B$3:$E$23,2,0),),)</f>
        <v>0.99</v>
      </c>
      <c r="O119" s="380">
        <f t="shared" si="14"/>
        <v>10.835549999999998</v>
      </c>
      <c r="P119" s="379">
        <f>IFERROR(O119*VLOOKUP(G119,MODULY_CBA!$B$3:$F$23,5,0),)</f>
        <v>216.71099999999996</v>
      </c>
      <c r="Q119" s="480" t="str">
        <f>IFERROR(VLOOKUP(G119,MODULY_CBA!$B$3:$I$23,6,0),"")</f>
        <v>Inkrement 1</v>
      </c>
      <c r="R119" s="383"/>
      <c r="S119" s="383"/>
      <c r="T119" s="383"/>
      <c r="U119" s="383"/>
      <c r="V119" s="383"/>
      <c r="W119" s="383"/>
      <c r="X119" s="383"/>
      <c r="Y119" s="383"/>
      <c r="Z119" s="383"/>
      <c r="AA119" s="383"/>
      <c r="AB119" s="383"/>
      <c r="AC119" s="383"/>
      <c r="AD119" s="383"/>
      <c r="AE119" s="383"/>
    </row>
    <row r="120" spans="1:31" ht="38.25">
      <c r="A120" s="682" t="s">
        <v>1110</v>
      </c>
      <c r="B120" s="402" t="s">
        <v>749</v>
      </c>
      <c r="C120" s="532"/>
      <c r="D120" s="532" t="s">
        <v>1150</v>
      </c>
      <c r="E120" s="532" t="s">
        <v>1151</v>
      </c>
      <c r="F120" s="390" t="s">
        <v>806</v>
      </c>
      <c r="G120" s="390" t="s">
        <v>791</v>
      </c>
      <c r="H120" s="381">
        <v>1</v>
      </c>
      <c r="I120" s="381">
        <v>5</v>
      </c>
      <c r="J120" s="381">
        <f t="shared" si="13"/>
        <v>1</v>
      </c>
      <c r="K120" s="381">
        <f t="shared" si="15"/>
        <v>5</v>
      </c>
      <c r="L120" s="644">
        <f>IFERROR(IF(B120="funkcna poziadavka",VLOOKUP(G120,MODULY_CBA!$B$3:$E$23,4,0)*H120/SUMIFS($H$3:$H$168,$G$3:$G$168,G120,$B$3:$B$168,B120),),)</f>
        <v>2.4</v>
      </c>
      <c r="M120" s="381">
        <f>IFERROR(IF(B120="Funkcna poziadavka",VLOOKUP(G120,MODULY_CBA!$B$3:$E$23,3,0),),)</f>
        <v>0.99499999999999988</v>
      </c>
      <c r="N120" s="381">
        <f>IFERROR(IF(B120="funkcna poziadavka",VLOOKUP(G120,MODULY_CBA!$B$3:$E$23,2,0),),)</f>
        <v>0.99</v>
      </c>
      <c r="O120" s="380">
        <f t="shared" si="14"/>
        <v>7.2893699999999999</v>
      </c>
      <c r="P120" s="379">
        <f>IFERROR(O120*VLOOKUP(G120,MODULY_CBA!$B$3:$F$23,5,0),)</f>
        <v>145.78739999999999</v>
      </c>
      <c r="Q120" s="480" t="str">
        <f>IFERROR(VLOOKUP(G120,MODULY_CBA!$B$3:$I$23,6,0),"")</f>
        <v>Inkrement 2</v>
      </c>
      <c r="R120" s="383"/>
      <c r="S120" s="383"/>
      <c r="T120" s="383"/>
      <c r="U120" s="383"/>
      <c r="V120" s="383"/>
      <c r="W120" s="383"/>
      <c r="X120" s="383"/>
      <c r="Y120" s="383"/>
      <c r="Z120" s="383"/>
      <c r="AA120" s="383"/>
      <c r="AB120" s="383"/>
      <c r="AC120" s="383"/>
      <c r="AD120" s="383"/>
      <c r="AE120" s="383"/>
    </row>
    <row r="121" spans="1:31" ht="38.25">
      <c r="A121" s="682" t="s">
        <v>1113</v>
      </c>
      <c r="B121" s="402" t="s">
        <v>749</v>
      </c>
      <c r="C121" s="532"/>
      <c r="D121" s="532" t="s">
        <v>1153</v>
      </c>
      <c r="E121" s="532" t="s">
        <v>1154</v>
      </c>
      <c r="F121" s="390" t="s">
        <v>806</v>
      </c>
      <c r="G121" s="390" t="s">
        <v>791</v>
      </c>
      <c r="H121" s="381">
        <v>1</v>
      </c>
      <c r="I121" s="381">
        <v>5</v>
      </c>
      <c r="J121" s="381">
        <f t="shared" si="13"/>
        <v>1</v>
      </c>
      <c r="K121" s="381">
        <f t="shared" si="15"/>
        <v>5</v>
      </c>
      <c r="L121" s="644">
        <f>IFERROR(IF(B121="funkcna poziadavka",VLOOKUP(G121,MODULY_CBA!$B$3:$E$23,4,0)*H121/SUMIFS($H$3:$H$168,$G$3:$G$168,G121,$B$3:$B$168,B121),),)</f>
        <v>2.4</v>
      </c>
      <c r="M121" s="381">
        <f>IFERROR(IF(B121="Funkcna poziadavka",VLOOKUP(G121,MODULY_CBA!$B$3:$E$23,3,0),),)</f>
        <v>0.99499999999999988</v>
      </c>
      <c r="N121" s="381">
        <f>IFERROR(IF(B121="funkcna poziadavka",VLOOKUP(G121,MODULY_CBA!$B$3:$E$23,2,0),),)</f>
        <v>0.99</v>
      </c>
      <c r="O121" s="380">
        <f t="shared" si="14"/>
        <v>7.2893699999999999</v>
      </c>
      <c r="P121" s="379">
        <f>IFERROR(O121*VLOOKUP(G121,MODULY_CBA!$B$3:$F$23,5,0),)</f>
        <v>145.78739999999999</v>
      </c>
      <c r="Q121" s="480" t="str">
        <f>IFERROR(VLOOKUP(G121,MODULY_CBA!$B$3:$I$23,6,0),"")</f>
        <v>Inkrement 2</v>
      </c>
      <c r="R121" s="383" t="s">
        <v>168</v>
      </c>
      <c r="S121" s="383" t="s">
        <v>168</v>
      </c>
      <c r="T121" s="383" t="s">
        <v>168</v>
      </c>
      <c r="U121" s="383" t="s">
        <v>168</v>
      </c>
      <c r="V121" s="383" t="s">
        <v>168</v>
      </c>
      <c r="W121" s="383" t="s">
        <v>168</v>
      </c>
      <c r="X121" s="383" t="s">
        <v>168</v>
      </c>
      <c r="Y121" s="383" t="s">
        <v>168</v>
      </c>
      <c r="Z121" s="383" t="s">
        <v>168</v>
      </c>
      <c r="AA121" s="383" t="s">
        <v>168</v>
      </c>
      <c r="AB121" s="383" t="s">
        <v>168</v>
      </c>
      <c r="AC121" s="383" t="s">
        <v>168</v>
      </c>
      <c r="AD121" s="383" t="s">
        <v>168</v>
      </c>
      <c r="AE121" s="383" t="s">
        <v>168</v>
      </c>
    </row>
    <row r="122" spans="1:31" ht="38.25">
      <c r="A122" s="682" t="s">
        <v>1116</v>
      </c>
      <c r="B122" s="402" t="s">
        <v>749</v>
      </c>
      <c r="C122" s="532"/>
      <c r="D122" s="532" t="s">
        <v>1156</v>
      </c>
      <c r="E122" s="532" t="s">
        <v>1157</v>
      </c>
      <c r="F122" s="390" t="s">
        <v>806</v>
      </c>
      <c r="G122" s="390" t="s">
        <v>791</v>
      </c>
      <c r="H122" s="381">
        <v>1</v>
      </c>
      <c r="I122" s="381">
        <v>5</v>
      </c>
      <c r="J122" s="381">
        <f t="shared" si="13"/>
        <v>1</v>
      </c>
      <c r="K122" s="381">
        <f t="shared" si="15"/>
        <v>5</v>
      </c>
      <c r="L122" s="644">
        <f>IFERROR(IF(B122="funkcna poziadavka",VLOOKUP(G122,MODULY_CBA!$B$3:$E$23,4,0)*H122/SUMIFS($H$3:$H$168,$G$3:$G$168,G122,$B$3:$B$168,B122),),)</f>
        <v>2.4</v>
      </c>
      <c r="M122" s="381">
        <f>IFERROR(IF(B122="Funkcna poziadavka",VLOOKUP(G122,MODULY_CBA!$B$3:$E$23,3,0),),)</f>
        <v>0.99499999999999988</v>
      </c>
      <c r="N122" s="381">
        <f>IFERROR(IF(B122="funkcna poziadavka",VLOOKUP(G122,MODULY_CBA!$B$3:$E$23,2,0),),)</f>
        <v>0.99</v>
      </c>
      <c r="O122" s="380">
        <f t="shared" si="14"/>
        <v>7.2893699999999999</v>
      </c>
      <c r="P122" s="379">
        <f>IFERROR(O122*VLOOKUP(G122,MODULY_CBA!$B$3:$F$23,5,0),)</f>
        <v>145.78739999999999</v>
      </c>
      <c r="Q122" s="480" t="str">
        <f>IFERROR(VLOOKUP(G122,MODULY_CBA!$B$3:$I$23,6,0),"")</f>
        <v>Inkrement 2</v>
      </c>
      <c r="R122" s="383" t="s">
        <v>168</v>
      </c>
      <c r="S122" s="383" t="s">
        <v>168</v>
      </c>
      <c r="T122" s="383" t="s">
        <v>168</v>
      </c>
      <c r="U122" s="383" t="s">
        <v>168</v>
      </c>
      <c r="V122" s="383" t="s">
        <v>168</v>
      </c>
      <c r="W122" s="383" t="s">
        <v>168</v>
      </c>
      <c r="X122" s="383" t="s">
        <v>168</v>
      </c>
      <c r="Y122" s="383" t="s">
        <v>168</v>
      </c>
      <c r="Z122" s="383" t="s">
        <v>168</v>
      </c>
      <c r="AA122" s="383" t="s">
        <v>168</v>
      </c>
      <c r="AB122" s="383" t="s">
        <v>168</v>
      </c>
      <c r="AC122" s="383" t="s">
        <v>168</v>
      </c>
      <c r="AD122" s="383" t="s">
        <v>168</v>
      </c>
      <c r="AE122" s="383" t="s">
        <v>168</v>
      </c>
    </row>
    <row r="123" spans="1:31" ht="38.25">
      <c r="A123" s="682" t="s">
        <v>1119</v>
      </c>
      <c r="B123" s="402" t="s">
        <v>749</v>
      </c>
      <c r="C123" s="532"/>
      <c r="D123" s="532" t="s">
        <v>1159</v>
      </c>
      <c r="E123" s="532" t="s">
        <v>1160</v>
      </c>
      <c r="F123" s="390" t="s">
        <v>806</v>
      </c>
      <c r="G123" s="390" t="s">
        <v>791</v>
      </c>
      <c r="H123" s="381">
        <v>1</v>
      </c>
      <c r="I123" s="381">
        <v>5</v>
      </c>
      <c r="J123" s="381">
        <f t="shared" si="13"/>
        <v>1</v>
      </c>
      <c r="K123" s="381">
        <f t="shared" si="15"/>
        <v>5</v>
      </c>
      <c r="L123" s="644">
        <f>IFERROR(IF(B123="funkcna poziadavka",VLOOKUP(G123,MODULY_CBA!$B$3:$E$23,4,0)*H123/SUMIFS($H$3:$H$168,$G$3:$G$168,G123,$B$3:$B$168,B123),),)</f>
        <v>2.4</v>
      </c>
      <c r="M123" s="381">
        <f>IFERROR(IF(B123="Funkcna poziadavka",VLOOKUP(G123,MODULY_CBA!$B$3:$E$23,3,0),),)</f>
        <v>0.99499999999999988</v>
      </c>
      <c r="N123" s="381">
        <f>IFERROR(IF(B123="funkcna poziadavka",VLOOKUP(G123,MODULY_CBA!$B$3:$E$23,2,0),),)</f>
        <v>0.99</v>
      </c>
      <c r="O123" s="380">
        <f t="shared" si="14"/>
        <v>7.2893699999999999</v>
      </c>
      <c r="P123" s="379">
        <f>IFERROR(O123*VLOOKUP(G123,MODULY_CBA!$B$3:$F$23,5,0),)</f>
        <v>145.78739999999999</v>
      </c>
      <c r="Q123" s="480" t="str">
        <f>IFERROR(VLOOKUP(G123,MODULY_CBA!$B$3:$I$23,6,0),"")</f>
        <v>Inkrement 2</v>
      </c>
      <c r="R123" s="383"/>
      <c r="S123" s="383"/>
      <c r="T123" s="383"/>
      <c r="U123" s="383"/>
      <c r="V123" s="383"/>
      <c r="W123" s="383"/>
      <c r="X123" s="383"/>
      <c r="Y123" s="383"/>
      <c r="Z123" s="383"/>
      <c r="AA123" s="383"/>
      <c r="AB123" s="383"/>
      <c r="AC123" s="383"/>
      <c r="AD123" s="383"/>
      <c r="AE123" s="383"/>
    </row>
    <row r="124" spans="1:31" ht="38.25">
      <c r="A124" s="682" t="s">
        <v>1122</v>
      </c>
      <c r="B124" s="402" t="s">
        <v>749</v>
      </c>
      <c r="C124" s="532"/>
      <c r="D124" s="532" t="s">
        <v>1162</v>
      </c>
      <c r="E124" s="532" t="s">
        <v>1163</v>
      </c>
      <c r="F124" s="390" t="s">
        <v>806</v>
      </c>
      <c r="G124" s="390" t="s">
        <v>791</v>
      </c>
      <c r="H124" s="381">
        <v>1</v>
      </c>
      <c r="I124" s="381">
        <v>10</v>
      </c>
      <c r="J124" s="381">
        <f t="shared" si="13"/>
        <v>1</v>
      </c>
      <c r="K124" s="381">
        <f t="shared" si="15"/>
        <v>10</v>
      </c>
      <c r="L124" s="644">
        <f>IFERROR(IF(B124="funkcna poziadavka",VLOOKUP(G124,MODULY_CBA!$B$3:$E$23,4,0)*H124/SUMIFS($H$3:$H$168,$G$3:$G$168,G124,$B$3:$B$168,B124),),)</f>
        <v>2.4</v>
      </c>
      <c r="M124" s="381">
        <f>IFERROR(IF(B124="Funkcna poziadavka",VLOOKUP(G124,MODULY_CBA!$B$3:$E$23,3,0),),)</f>
        <v>0.99499999999999988</v>
      </c>
      <c r="N124" s="381">
        <f>IFERROR(IF(B124="funkcna poziadavka",VLOOKUP(G124,MODULY_CBA!$B$3:$E$23,2,0),),)</f>
        <v>0.99</v>
      </c>
      <c r="O124" s="380">
        <f t="shared" si="14"/>
        <v>12.214619999999998</v>
      </c>
      <c r="P124" s="379">
        <f>IFERROR(O124*VLOOKUP(G124,MODULY_CBA!$B$3:$F$23,5,0),)</f>
        <v>244.29239999999996</v>
      </c>
      <c r="Q124" s="480" t="str">
        <f>IFERROR(VLOOKUP(G124,MODULY_CBA!$B$3:$I$23,6,0),"")</f>
        <v>Inkrement 2</v>
      </c>
      <c r="R124" s="383"/>
      <c r="S124" s="383"/>
      <c r="T124" s="383"/>
      <c r="U124" s="383"/>
      <c r="V124" s="383"/>
      <c r="W124" s="383"/>
      <c r="X124" s="383"/>
      <c r="Y124" s="383"/>
      <c r="Z124" s="383"/>
      <c r="AA124" s="383"/>
      <c r="AB124" s="383"/>
      <c r="AC124" s="383"/>
      <c r="AD124" s="383"/>
      <c r="AE124" s="383"/>
    </row>
    <row r="125" spans="1:31" ht="25.5">
      <c r="A125" s="682" t="s">
        <v>1125</v>
      </c>
      <c r="B125" s="402" t="s">
        <v>749</v>
      </c>
      <c r="C125" s="532"/>
      <c r="D125" s="532" t="s">
        <v>1165</v>
      </c>
      <c r="E125" s="532" t="s">
        <v>1166</v>
      </c>
      <c r="F125" s="390" t="s">
        <v>806</v>
      </c>
      <c r="G125" s="390" t="s">
        <v>784</v>
      </c>
      <c r="H125" s="381">
        <v>1</v>
      </c>
      <c r="I125" s="381">
        <v>5</v>
      </c>
      <c r="J125" s="381">
        <f t="shared" si="13"/>
        <v>1</v>
      </c>
      <c r="K125" s="381">
        <f t="shared" si="15"/>
        <v>5</v>
      </c>
      <c r="L125" s="644">
        <f>IFERROR(IF(B125="funkcna poziadavka",VLOOKUP(G125,MODULY_CBA!$B$3:$E$23,4,0)*H125/SUMIFS($H$3:$H$168,$G$3:$G$168,G125,$B$3:$B$168,B125),),)</f>
        <v>0.5901639344262295</v>
      </c>
      <c r="M125" s="381">
        <f>IFERROR(IF(B125="Funkcna poziadavka",VLOOKUP(G125,MODULY_CBA!$B$3:$E$23,3,0),),)</f>
        <v>0.99499999999999988</v>
      </c>
      <c r="N125" s="381">
        <f>IFERROR(IF(B125="funkcna poziadavka",VLOOKUP(G125,MODULY_CBA!$B$3:$E$23,2,0),),)</f>
        <v>0.99</v>
      </c>
      <c r="O125" s="380">
        <f t="shared" si="14"/>
        <v>5.5065909836065563</v>
      </c>
      <c r="P125" s="379">
        <f>IFERROR(O125*VLOOKUP(G125,MODULY_CBA!$B$3:$F$23,5,0),)</f>
        <v>110.13181967213113</v>
      </c>
      <c r="Q125" s="480" t="str">
        <f>IFERROR(VLOOKUP(G125,MODULY_CBA!$B$3:$I$23,6,0),"")</f>
        <v>Inkrement 1</v>
      </c>
      <c r="R125" s="383" t="s">
        <v>168</v>
      </c>
      <c r="S125" s="383" t="s">
        <v>168</v>
      </c>
      <c r="T125" s="383" t="s">
        <v>168</v>
      </c>
      <c r="U125" s="383" t="s">
        <v>168</v>
      </c>
      <c r="V125" s="383" t="s">
        <v>168</v>
      </c>
      <c r="W125" s="383" t="s">
        <v>168</v>
      </c>
      <c r="X125" s="383" t="s">
        <v>168</v>
      </c>
      <c r="Y125" s="383" t="s">
        <v>168</v>
      </c>
      <c r="Z125" s="383" t="s">
        <v>168</v>
      </c>
      <c r="AA125" s="383" t="s">
        <v>168</v>
      </c>
      <c r="AB125" s="383" t="s">
        <v>168</v>
      </c>
      <c r="AC125" s="383" t="s">
        <v>168</v>
      </c>
      <c r="AD125" s="383" t="s">
        <v>168</v>
      </c>
      <c r="AE125" s="383" t="s">
        <v>168</v>
      </c>
    </row>
    <row r="126" spans="1:31" ht="25.5">
      <c r="A126" s="682" t="s">
        <v>1128</v>
      </c>
      <c r="B126" s="402" t="s">
        <v>749</v>
      </c>
      <c r="C126" s="532"/>
      <c r="D126" s="532" t="s">
        <v>1168</v>
      </c>
      <c r="E126" s="532" t="s">
        <v>1169</v>
      </c>
      <c r="F126" s="390" t="s">
        <v>806</v>
      </c>
      <c r="G126" s="390" t="s">
        <v>784</v>
      </c>
      <c r="H126" s="381">
        <v>1</v>
      </c>
      <c r="I126" s="381">
        <v>5</v>
      </c>
      <c r="J126" s="381">
        <f t="shared" si="13"/>
        <v>1</v>
      </c>
      <c r="K126" s="381">
        <f t="shared" si="15"/>
        <v>5</v>
      </c>
      <c r="L126" s="644">
        <f>IFERROR(IF(B126="funkcna poziadavka",VLOOKUP(G126,MODULY_CBA!$B$3:$E$23,4,0)*H126/SUMIFS($H$3:$H$168,$G$3:$G$168,G126,$B$3:$B$168,B126),),)</f>
        <v>0.5901639344262295</v>
      </c>
      <c r="M126" s="381">
        <f>IFERROR(IF(B126="Funkcna poziadavka",VLOOKUP(G126,MODULY_CBA!$B$3:$E$23,3,0),),)</f>
        <v>0.99499999999999988</v>
      </c>
      <c r="N126" s="381">
        <f>IFERROR(IF(B126="funkcna poziadavka",VLOOKUP(G126,MODULY_CBA!$B$3:$E$23,2,0),),)</f>
        <v>0.99</v>
      </c>
      <c r="O126" s="380">
        <f t="shared" si="14"/>
        <v>5.5065909836065563</v>
      </c>
      <c r="P126" s="379">
        <f>IFERROR(O126*VLOOKUP(G126,MODULY_CBA!$B$3:$F$23,5,0),)</f>
        <v>110.13181967213113</v>
      </c>
      <c r="Q126" s="480" t="str">
        <f>IFERROR(VLOOKUP(G126,MODULY_CBA!$B$3:$I$23,6,0),"")</f>
        <v>Inkrement 1</v>
      </c>
      <c r="R126" s="383"/>
      <c r="S126" s="383"/>
      <c r="T126" s="383"/>
      <c r="U126" s="383"/>
      <c r="V126" s="383"/>
      <c r="W126" s="383"/>
      <c r="X126" s="383"/>
      <c r="Y126" s="383"/>
      <c r="Z126" s="383"/>
      <c r="AA126" s="383"/>
      <c r="AB126" s="383"/>
      <c r="AC126" s="383"/>
      <c r="AD126" s="383"/>
      <c r="AE126" s="383"/>
    </row>
    <row r="127" spans="1:31" ht="25.5">
      <c r="A127" s="682" t="s">
        <v>1131</v>
      </c>
      <c r="B127" s="402" t="s">
        <v>749</v>
      </c>
      <c r="C127" s="532"/>
      <c r="D127" s="532" t="s">
        <v>1171</v>
      </c>
      <c r="E127" s="532" t="s">
        <v>1172</v>
      </c>
      <c r="F127" s="390" t="s">
        <v>806</v>
      </c>
      <c r="G127" s="390" t="s">
        <v>784</v>
      </c>
      <c r="H127" s="381">
        <v>1</v>
      </c>
      <c r="I127" s="381">
        <v>5</v>
      </c>
      <c r="J127" s="381">
        <f t="shared" si="13"/>
        <v>1</v>
      </c>
      <c r="K127" s="381">
        <f t="shared" si="15"/>
        <v>5</v>
      </c>
      <c r="L127" s="644">
        <f>IFERROR(IF(B127="funkcna poziadavka",VLOOKUP(G127,MODULY_CBA!$B$3:$E$23,4,0)*H127/SUMIFS($H$3:$H$168,$G$3:$G$168,G127,$B$3:$B$168,B127),),)</f>
        <v>0.5901639344262295</v>
      </c>
      <c r="M127" s="381">
        <f>IFERROR(IF(B127="Funkcna poziadavka",VLOOKUP(G127,MODULY_CBA!$B$3:$E$23,3,0),),)</f>
        <v>0.99499999999999988</v>
      </c>
      <c r="N127" s="381">
        <f>IFERROR(IF(B127="funkcna poziadavka",VLOOKUP(G127,MODULY_CBA!$B$3:$E$23,2,0),),)</f>
        <v>0.99</v>
      </c>
      <c r="O127" s="380">
        <f t="shared" si="14"/>
        <v>5.5065909836065563</v>
      </c>
      <c r="P127" s="379">
        <f>IFERROR(O127*VLOOKUP(G127,MODULY_CBA!$B$3:$F$23,5,0),)</f>
        <v>110.13181967213113</v>
      </c>
      <c r="Q127" s="480" t="str">
        <f>IFERROR(VLOOKUP(G127,MODULY_CBA!$B$3:$I$23,6,0),"")</f>
        <v>Inkrement 1</v>
      </c>
      <c r="R127" s="383"/>
      <c r="S127" s="383"/>
      <c r="T127" s="383"/>
      <c r="U127" s="383"/>
      <c r="V127" s="383"/>
      <c r="W127" s="383"/>
      <c r="X127" s="383"/>
      <c r="Y127" s="383"/>
      <c r="Z127" s="383"/>
      <c r="AA127" s="383"/>
      <c r="AB127" s="383"/>
      <c r="AC127" s="383"/>
      <c r="AD127" s="383"/>
      <c r="AE127" s="383"/>
    </row>
    <row r="128" spans="1:31">
      <c r="A128" s="682" t="s">
        <v>1134</v>
      </c>
      <c r="B128" s="402" t="s">
        <v>749</v>
      </c>
      <c r="C128" s="532"/>
      <c r="D128" s="532" t="s">
        <v>1175</v>
      </c>
      <c r="E128" s="532" t="s">
        <v>1176</v>
      </c>
      <c r="F128" s="390" t="s">
        <v>806</v>
      </c>
      <c r="G128" s="390" t="s">
        <v>784</v>
      </c>
      <c r="H128" s="381">
        <v>1</v>
      </c>
      <c r="I128" s="381">
        <v>5</v>
      </c>
      <c r="J128" s="381">
        <f t="shared" si="13"/>
        <v>1</v>
      </c>
      <c r="K128" s="381">
        <f t="shared" si="15"/>
        <v>5</v>
      </c>
      <c r="L128" s="644">
        <f>IFERROR(IF(B128="funkcna poziadavka",VLOOKUP(G128,MODULY_CBA!$B$3:$E$23,4,0)*H128/SUMIFS($H$3:$H$168,$G$3:$G$168,G128,$B$3:$B$168,B128),),)</f>
        <v>0.5901639344262295</v>
      </c>
      <c r="M128" s="381">
        <f>IFERROR(IF(B128="Funkcna poziadavka",VLOOKUP(G128,MODULY_CBA!$B$3:$E$23,3,0),),)</f>
        <v>0.99499999999999988</v>
      </c>
      <c r="N128" s="381">
        <f>IFERROR(IF(B128="funkcna poziadavka",VLOOKUP(G128,MODULY_CBA!$B$3:$E$23,2,0),),)</f>
        <v>0.99</v>
      </c>
      <c r="O128" s="380">
        <f t="shared" si="14"/>
        <v>5.5065909836065563</v>
      </c>
      <c r="P128" s="379">
        <f>IFERROR(O128*VLOOKUP(G128,MODULY_CBA!$B$3:$F$23,5,0),)</f>
        <v>110.13181967213113</v>
      </c>
      <c r="Q128" s="480" t="str">
        <f>IFERROR(VLOOKUP(G128,MODULY_CBA!$B$3:$I$23,6,0),"")</f>
        <v>Inkrement 1</v>
      </c>
      <c r="R128" s="383" t="s">
        <v>168</v>
      </c>
      <c r="S128" s="383" t="s">
        <v>168</v>
      </c>
      <c r="T128" s="383" t="s">
        <v>168</v>
      </c>
      <c r="U128" s="383" t="s">
        <v>168</v>
      </c>
      <c r="V128" s="383" t="s">
        <v>168</v>
      </c>
      <c r="W128" s="383" t="s">
        <v>168</v>
      </c>
      <c r="X128" s="383" t="s">
        <v>168</v>
      </c>
      <c r="Y128" s="383" t="s">
        <v>168</v>
      </c>
      <c r="Z128" s="383" t="s">
        <v>168</v>
      </c>
      <c r="AA128" s="383" t="s">
        <v>168</v>
      </c>
      <c r="AB128" s="383" t="s">
        <v>168</v>
      </c>
      <c r="AC128" s="383" t="s">
        <v>168</v>
      </c>
      <c r="AD128" s="383" t="s">
        <v>168</v>
      </c>
      <c r="AE128" s="383" t="s">
        <v>168</v>
      </c>
    </row>
    <row r="129" spans="1:32">
      <c r="A129" s="682" t="s">
        <v>1137</v>
      </c>
      <c r="B129" s="402" t="s">
        <v>749</v>
      </c>
      <c r="C129" s="532"/>
      <c r="D129" s="532" t="s">
        <v>1178</v>
      </c>
      <c r="E129" s="532" t="s">
        <v>1179</v>
      </c>
      <c r="F129" s="390" t="s">
        <v>806</v>
      </c>
      <c r="G129" s="390" t="s">
        <v>784</v>
      </c>
      <c r="H129" s="381">
        <v>1</v>
      </c>
      <c r="I129" s="381">
        <v>5</v>
      </c>
      <c r="J129" s="381">
        <f t="shared" si="13"/>
        <v>1</v>
      </c>
      <c r="K129" s="381">
        <f t="shared" si="15"/>
        <v>5</v>
      </c>
      <c r="L129" s="644">
        <f>IFERROR(IF(B129="funkcna poziadavka",VLOOKUP(G129,MODULY_CBA!$B$3:$E$23,4,0)*H129/SUMIFS($H$3:$H$168,$G$3:$G$168,G129,$B$3:$B$168,B129),),)</f>
        <v>0.5901639344262295</v>
      </c>
      <c r="M129" s="381">
        <f>IFERROR(IF(B129="Funkcna poziadavka",VLOOKUP(G129,MODULY_CBA!$B$3:$E$23,3,0),),)</f>
        <v>0.99499999999999988</v>
      </c>
      <c r="N129" s="381">
        <f>IFERROR(IF(B129="funkcna poziadavka",VLOOKUP(G129,MODULY_CBA!$B$3:$E$23,2,0),),)</f>
        <v>0.99</v>
      </c>
      <c r="O129" s="380">
        <f t="shared" si="14"/>
        <v>5.5065909836065563</v>
      </c>
      <c r="P129" s="379">
        <f>IFERROR(O129*VLOOKUP(G129,MODULY_CBA!$B$3:$F$23,5,0),)</f>
        <v>110.13181967213113</v>
      </c>
      <c r="Q129" s="480" t="str">
        <f>IFERROR(VLOOKUP(G129,MODULY_CBA!$B$3:$I$23,6,0),"")</f>
        <v>Inkrement 1</v>
      </c>
      <c r="R129" s="383"/>
      <c r="S129" s="383"/>
      <c r="T129" s="383"/>
      <c r="U129" s="383"/>
      <c r="V129" s="383"/>
      <c r="W129" s="383"/>
      <c r="X129" s="383"/>
      <c r="Y129" s="383"/>
      <c r="Z129" s="383"/>
      <c r="AA129" s="383"/>
      <c r="AB129" s="383"/>
      <c r="AC129" s="383"/>
      <c r="AD129" s="383"/>
      <c r="AE129" s="383"/>
    </row>
    <row r="130" spans="1:32">
      <c r="A130" s="682" t="s">
        <v>1140</v>
      </c>
      <c r="B130" s="402" t="s">
        <v>749</v>
      </c>
      <c r="C130" s="532"/>
      <c r="D130" s="532" t="s">
        <v>1181</v>
      </c>
      <c r="E130" s="532" t="s">
        <v>1182</v>
      </c>
      <c r="F130" s="390" t="s">
        <v>806</v>
      </c>
      <c r="G130" s="390" t="s">
        <v>784</v>
      </c>
      <c r="H130" s="381">
        <v>1</v>
      </c>
      <c r="I130" s="381">
        <v>5</v>
      </c>
      <c r="J130" s="381">
        <f t="shared" si="13"/>
        <v>1</v>
      </c>
      <c r="K130" s="381">
        <f t="shared" si="15"/>
        <v>5</v>
      </c>
      <c r="L130" s="644">
        <f>IFERROR(IF(B130="funkcna poziadavka",VLOOKUP(G130,MODULY_CBA!$B$3:$E$23,4,0)*H130/SUMIFS($H$3:$H$168,$G$3:$G$168,G130,$B$3:$B$168,B130),),)</f>
        <v>0.5901639344262295</v>
      </c>
      <c r="M130" s="381">
        <f>IFERROR(IF(B130="Funkcna poziadavka",VLOOKUP(G130,MODULY_CBA!$B$3:$E$23,3,0),),)</f>
        <v>0.99499999999999988</v>
      </c>
      <c r="N130" s="381">
        <f>IFERROR(IF(B130="funkcna poziadavka",VLOOKUP(G130,MODULY_CBA!$B$3:$E$23,2,0),),)</f>
        <v>0.99</v>
      </c>
      <c r="O130" s="380">
        <f t="shared" si="14"/>
        <v>5.5065909836065563</v>
      </c>
      <c r="P130" s="379">
        <f>IFERROR(O130*VLOOKUP(G130,MODULY_CBA!$B$3:$F$23,5,0),)</f>
        <v>110.13181967213113</v>
      </c>
      <c r="Q130" s="480" t="str">
        <f>IFERROR(VLOOKUP(G130,MODULY_CBA!$B$3:$I$23,6,0),"")</f>
        <v>Inkrement 1</v>
      </c>
      <c r="R130" s="383" t="s">
        <v>168</v>
      </c>
      <c r="S130" s="383" t="s">
        <v>168</v>
      </c>
      <c r="T130" s="383" t="s">
        <v>168</v>
      </c>
      <c r="U130" s="383" t="s">
        <v>168</v>
      </c>
      <c r="V130" s="383" t="s">
        <v>168</v>
      </c>
      <c r="W130" s="383" t="s">
        <v>168</v>
      </c>
      <c r="X130" s="383" t="s">
        <v>168</v>
      </c>
      <c r="Y130" s="383" t="s">
        <v>168</v>
      </c>
      <c r="Z130" s="383" t="s">
        <v>168</v>
      </c>
      <c r="AA130" s="383" t="s">
        <v>168</v>
      </c>
      <c r="AB130" s="383" t="s">
        <v>168</v>
      </c>
      <c r="AC130" s="383" t="s">
        <v>168</v>
      </c>
      <c r="AD130" s="383" t="s">
        <v>168</v>
      </c>
      <c r="AE130" s="383" t="s">
        <v>168</v>
      </c>
    </row>
    <row r="131" spans="1:32" ht="76.5">
      <c r="A131" s="682" t="s">
        <v>1143</v>
      </c>
      <c r="B131" s="402" t="s">
        <v>749</v>
      </c>
      <c r="C131" s="532"/>
      <c r="D131" s="532" t="s">
        <v>1184</v>
      </c>
      <c r="E131" s="532" t="s">
        <v>1185</v>
      </c>
      <c r="F131" s="390" t="s">
        <v>806</v>
      </c>
      <c r="G131" s="390" t="s">
        <v>790</v>
      </c>
      <c r="H131" s="381">
        <v>1</v>
      </c>
      <c r="I131" s="381">
        <v>5</v>
      </c>
      <c r="J131" s="381">
        <f t="shared" si="13"/>
        <v>1</v>
      </c>
      <c r="K131" s="381">
        <f t="shared" si="15"/>
        <v>5</v>
      </c>
      <c r="L131" s="644">
        <f>IFERROR(IF(B131="funkcna poziadavka",VLOOKUP(G131,MODULY_CBA!$B$3:$E$23,4,0)*H131/SUMIFS($H$3:$H$168,$G$3:$G$168,G131,$B$3:$B$168,B131),),)</f>
        <v>2</v>
      </c>
      <c r="M131" s="381">
        <f>IFERROR(IF(B131="Funkcna poziadavka",VLOOKUP(G131,MODULY_CBA!$B$3:$E$23,3,0),),)</f>
        <v>0.99499999999999988</v>
      </c>
      <c r="N131" s="381">
        <f>IFERROR(IF(B131="funkcna poziadavka",VLOOKUP(G131,MODULY_CBA!$B$3:$E$23,2,0),),)</f>
        <v>0.99</v>
      </c>
      <c r="O131" s="380">
        <f t="shared" si="14"/>
        <v>6.8953499999999988</v>
      </c>
      <c r="P131" s="379">
        <f>IFERROR(O131*VLOOKUP(G131,MODULY_CBA!$B$3:$F$23,5,0),)</f>
        <v>103.43024999999999</v>
      </c>
      <c r="Q131" s="480" t="str">
        <f>IFERROR(VLOOKUP(G131,MODULY_CBA!$B$3:$I$23,6,0),"")</f>
        <v>Inkrement 2</v>
      </c>
      <c r="R131" s="383"/>
      <c r="S131" s="383"/>
      <c r="T131" s="383"/>
      <c r="U131" s="383"/>
      <c r="V131" s="383"/>
      <c r="W131" s="383"/>
      <c r="X131" s="383"/>
      <c r="Y131" s="383"/>
      <c r="Z131" s="383"/>
      <c r="AA131" s="383"/>
      <c r="AB131" s="383"/>
      <c r="AC131" s="383"/>
      <c r="AD131" s="383"/>
      <c r="AE131" s="383"/>
    </row>
    <row r="132" spans="1:32" ht="76.5">
      <c r="A132" s="682" t="s">
        <v>1146</v>
      </c>
      <c r="B132" s="402" t="s">
        <v>749</v>
      </c>
      <c r="C132" s="532"/>
      <c r="D132" s="532" t="s">
        <v>1187</v>
      </c>
      <c r="E132" s="532" t="s">
        <v>1188</v>
      </c>
      <c r="F132" s="390" t="s">
        <v>806</v>
      </c>
      <c r="G132" s="390" t="s">
        <v>790</v>
      </c>
      <c r="H132" s="381">
        <v>1</v>
      </c>
      <c r="I132" s="381">
        <v>5</v>
      </c>
      <c r="J132" s="381">
        <f t="shared" si="13"/>
        <v>1</v>
      </c>
      <c r="K132" s="381">
        <f t="shared" si="15"/>
        <v>5</v>
      </c>
      <c r="L132" s="644">
        <f>IFERROR(IF(B132="funkcna poziadavka",VLOOKUP(G132,MODULY_CBA!$B$3:$E$23,4,0)*H132/SUMIFS($H$3:$H$168,$G$3:$G$168,G132,$B$3:$B$168,B132),),)</f>
        <v>2</v>
      </c>
      <c r="M132" s="381">
        <f>IFERROR(IF(B132="Funkcna poziadavka",VLOOKUP(G132,MODULY_CBA!$B$3:$E$23,3,0),),)</f>
        <v>0.99499999999999988</v>
      </c>
      <c r="N132" s="381">
        <f>IFERROR(IF(B132="funkcna poziadavka",VLOOKUP(G132,MODULY_CBA!$B$3:$E$23,2,0),),)</f>
        <v>0.99</v>
      </c>
      <c r="O132" s="380">
        <f t="shared" si="14"/>
        <v>6.8953499999999988</v>
      </c>
      <c r="P132" s="379">
        <f>IFERROR(O132*VLOOKUP(G132,MODULY_CBA!$B$3:$F$23,5,0),)</f>
        <v>103.43024999999999</v>
      </c>
      <c r="Q132" s="480" t="str">
        <f>IFERROR(VLOOKUP(G132,MODULY_CBA!$B$3:$I$23,6,0),"")</f>
        <v>Inkrement 2</v>
      </c>
      <c r="R132" s="383"/>
      <c r="S132" s="383"/>
      <c r="T132" s="383"/>
      <c r="U132" s="383"/>
      <c r="V132" s="383"/>
      <c r="W132" s="383"/>
      <c r="X132" s="383"/>
      <c r="Y132" s="383"/>
      <c r="Z132" s="383"/>
      <c r="AA132" s="383"/>
      <c r="AB132" s="383"/>
      <c r="AC132" s="383"/>
      <c r="AD132" s="383"/>
      <c r="AE132" s="383"/>
    </row>
    <row r="133" spans="1:32" ht="76.5">
      <c r="A133" s="682" t="s">
        <v>1149</v>
      </c>
      <c r="B133" s="402" t="s">
        <v>749</v>
      </c>
      <c r="C133" s="532"/>
      <c r="D133" s="532" t="s">
        <v>1190</v>
      </c>
      <c r="E133" s="532" t="s">
        <v>1191</v>
      </c>
      <c r="F133" s="390" t="s">
        <v>806</v>
      </c>
      <c r="G133" s="390" t="s">
        <v>790</v>
      </c>
      <c r="H133" s="381">
        <v>1</v>
      </c>
      <c r="I133" s="381">
        <v>5</v>
      </c>
      <c r="J133" s="381">
        <f t="shared" si="13"/>
        <v>1</v>
      </c>
      <c r="K133" s="381">
        <f t="shared" si="15"/>
        <v>5</v>
      </c>
      <c r="L133" s="644">
        <f>IFERROR(IF(B133="funkcna poziadavka",VLOOKUP(G133,MODULY_CBA!$B$3:$E$23,4,0)*H133/SUMIFS($H$3:$H$168,$G$3:$G$168,G133,$B$3:$B$168,B133),),)</f>
        <v>2</v>
      </c>
      <c r="M133" s="381">
        <f>IFERROR(IF(B133="Funkcna poziadavka",VLOOKUP(G133,MODULY_CBA!$B$3:$E$23,3,0),),)</f>
        <v>0.99499999999999988</v>
      </c>
      <c r="N133" s="381">
        <f>IFERROR(IF(B133="funkcna poziadavka",VLOOKUP(G133,MODULY_CBA!$B$3:$E$23,2,0),),)</f>
        <v>0.99</v>
      </c>
      <c r="O133" s="380">
        <f t="shared" si="14"/>
        <v>6.8953499999999988</v>
      </c>
      <c r="P133" s="379">
        <f>IFERROR(O133*VLOOKUP(G133,MODULY_CBA!$B$3:$F$23,5,0),)</f>
        <v>103.43024999999999</v>
      </c>
      <c r="Q133" s="480" t="str">
        <f>IFERROR(VLOOKUP(G133,MODULY_CBA!$B$3:$I$23,6,0),"")</f>
        <v>Inkrement 2</v>
      </c>
      <c r="R133" s="383" t="s">
        <v>168</v>
      </c>
      <c r="S133" s="383" t="s">
        <v>168</v>
      </c>
      <c r="T133" s="383" t="s">
        <v>168</v>
      </c>
      <c r="U133" s="383" t="s">
        <v>168</v>
      </c>
      <c r="V133" s="383" t="s">
        <v>168</v>
      </c>
      <c r="W133" s="383" t="s">
        <v>168</v>
      </c>
      <c r="X133" s="383" t="s">
        <v>168</v>
      </c>
      <c r="Y133" s="383" t="s">
        <v>168</v>
      </c>
      <c r="Z133" s="383" t="s">
        <v>168</v>
      </c>
      <c r="AA133" s="383" t="s">
        <v>168</v>
      </c>
      <c r="AB133" s="383" t="s">
        <v>168</v>
      </c>
      <c r="AC133" s="383" t="s">
        <v>168</v>
      </c>
      <c r="AD133" s="383" t="s">
        <v>168</v>
      </c>
      <c r="AE133" s="383" t="s">
        <v>168</v>
      </c>
    </row>
    <row r="134" spans="1:32" ht="76.5">
      <c r="A134" s="682" t="s">
        <v>1152</v>
      </c>
      <c r="B134" s="402" t="s">
        <v>749</v>
      </c>
      <c r="C134" s="532"/>
      <c r="D134" s="532" t="s">
        <v>1193</v>
      </c>
      <c r="E134" s="532" t="s">
        <v>1194</v>
      </c>
      <c r="F134" s="390" t="s">
        <v>806</v>
      </c>
      <c r="G134" s="390" t="s">
        <v>790</v>
      </c>
      <c r="H134" s="381">
        <v>1</v>
      </c>
      <c r="I134" s="381">
        <v>5</v>
      </c>
      <c r="J134" s="381">
        <f t="shared" si="13"/>
        <v>1</v>
      </c>
      <c r="K134" s="381">
        <f t="shared" si="15"/>
        <v>5</v>
      </c>
      <c r="L134" s="644">
        <f>IFERROR(IF(B134="funkcna poziadavka",VLOOKUP(G134,MODULY_CBA!$B$3:$E$23,4,0)*H134/SUMIFS($H$3:$H$168,$G$3:$G$168,G134,$B$3:$B$168,B134),),)</f>
        <v>2</v>
      </c>
      <c r="M134" s="381">
        <f>IFERROR(IF(B134="Funkcna poziadavka",VLOOKUP(G134,MODULY_CBA!$B$3:$E$23,3,0),),)</f>
        <v>0.99499999999999988</v>
      </c>
      <c r="N134" s="381">
        <f>IFERROR(IF(B134="funkcna poziadavka",VLOOKUP(G134,MODULY_CBA!$B$3:$E$23,2,0),),)</f>
        <v>0.99</v>
      </c>
      <c r="O134" s="380">
        <f t="shared" si="14"/>
        <v>6.8953499999999988</v>
      </c>
      <c r="P134" s="379">
        <f>IFERROR(O134*VLOOKUP(G134,MODULY_CBA!$B$3:$F$23,5,0),)</f>
        <v>103.43024999999999</v>
      </c>
      <c r="Q134" s="480" t="str">
        <f>IFERROR(VLOOKUP(G134,MODULY_CBA!$B$3:$I$23,6,0),"")</f>
        <v>Inkrement 2</v>
      </c>
      <c r="R134" s="383"/>
      <c r="S134" s="383"/>
      <c r="T134" s="383"/>
      <c r="U134" s="383"/>
      <c r="V134" s="383"/>
      <c r="W134" s="383"/>
      <c r="X134" s="383"/>
      <c r="Y134" s="383"/>
      <c r="Z134" s="383"/>
      <c r="AA134" s="383"/>
      <c r="AB134" s="383"/>
      <c r="AC134" s="383"/>
      <c r="AD134" s="383"/>
      <c r="AE134" s="383"/>
    </row>
    <row r="135" spans="1:32" ht="76.5">
      <c r="A135" s="682" t="s">
        <v>1155</v>
      </c>
      <c r="B135" s="402" t="s">
        <v>749</v>
      </c>
      <c r="C135" s="532"/>
      <c r="D135" s="532" t="s">
        <v>1196</v>
      </c>
      <c r="E135" s="532" t="s">
        <v>1197</v>
      </c>
      <c r="F135" s="390" t="s">
        <v>806</v>
      </c>
      <c r="G135" s="390" t="s">
        <v>790</v>
      </c>
      <c r="H135" s="381">
        <v>1</v>
      </c>
      <c r="I135" s="381">
        <v>5</v>
      </c>
      <c r="J135" s="381">
        <f t="shared" si="13"/>
        <v>1</v>
      </c>
      <c r="K135" s="381">
        <f t="shared" si="15"/>
        <v>5</v>
      </c>
      <c r="L135" s="644">
        <f>IFERROR(IF(B135="funkcna poziadavka",VLOOKUP(G135,MODULY_CBA!$B$3:$E$23,4,0)*H135/SUMIFS($H$3:$H$168,$G$3:$G$168,G135,$B$3:$B$168,B135),),)</f>
        <v>2</v>
      </c>
      <c r="M135" s="381">
        <f>IFERROR(IF(B135="Funkcna poziadavka",VLOOKUP(G135,MODULY_CBA!$B$3:$E$23,3,0),),)</f>
        <v>0.99499999999999988</v>
      </c>
      <c r="N135" s="381">
        <f>IFERROR(IF(B135="funkcna poziadavka",VLOOKUP(G135,MODULY_CBA!$B$3:$E$23,2,0),),)</f>
        <v>0.99</v>
      </c>
      <c r="O135" s="380">
        <f t="shared" si="14"/>
        <v>6.8953499999999988</v>
      </c>
      <c r="P135" s="379">
        <f>IFERROR(O135*VLOOKUP(G135,MODULY_CBA!$B$3:$F$23,5,0),)</f>
        <v>103.43024999999999</v>
      </c>
      <c r="Q135" s="480" t="str">
        <f>IFERROR(VLOOKUP(G135,MODULY_CBA!$B$3:$I$23,6,0),"")</f>
        <v>Inkrement 2</v>
      </c>
      <c r="R135" s="383"/>
      <c r="S135" s="383"/>
      <c r="T135" s="383"/>
      <c r="U135" s="383"/>
      <c r="V135" s="383"/>
      <c r="W135" s="383"/>
      <c r="X135" s="383"/>
      <c r="Y135" s="383"/>
      <c r="Z135" s="383"/>
      <c r="AA135" s="383"/>
      <c r="AB135" s="383"/>
      <c r="AC135" s="383"/>
      <c r="AD135" s="383"/>
      <c r="AE135" s="383"/>
    </row>
    <row r="136" spans="1:32" ht="76.5">
      <c r="A136" s="682" t="s">
        <v>1158</v>
      </c>
      <c r="B136" s="402" t="s">
        <v>749</v>
      </c>
      <c r="C136" s="532"/>
      <c r="D136" s="532" t="s">
        <v>1199</v>
      </c>
      <c r="E136" s="532" t="s">
        <v>1200</v>
      </c>
      <c r="F136" s="390" t="s">
        <v>806</v>
      </c>
      <c r="G136" s="390" t="s">
        <v>790</v>
      </c>
      <c r="H136" s="381">
        <v>1</v>
      </c>
      <c r="I136" s="381">
        <v>5</v>
      </c>
      <c r="J136" s="381">
        <f t="shared" si="13"/>
        <v>1</v>
      </c>
      <c r="K136" s="381">
        <f t="shared" si="15"/>
        <v>5</v>
      </c>
      <c r="L136" s="644">
        <f>IFERROR(IF(B136="funkcna poziadavka",VLOOKUP(G136,MODULY_CBA!$B$3:$E$23,4,0)*H136/SUMIFS($H$3:$H$168,$G$3:$G$168,G136,$B$3:$B$168,B136),),)</f>
        <v>2</v>
      </c>
      <c r="M136" s="381">
        <f>IFERROR(IF(B136="Funkcna poziadavka",VLOOKUP(G136,MODULY_CBA!$B$3:$E$23,3,0),),)</f>
        <v>0.99499999999999988</v>
      </c>
      <c r="N136" s="381">
        <f>IFERROR(IF(B136="funkcna poziadavka",VLOOKUP(G136,MODULY_CBA!$B$3:$E$23,2,0),),)</f>
        <v>0.99</v>
      </c>
      <c r="O136" s="380">
        <f t="shared" si="14"/>
        <v>6.8953499999999988</v>
      </c>
      <c r="P136" s="379">
        <f>IFERROR(O136*VLOOKUP(G136,MODULY_CBA!$B$3:$F$23,5,0),)</f>
        <v>103.43024999999999</v>
      </c>
      <c r="Q136" s="480" t="str">
        <f>IFERROR(VLOOKUP(G136,MODULY_CBA!$B$3:$I$23,6,0),"")</f>
        <v>Inkrement 2</v>
      </c>
      <c r="R136" s="383" t="s">
        <v>168</v>
      </c>
      <c r="S136" s="383" t="s">
        <v>168</v>
      </c>
      <c r="T136" s="383" t="s">
        <v>168</v>
      </c>
      <c r="U136" s="383" t="s">
        <v>168</v>
      </c>
      <c r="V136" s="383" t="s">
        <v>168</v>
      </c>
      <c r="W136" s="383" t="s">
        <v>168</v>
      </c>
      <c r="X136" s="383" t="s">
        <v>168</v>
      </c>
      <c r="Y136" s="383" t="s">
        <v>168</v>
      </c>
      <c r="Z136" s="383" t="s">
        <v>168</v>
      </c>
      <c r="AA136" s="383" t="s">
        <v>168</v>
      </c>
      <c r="AB136" s="383" t="s">
        <v>168</v>
      </c>
      <c r="AC136" s="383" t="s">
        <v>168</v>
      </c>
      <c r="AD136" s="383" t="s">
        <v>168</v>
      </c>
      <c r="AE136" s="383" t="s">
        <v>168</v>
      </c>
    </row>
    <row r="137" spans="1:32" ht="76.5">
      <c r="A137" s="682" t="s">
        <v>1161</v>
      </c>
      <c r="B137" s="402" t="s">
        <v>749</v>
      </c>
      <c r="C137" s="532"/>
      <c r="D137" s="532" t="s">
        <v>1202</v>
      </c>
      <c r="E137" s="532" t="s">
        <v>1203</v>
      </c>
      <c r="F137" s="390" t="s">
        <v>806</v>
      </c>
      <c r="G137" s="390" t="s">
        <v>790</v>
      </c>
      <c r="H137" s="381">
        <v>1</v>
      </c>
      <c r="I137" s="381">
        <v>5</v>
      </c>
      <c r="J137" s="381">
        <f t="shared" si="13"/>
        <v>1</v>
      </c>
      <c r="K137" s="381">
        <f t="shared" si="15"/>
        <v>5</v>
      </c>
      <c r="L137" s="644">
        <f>IFERROR(IF(B137="funkcna poziadavka",VLOOKUP(G137,MODULY_CBA!$B$3:$E$23,4,0)*H137/SUMIFS($H$3:$H$168,$G$3:$G$168,G137,$B$3:$B$168,B137),),)</f>
        <v>2</v>
      </c>
      <c r="M137" s="381">
        <f>IFERROR(IF(B137="Funkcna poziadavka",VLOOKUP(G137,MODULY_CBA!$B$3:$E$23,3,0),),)</f>
        <v>0.99499999999999988</v>
      </c>
      <c r="N137" s="381">
        <f>IFERROR(IF(B137="funkcna poziadavka",VLOOKUP(G137,MODULY_CBA!$B$3:$E$23,2,0),),)</f>
        <v>0.99</v>
      </c>
      <c r="O137" s="380">
        <f t="shared" si="14"/>
        <v>6.8953499999999988</v>
      </c>
      <c r="P137" s="379">
        <f>IFERROR(O137*VLOOKUP(G137,MODULY_CBA!$B$3:$F$23,5,0),)</f>
        <v>103.43024999999999</v>
      </c>
      <c r="Q137" s="480" t="str">
        <f>IFERROR(VLOOKUP(G137,MODULY_CBA!$B$3:$I$23,6,0),"")</f>
        <v>Inkrement 2</v>
      </c>
      <c r="R137" s="383"/>
      <c r="S137" s="383"/>
      <c r="T137" s="383"/>
      <c r="U137" s="383"/>
      <c r="V137" s="383"/>
      <c r="W137" s="383"/>
      <c r="X137" s="383"/>
      <c r="Y137" s="383"/>
      <c r="Z137" s="383"/>
      <c r="AA137" s="383"/>
      <c r="AB137" s="383"/>
      <c r="AC137" s="383"/>
      <c r="AD137" s="383"/>
      <c r="AE137" s="383"/>
    </row>
    <row r="138" spans="1:32" ht="76.5">
      <c r="A138" s="682" t="s">
        <v>1164</v>
      </c>
      <c r="B138" s="402" t="s">
        <v>749</v>
      </c>
      <c r="C138" s="532"/>
      <c r="D138" s="532" t="s">
        <v>1205</v>
      </c>
      <c r="E138" s="532" t="s">
        <v>1206</v>
      </c>
      <c r="F138" s="390" t="s">
        <v>806</v>
      </c>
      <c r="G138" s="390" t="s">
        <v>790</v>
      </c>
      <c r="H138" s="381">
        <v>1</v>
      </c>
      <c r="I138" s="381">
        <v>5</v>
      </c>
      <c r="J138" s="381">
        <f t="shared" si="13"/>
        <v>1</v>
      </c>
      <c r="K138" s="381">
        <f t="shared" si="15"/>
        <v>5</v>
      </c>
      <c r="L138" s="644">
        <f>IFERROR(IF(B138="funkcna poziadavka",VLOOKUP(G138,MODULY_CBA!$B$3:$E$23,4,0)*H138/SUMIFS($H$3:$H$168,$G$3:$G$168,G138,$B$3:$B$168,B138),),)</f>
        <v>2</v>
      </c>
      <c r="M138" s="381">
        <f>IFERROR(IF(B138="Funkcna poziadavka",VLOOKUP(G138,MODULY_CBA!$B$3:$E$23,3,0),),)</f>
        <v>0.99499999999999988</v>
      </c>
      <c r="N138" s="381">
        <f>IFERROR(IF(B138="funkcna poziadavka",VLOOKUP(G138,MODULY_CBA!$B$3:$E$23,2,0),),)</f>
        <v>0.99</v>
      </c>
      <c r="O138" s="380">
        <f t="shared" si="14"/>
        <v>6.8953499999999988</v>
      </c>
      <c r="P138" s="379">
        <f>IFERROR(O138*VLOOKUP(G138,MODULY_CBA!$B$3:$F$23,5,0),)</f>
        <v>103.43024999999999</v>
      </c>
      <c r="Q138" s="480" t="str">
        <f>IFERROR(VLOOKUP(G138,MODULY_CBA!$B$3:$I$23,6,0),"")</f>
        <v>Inkrement 2</v>
      </c>
      <c r="R138" s="383"/>
      <c r="S138" s="383"/>
      <c r="T138" s="383"/>
      <c r="U138" s="383"/>
      <c r="V138" s="383"/>
      <c r="W138" s="383"/>
      <c r="X138" s="383"/>
      <c r="Y138" s="383"/>
      <c r="Z138" s="383"/>
      <c r="AA138" s="383"/>
      <c r="AB138" s="383"/>
      <c r="AC138" s="383"/>
      <c r="AD138" s="383"/>
      <c r="AE138" s="383"/>
    </row>
    <row r="139" spans="1:32" ht="76.5">
      <c r="A139" s="682" t="s">
        <v>1167</v>
      </c>
      <c r="B139" s="402" t="s">
        <v>749</v>
      </c>
      <c r="C139" s="532"/>
      <c r="D139" s="532" t="s">
        <v>1208</v>
      </c>
      <c r="E139" s="532" t="s">
        <v>1209</v>
      </c>
      <c r="F139" s="390" t="s">
        <v>806</v>
      </c>
      <c r="G139" s="390" t="s">
        <v>790</v>
      </c>
      <c r="H139" s="381">
        <v>1</v>
      </c>
      <c r="I139" s="381">
        <v>5</v>
      </c>
      <c r="J139" s="381">
        <f t="shared" si="13"/>
        <v>1</v>
      </c>
      <c r="K139" s="381">
        <f t="shared" si="15"/>
        <v>5</v>
      </c>
      <c r="L139" s="644">
        <f>IFERROR(IF(B139="funkcna poziadavka",VLOOKUP(G139,MODULY_CBA!$B$3:$E$23,4,0)*H139/SUMIFS($H$3:$H$168,$G$3:$G$168,G139,$B$3:$B$168,B139),),)</f>
        <v>2</v>
      </c>
      <c r="M139" s="381">
        <f>IFERROR(IF(B139="Funkcna poziadavka",VLOOKUP(G139,MODULY_CBA!$B$3:$E$23,3,0),),)</f>
        <v>0.99499999999999988</v>
      </c>
      <c r="N139" s="381">
        <f>IFERROR(IF(B139="funkcna poziadavka",VLOOKUP(G139,MODULY_CBA!$B$3:$E$23,2,0),),)</f>
        <v>0.99</v>
      </c>
      <c r="O139" s="380">
        <f t="shared" si="14"/>
        <v>6.8953499999999988</v>
      </c>
      <c r="P139" s="379">
        <f>IFERROR(O139*VLOOKUP(G139,MODULY_CBA!$B$3:$F$23,5,0),)</f>
        <v>103.43024999999999</v>
      </c>
      <c r="Q139" s="480" t="str">
        <f>IFERROR(VLOOKUP(G139,MODULY_CBA!$B$3:$I$23,6,0),"")</f>
        <v>Inkrement 2</v>
      </c>
      <c r="R139" s="383"/>
      <c r="S139" s="383"/>
      <c r="T139" s="383"/>
      <c r="U139" s="383"/>
      <c r="V139" s="383"/>
      <c r="W139" s="383"/>
      <c r="X139" s="383"/>
      <c r="Y139" s="383"/>
      <c r="Z139" s="383"/>
      <c r="AA139" s="383"/>
      <c r="AB139" s="383"/>
      <c r="AC139" s="383"/>
      <c r="AD139" s="383"/>
      <c r="AE139" s="383"/>
    </row>
    <row r="140" spans="1:32" ht="38.25">
      <c r="A140" s="682" t="s">
        <v>1170</v>
      </c>
      <c r="B140" s="402" t="s">
        <v>749</v>
      </c>
      <c r="C140" s="532"/>
      <c r="D140" s="532" t="s">
        <v>1211</v>
      </c>
      <c r="E140" s="532" t="s">
        <v>1212</v>
      </c>
      <c r="F140" s="390" t="s">
        <v>806</v>
      </c>
      <c r="G140" s="390" t="s">
        <v>793</v>
      </c>
      <c r="H140" s="381">
        <v>1</v>
      </c>
      <c r="I140" s="381">
        <v>5</v>
      </c>
      <c r="J140" s="381">
        <f t="shared" si="13"/>
        <v>1</v>
      </c>
      <c r="K140" s="381">
        <f t="shared" si="15"/>
        <v>5</v>
      </c>
      <c r="L140" s="644">
        <f>IFERROR(IF(B140="funkcna poziadavka",VLOOKUP(G140,MODULY_CBA!$B$3:$E$23,4,0)*H140/SUMIFS($H$3:$H$168,$G$3:$G$168,G140,$B$3:$B$168,B140),),)</f>
        <v>1.263157894736842</v>
      </c>
      <c r="M140" s="381">
        <f>IFERROR(IF(B140="Funkcna poziadavka",VLOOKUP(G140,MODULY_CBA!$B$3:$E$23,3,0),),)</f>
        <v>0.99499999999999988</v>
      </c>
      <c r="N140" s="381">
        <f>IFERROR(IF(B140="funkcna poziadavka",VLOOKUP(G140,MODULY_CBA!$B$3:$E$23,2,0),),)</f>
        <v>0.99</v>
      </c>
      <c r="O140" s="380">
        <f t="shared" si="14"/>
        <v>6.1695236842105263</v>
      </c>
      <c r="P140" s="379">
        <f>IFERROR(O140*VLOOKUP(G140,MODULY_CBA!$B$3:$F$23,5,0),)</f>
        <v>123.39047368421052</v>
      </c>
      <c r="Q140" s="480" t="str">
        <f>IFERROR(VLOOKUP(G140,MODULY_CBA!$B$3:$I$23,6,0),"")</f>
        <v>Inkrement 1</v>
      </c>
      <c r="R140" s="383"/>
      <c r="S140" s="383"/>
      <c r="T140" s="383"/>
      <c r="U140" s="383"/>
      <c r="V140" s="383"/>
      <c r="W140" s="383"/>
      <c r="X140" s="383"/>
      <c r="Y140" s="383"/>
      <c r="Z140" s="383"/>
      <c r="AA140" s="383"/>
      <c r="AB140" s="383"/>
      <c r="AC140" s="383"/>
      <c r="AD140" s="383"/>
      <c r="AE140" s="383"/>
    </row>
    <row r="141" spans="1:32" ht="38.25">
      <c r="A141" s="682" t="s">
        <v>1173</v>
      </c>
      <c r="B141" s="402" t="s">
        <v>749</v>
      </c>
      <c r="C141" s="532"/>
      <c r="D141" s="532" t="s">
        <v>1215</v>
      </c>
      <c r="E141" s="532" t="s">
        <v>1209</v>
      </c>
      <c r="F141" s="390" t="s">
        <v>806</v>
      </c>
      <c r="G141" s="390" t="s">
        <v>793</v>
      </c>
      <c r="H141" s="381">
        <v>1</v>
      </c>
      <c r="I141" s="381">
        <v>5</v>
      </c>
      <c r="J141" s="381">
        <f t="shared" ref="J141:J142" si="16">IF(ISNUMBER(H141),H141,)</f>
        <v>1</v>
      </c>
      <c r="K141" s="381">
        <f t="shared" si="15"/>
        <v>5</v>
      </c>
      <c r="L141" s="644">
        <f>IFERROR(IF(B141="funkcna poziadavka",VLOOKUP(G141,MODULY_CBA!$B$3:$E$23,4,0)*H141/SUMIFS($H$3:$H$168,$G$3:$G$168,G141,$B$3:$B$168,B141),),)</f>
        <v>1.263157894736842</v>
      </c>
      <c r="M141" s="381">
        <f>IFERROR(IF(B141="Funkcna poziadavka",VLOOKUP(G141,MODULY_CBA!$B$3:$E$23,3,0),),)</f>
        <v>0.99499999999999988</v>
      </c>
      <c r="N141" s="381">
        <f>IFERROR(IF(B141="funkcna poziadavka",VLOOKUP(G141,MODULY_CBA!$B$3:$E$23,2,0),),)</f>
        <v>0.99</v>
      </c>
      <c r="O141" s="380">
        <f t="shared" ref="O141:O142" si="17">(K141+L141)*M141*N141</f>
        <v>6.1695236842105263</v>
      </c>
      <c r="P141" s="379">
        <f>IFERROR(O141*VLOOKUP(G141,MODULY_CBA!$B$3:$F$23,5,0),)</f>
        <v>123.39047368421052</v>
      </c>
      <c r="Q141" s="480" t="str">
        <f>IFERROR(VLOOKUP(G141,MODULY_CBA!$B$3:$I$23,6,0),"")</f>
        <v>Inkrement 1</v>
      </c>
      <c r="R141" s="383"/>
      <c r="S141" s="383"/>
      <c r="T141" s="383"/>
      <c r="U141" s="383"/>
      <c r="V141" s="383"/>
      <c r="W141" s="383"/>
      <c r="X141" s="383"/>
      <c r="Y141" s="383"/>
      <c r="Z141" s="383"/>
      <c r="AA141" s="383"/>
      <c r="AB141" s="383"/>
      <c r="AC141" s="383"/>
      <c r="AD141" s="383"/>
      <c r="AE141" s="383"/>
      <c r="AF141" s="376"/>
    </row>
    <row r="142" spans="1:32" ht="76.5">
      <c r="A142" s="682" t="s">
        <v>1174</v>
      </c>
      <c r="B142" s="402" t="s">
        <v>749</v>
      </c>
      <c r="C142" s="532"/>
      <c r="D142" s="532" t="s">
        <v>1217</v>
      </c>
      <c r="E142" s="532" t="s">
        <v>1213</v>
      </c>
      <c r="F142" s="390" t="s">
        <v>806</v>
      </c>
      <c r="G142" s="390" t="s">
        <v>790</v>
      </c>
      <c r="H142" s="381">
        <v>1</v>
      </c>
      <c r="I142" s="381">
        <v>5</v>
      </c>
      <c r="J142" s="381">
        <f t="shared" si="16"/>
        <v>1</v>
      </c>
      <c r="K142" s="381">
        <f t="shared" si="15"/>
        <v>5</v>
      </c>
      <c r="L142" s="644">
        <f>IFERROR(IF(B142="funkcna poziadavka",VLOOKUP(G142,MODULY_CBA!$B$3:$E$23,4,0)*H142/SUMIFS($H$3:$H$168,$G$3:$G$168,G142,$B$3:$B$168,B142),),)</f>
        <v>2</v>
      </c>
      <c r="M142" s="381">
        <f>IFERROR(IF(B142="Funkcna poziadavka",VLOOKUP(G142,MODULY_CBA!$B$3:$E$23,3,0),),)</f>
        <v>0.99499999999999988</v>
      </c>
      <c r="N142" s="381">
        <f>IFERROR(IF(B142="funkcna poziadavka",VLOOKUP(G142,MODULY_CBA!$B$3:$E$23,2,0),),)</f>
        <v>0.99</v>
      </c>
      <c r="O142" s="380">
        <f t="shared" si="17"/>
        <v>6.8953499999999988</v>
      </c>
      <c r="P142" s="379">
        <f>IFERROR(O142*VLOOKUP(G142,MODULY_CBA!$B$3:$F$23,5,0),)</f>
        <v>103.43024999999999</v>
      </c>
      <c r="Q142" s="480" t="str">
        <f>IFERROR(VLOOKUP(G142,MODULY_CBA!$B$3:$I$23,6,0),"")</f>
        <v>Inkrement 2</v>
      </c>
      <c r="R142" s="383" t="s">
        <v>168</v>
      </c>
      <c r="S142" s="383" t="s">
        <v>168</v>
      </c>
      <c r="T142" s="383" t="s">
        <v>168</v>
      </c>
      <c r="U142" s="383" t="s">
        <v>168</v>
      </c>
      <c r="V142" s="383" t="s">
        <v>168</v>
      </c>
      <c r="W142" s="383" t="s">
        <v>168</v>
      </c>
      <c r="X142" s="383" t="s">
        <v>168</v>
      </c>
      <c r="Y142" s="383" t="s">
        <v>168</v>
      </c>
      <c r="Z142" s="383" t="s">
        <v>168</v>
      </c>
      <c r="AA142" s="383" t="s">
        <v>168</v>
      </c>
      <c r="AB142" s="383" t="s">
        <v>168</v>
      </c>
      <c r="AC142" s="383" t="s">
        <v>168</v>
      </c>
      <c r="AD142" s="383" t="s">
        <v>168</v>
      </c>
      <c r="AE142" s="383" t="s">
        <v>168</v>
      </c>
      <c r="AF142" s="376"/>
    </row>
    <row r="143" spans="1:32" ht="51">
      <c r="A143" s="682" t="s">
        <v>1177</v>
      </c>
      <c r="B143" s="402" t="s">
        <v>749</v>
      </c>
      <c r="C143" s="532"/>
      <c r="D143" s="532" t="s">
        <v>1219</v>
      </c>
      <c r="E143" s="532" t="s">
        <v>1209</v>
      </c>
      <c r="F143" s="390" t="s">
        <v>806</v>
      </c>
      <c r="G143" s="390" t="s">
        <v>792</v>
      </c>
      <c r="H143" s="381">
        <v>1</v>
      </c>
      <c r="I143" s="381">
        <v>5</v>
      </c>
      <c r="J143" s="381">
        <f t="shared" ref="J143:J202" si="18">IF(ISNUMBER(H143),H143,)</f>
        <v>1</v>
      </c>
      <c r="K143" s="381">
        <f t="shared" ref="K143:K202" si="19">H143*I143</f>
        <v>5</v>
      </c>
      <c r="L143" s="644">
        <f>IFERROR(IF(B143="funkcna poziadavka",VLOOKUP(G143,MODULY_CBA!$B$3:$E$23,4,0)*H143/SUMIFS($H$3:$H$168,$G$3:$G$168,G143,$B$3:$B$168,B143),),)</f>
        <v>0.94736842105263153</v>
      </c>
      <c r="M143" s="381">
        <f>IFERROR(IF(B143="Funkcna poziadavka",VLOOKUP(G143,MODULY_CBA!$B$3:$E$23,3,0),),)</f>
        <v>0.99499999999999988</v>
      </c>
      <c r="N143" s="381">
        <f>IFERROR(IF(B143="funkcna poziadavka",VLOOKUP(G143,MODULY_CBA!$B$3:$E$23,2,0),),)</f>
        <v>0.99</v>
      </c>
      <c r="O143" s="380">
        <f t="shared" ref="O143:O202" si="20">(K143+L143)*M143*N143</f>
        <v>5.8584552631578948</v>
      </c>
      <c r="P143" s="379">
        <f>IFERROR(O143*VLOOKUP(G143,MODULY_CBA!$B$3:$F$23,5,0),)</f>
        <v>146.46138157894737</v>
      </c>
      <c r="Q143" s="480" t="str">
        <f>IFERROR(VLOOKUP(G143,MODULY_CBA!$B$3:$I$23,6,0),"")</f>
        <v>Inkrement 2</v>
      </c>
      <c r="R143" s="383"/>
      <c r="S143" s="383"/>
      <c r="T143" s="383"/>
      <c r="U143" s="383"/>
      <c r="V143" s="383"/>
      <c r="W143" s="383"/>
      <c r="X143" s="383"/>
      <c r="Y143" s="383"/>
      <c r="Z143" s="383"/>
      <c r="AA143" s="383"/>
      <c r="AB143" s="383"/>
      <c r="AC143" s="383"/>
      <c r="AD143" s="383"/>
      <c r="AE143" s="383"/>
      <c r="AF143" s="376"/>
    </row>
    <row r="144" spans="1:32" ht="38.25">
      <c r="A144" s="682" t="s">
        <v>1180</v>
      </c>
      <c r="B144" s="402" t="s">
        <v>749</v>
      </c>
      <c r="C144" s="532"/>
      <c r="D144" s="532" t="s">
        <v>1221</v>
      </c>
      <c r="E144" s="532" t="s">
        <v>1213</v>
      </c>
      <c r="F144" s="390" t="s">
        <v>806</v>
      </c>
      <c r="G144" s="390" t="s">
        <v>793</v>
      </c>
      <c r="H144" s="381">
        <v>1</v>
      </c>
      <c r="I144" s="381">
        <v>5</v>
      </c>
      <c r="J144" s="381">
        <f t="shared" si="18"/>
        <v>1</v>
      </c>
      <c r="K144" s="381">
        <f t="shared" si="19"/>
        <v>5</v>
      </c>
      <c r="L144" s="644">
        <f>IFERROR(IF(B144="funkcna poziadavka",VLOOKUP(G144,MODULY_CBA!$B$3:$E$23,4,0)*H144/SUMIFS($H$3:$H$168,$G$3:$G$168,G144,$B$3:$B$168,B144),),)</f>
        <v>1.263157894736842</v>
      </c>
      <c r="M144" s="381">
        <f>IFERROR(IF(B144="Funkcna poziadavka",VLOOKUP(G144,MODULY_CBA!$B$3:$E$23,3,0),),)</f>
        <v>0.99499999999999988</v>
      </c>
      <c r="N144" s="381">
        <f>IFERROR(IF(B144="funkcna poziadavka",VLOOKUP(G144,MODULY_CBA!$B$3:$E$23,2,0),),)</f>
        <v>0.99</v>
      </c>
      <c r="O144" s="380">
        <f t="shared" si="20"/>
        <v>6.1695236842105263</v>
      </c>
      <c r="P144" s="379">
        <f>IFERROR(O144*VLOOKUP(G144,MODULY_CBA!$B$3:$F$23,5,0),)</f>
        <v>123.39047368421052</v>
      </c>
      <c r="Q144" s="480" t="str">
        <f>IFERROR(VLOOKUP(G144,MODULY_CBA!$B$3:$I$23,6,0),"")</f>
        <v>Inkrement 1</v>
      </c>
      <c r="R144" s="383"/>
      <c r="S144" s="383"/>
      <c r="T144" s="383"/>
      <c r="U144" s="383"/>
      <c r="V144" s="383"/>
      <c r="W144" s="383"/>
      <c r="X144" s="383"/>
      <c r="Y144" s="383"/>
      <c r="Z144" s="383"/>
      <c r="AA144" s="383"/>
      <c r="AB144" s="383"/>
      <c r="AC144" s="383"/>
      <c r="AD144" s="383"/>
      <c r="AE144" s="383"/>
      <c r="AF144" s="376"/>
    </row>
    <row r="145" spans="1:32" ht="51">
      <c r="A145" s="682" t="s">
        <v>1183</v>
      </c>
      <c r="B145" s="402" t="s">
        <v>749</v>
      </c>
      <c r="C145" s="532"/>
      <c r="D145" s="532" t="s">
        <v>1223</v>
      </c>
      <c r="E145" s="532" t="s">
        <v>1213</v>
      </c>
      <c r="F145" s="390" t="s">
        <v>806</v>
      </c>
      <c r="G145" s="390" t="s">
        <v>792</v>
      </c>
      <c r="H145" s="381">
        <v>1</v>
      </c>
      <c r="I145" s="381">
        <v>5</v>
      </c>
      <c r="J145" s="381">
        <f t="shared" si="18"/>
        <v>1</v>
      </c>
      <c r="K145" s="381">
        <f t="shared" si="19"/>
        <v>5</v>
      </c>
      <c r="L145" s="644">
        <f>IFERROR(IF(B145="funkcna poziadavka",VLOOKUP(G145,MODULY_CBA!$B$3:$E$23,4,0)*H145/SUMIFS($H$3:$H$168,$G$3:$G$168,G145,$B$3:$B$168,B145),),)</f>
        <v>0.94736842105263153</v>
      </c>
      <c r="M145" s="381">
        <f>IFERROR(IF(B145="Funkcna poziadavka",VLOOKUP(G145,MODULY_CBA!$B$3:$E$23,3,0),),)</f>
        <v>0.99499999999999988</v>
      </c>
      <c r="N145" s="381">
        <f>IFERROR(IF(B145="funkcna poziadavka",VLOOKUP(G145,MODULY_CBA!$B$3:$E$23,2,0),),)</f>
        <v>0.99</v>
      </c>
      <c r="O145" s="380">
        <f t="shared" si="20"/>
        <v>5.8584552631578948</v>
      </c>
      <c r="P145" s="379">
        <f>IFERROR(O145*VLOOKUP(G145,MODULY_CBA!$B$3:$F$23,5,0),)</f>
        <v>146.46138157894737</v>
      </c>
      <c r="Q145" s="480" t="str">
        <f>IFERROR(VLOOKUP(G145,MODULY_CBA!$B$3:$I$23,6,0),"")</f>
        <v>Inkrement 2</v>
      </c>
      <c r="R145" s="383"/>
      <c r="S145" s="383"/>
      <c r="T145" s="383"/>
      <c r="U145" s="383"/>
      <c r="V145" s="383"/>
      <c r="W145" s="383"/>
      <c r="X145" s="383"/>
      <c r="Y145" s="383"/>
      <c r="Z145" s="383"/>
      <c r="AA145" s="383"/>
      <c r="AB145" s="383"/>
      <c r="AC145" s="383"/>
      <c r="AD145" s="383"/>
      <c r="AE145" s="383"/>
      <c r="AF145" s="376"/>
    </row>
    <row r="146" spans="1:32" ht="51">
      <c r="A146" s="682" t="s">
        <v>1186</v>
      </c>
      <c r="B146" s="402" t="s">
        <v>749</v>
      </c>
      <c r="C146" s="532"/>
      <c r="D146" s="532" t="s">
        <v>1225</v>
      </c>
      <c r="E146" s="532" t="s">
        <v>1226</v>
      </c>
      <c r="F146" s="390" t="s">
        <v>806</v>
      </c>
      <c r="G146" s="390" t="s">
        <v>792</v>
      </c>
      <c r="H146" s="381">
        <v>1</v>
      </c>
      <c r="I146" s="381">
        <v>5</v>
      </c>
      <c r="J146" s="381">
        <f t="shared" si="18"/>
        <v>1</v>
      </c>
      <c r="K146" s="381">
        <f t="shared" si="19"/>
        <v>5</v>
      </c>
      <c r="L146" s="644">
        <f>IFERROR(IF(B146="funkcna poziadavka",VLOOKUP(G146,MODULY_CBA!$B$3:$E$23,4,0)*H146/SUMIFS($H$3:$H$168,$G$3:$G$168,G146,$B$3:$B$168,B146),),)</f>
        <v>0.94736842105263153</v>
      </c>
      <c r="M146" s="381">
        <f>IFERROR(IF(B146="Funkcna poziadavka",VLOOKUP(G146,MODULY_CBA!$B$3:$E$23,3,0),),)</f>
        <v>0.99499999999999988</v>
      </c>
      <c r="N146" s="381">
        <f>IFERROR(IF(B146="funkcna poziadavka",VLOOKUP(G146,MODULY_CBA!$B$3:$E$23,2,0),),)</f>
        <v>0.99</v>
      </c>
      <c r="O146" s="380">
        <f t="shared" si="20"/>
        <v>5.8584552631578948</v>
      </c>
      <c r="P146" s="379">
        <f>IFERROR(O146*VLOOKUP(G146,MODULY_CBA!$B$3:$F$23,5,0),)</f>
        <v>146.46138157894737</v>
      </c>
      <c r="Q146" s="480" t="str">
        <f>IFERROR(VLOOKUP(G146,MODULY_CBA!$B$3:$I$23,6,0),"")</f>
        <v>Inkrement 2</v>
      </c>
      <c r="R146" s="383"/>
      <c r="S146" s="383"/>
      <c r="T146" s="383"/>
      <c r="U146" s="383"/>
      <c r="V146" s="383"/>
      <c r="W146" s="383"/>
      <c r="X146" s="383"/>
      <c r="Y146" s="383"/>
      <c r="Z146" s="383"/>
      <c r="AA146" s="383"/>
      <c r="AB146" s="383"/>
      <c r="AC146" s="383"/>
      <c r="AD146" s="383"/>
      <c r="AE146" s="383"/>
      <c r="AF146" s="376"/>
    </row>
    <row r="147" spans="1:32" ht="51">
      <c r="A147" s="682" t="s">
        <v>1189</v>
      </c>
      <c r="B147" s="402" t="s">
        <v>749</v>
      </c>
      <c r="C147" s="532"/>
      <c r="D147" s="532" t="s">
        <v>1228</v>
      </c>
      <c r="E147" s="532" t="s">
        <v>1229</v>
      </c>
      <c r="F147" s="390" t="s">
        <v>806</v>
      </c>
      <c r="G147" s="390" t="s">
        <v>792</v>
      </c>
      <c r="H147" s="381">
        <v>1</v>
      </c>
      <c r="I147" s="381">
        <v>5</v>
      </c>
      <c r="J147" s="381">
        <f t="shared" si="18"/>
        <v>1</v>
      </c>
      <c r="K147" s="381">
        <f t="shared" si="19"/>
        <v>5</v>
      </c>
      <c r="L147" s="644">
        <f>IFERROR(IF(B147="funkcna poziadavka",VLOOKUP(G147,MODULY_CBA!$B$3:$E$23,4,0)*H147/SUMIFS($H$3:$H$168,$G$3:$G$168,G147,$B$3:$B$168,B147),),)</f>
        <v>0.94736842105263153</v>
      </c>
      <c r="M147" s="381">
        <f>IFERROR(IF(B147="Funkcna poziadavka",VLOOKUP(G147,MODULY_CBA!$B$3:$E$23,3,0),),)</f>
        <v>0.99499999999999988</v>
      </c>
      <c r="N147" s="381">
        <f>IFERROR(IF(B147="funkcna poziadavka",VLOOKUP(G147,MODULY_CBA!$B$3:$E$23,2,0),),)</f>
        <v>0.99</v>
      </c>
      <c r="O147" s="380">
        <f t="shared" si="20"/>
        <v>5.8584552631578948</v>
      </c>
      <c r="P147" s="379">
        <f>IFERROR(O147*VLOOKUP(G147,MODULY_CBA!$B$3:$F$23,5,0),)</f>
        <v>146.46138157894737</v>
      </c>
      <c r="Q147" s="480" t="str">
        <f>IFERROR(VLOOKUP(G147,MODULY_CBA!$B$3:$I$23,6,0),"")</f>
        <v>Inkrement 2</v>
      </c>
      <c r="R147" s="383"/>
      <c r="S147" s="383"/>
      <c r="T147" s="383"/>
      <c r="U147" s="383"/>
      <c r="V147" s="383"/>
      <c r="W147" s="383"/>
      <c r="X147" s="383"/>
      <c r="Y147" s="383"/>
      <c r="Z147" s="383"/>
      <c r="AA147" s="383"/>
      <c r="AB147" s="383"/>
      <c r="AC147" s="383"/>
      <c r="AD147" s="383"/>
      <c r="AE147" s="383"/>
      <c r="AF147" s="376"/>
    </row>
    <row r="148" spans="1:32" ht="51">
      <c r="A148" s="682" t="s">
        <v>1192</v>
      </c>
      <c r="B148" s="402" t="s">
        <v>749</v>
      </c>
      <c r="C148" s="532"/>
      <c r="D148" s="532" t="s">
        <v>1231</v>
      </c>
      <c r="E148" s="532" t="s">
        <v>1232</v>
      </c>
      <c r="F148" s="390" t="s">
        <v>806</v>
      </c>
      <c r="G148" s="390" t="s">
        <v>792</v>
      </c>
      <c r="H148" s="381">
        <v>1</v>
      </c>
      <c r="I148" s="381">
        <v>5</v>
      </c>
      <c r="J148" s="381">
        <f t="shared" si="18"/>
        <v>1</v>
      </c>
      <c r="K148" s="381">
        <f t="shared" si="19"/>
        <v>5</v>
      </c>
      <c r="L148" s="644">
        <f>IFERROR(IF(B148="funkcna poziadavka",VLOOKUP(G148,MODULY_CBA!$B$3:$E$23,4,0)*H148/SUMIFS($H$3:$H$168,$G$3:$G$168,G148,$B$3:$B$168,B148),),)</f>
        <v>0.94736842105263153</v>
      </c>
      <c r="M148" s="381">
        <f>IFERROR(IF(B148="Funkcna poziadavka",VLOOKUP(G148,MODULY_CBA!$B$3:$E$23,3,0),),)</f>
        <v>0.99499999999999988</v>
      </c>
      <c r="N148" s="381">
        <f>IFERROR(IF(B148="funkcna poziadavka",VLOOKUP(G148,MODULY_CBA!$B$3:$E$23,2,0),),)</f>
        <v>0.99</v>
      </c>
      <c r="O148" s="380">
        <f t="shared" si="20"/>
        <v>5.8584552631578948</v>
      </c>
      <c r="P148" s="379">
        <f>IFERROR(O148*VLOOKUP(G148,MODULY_CBA!$B$3:$F$23,5,0),)</f>
        <v>146.46138157894737</v>
      </c>
      <c r="Q148" s="480" t="str">
        <f>IFERROR(VLOOKUP(G148,MODULY_CBA!$B$3:$I$23,6,0),"")</f>
        <v>Inkrement 2</v>
      </c>
      <c r="R148" s="383"/>
      <c r="S148" s="383"/>
      <c r="T148" s="383"/>
      <c r="U148" s="383"/>
      <c r="V148" s="383"/>
      <c r="W148" s="383"/>
      <c r="X148" s="383"/>
      <c r="Y148" s="383"/>
      <c r="Z148" s="383"/>
      <c r="AA148" s="383"/>
      <c r="AB148" s="383"/>
      <c r="AC148" s="383"/>
      <c r="AD148" s="383"/>
      <c r="AE148" s="383"/>
      <c r="AF148" s="376"/>
    </row>
    <row r="149" spans="1:32" ht="51">
      <c r="A149" s="682" t="s">
        <v>1195</v>
      </c>
      <c r="B149" s="402" t="s">
        <v>749</v>
      </c>
      <c r="C149" s="532"/>
      <c r="D149" s="532" t="s">
        <v>1234</v>
      </c>
      <c r="E149" s="532" t="s">
        <v>1235</v>
      </c>
      <c r="F149" s="390" t="s">
        <v>806</v>
      </c>
      <c r="G149" s="390" t="s">
        <v>792</v>
      </c>
      <c r="H149" s="381">
        <v>1</v>
      </c>
      <c r="I149" s="381">
        <v>10</v>
      </c>
      <c r="J149" s="381">
        <f t="shared" si="18"/>
        <v>1</v>
      </c>
      <c r="K149" s="381">
        <f t="shared" si="19"/>
        <v>10</v>
      </c>
      <c r="L149" s="644">
        <f>IFERROR(IF(B149="funkcna poziadavka",VLOOKUP(G149,MODULY_CBA!$B$3:$E$23,4,0)*H149/SUMIFS($H$3:$H$168,$G$3:$G$168,G149,$B$3:$B$168,B149),),)</f>
        <v>0.94736842105263153</v>
      </c>
      <c r="M149" s="381">
        <f>IFERROR(IF(B149="Funkcna poziadavka",VLOOKUP(G149,MODULY_CBA!$B$3:$E$23,3,0),),)</f>
        <v>0.99499999999999988</v>
      </c>
      <c r="N149" s="381">
        <f>IFERROR(IF(B149="funkcna poziadavka",VLOOKUP(G149,MODULY_CBA!$B$3:$E$23,2,0),),)</f>
        <v>0.99</v>
      </c>
      <c r="O149" s="380">
        <f t="shared" si="20"/>
        <v>10.783705263157895</v>
      </c>
      <c r="P149" s="379">
        <f>IFERROR(O149*VLOOKUP(G149,MODULY_CBA!$B$3:$F$23,5,0),)</f>
        <v>269.59263157894736</v>
      </c>
      <c r="Q149" s="480" t="str">
        <f>IFERROR(VLOOKUP(G149,MODULY_CBA!$B$3:$I$23,6,0),"")</f>
        <v>Inkrement 2</v>
      </c>
      <c r="R149" s="383"/>
      <c r="S149" s="383"/>
      <c r="T149" s="383"/>
      <c r="U149" s="383"/>
      <c r="V149" s="383"/>
      <c r="W149" s="383"/>
      <c r="X149" s="383"/>
      <c r="Y149" s="383"/>
      <c r="Z149" s="383"/>
      <c r="AA149" s="383"/>
      <c r="AB149" s="383"/>
      <c r="AC149" s="383"/>
      <c r="AD149" s="383"/>
      <c r="AE149" s="383"/>
      <c r="AF149" s="376"/>
    </row>
    <row r="150" spans="1:32" ht="51">
      <c r="A150" s="682" t="s">
        <v>1198</v>
      </c>
      <c r="B150" s="402" t="s">
        <v>749</v>
      </c>
      <c r="C150" s="532"/>
      <c r="D150" s="532" t="s">
        <v>1237</v>
      </c>
      <c r="E150" s="532" t="s">
        <v>1238</v>
      </c>
      <c r="F150" s="390" t="s">
        <v>806</v>
      </c>
      <c r="G150" s="390" t="s">
        <v>792</v>
      </c>
      <c r="H150" s="381">
        <v>1</v>
      </c>
      <c r="I150" s="381">
        <v>10</v>
      </c>
      <c r="J150" s="381">
        <f t="shared" si="18"/>
        <v>1</v>
      </c>
      <c r="K150" s="381">
        <f t="shared" si="19"/>
        <v>10</v>
      </c>
      <c r="L150" s="644">
        <f>IFERROR(IF(B150="funkcna poziadavka",VLOOKUP(G150,MODULY_CBA!$B$3:$E$23,4,0)*H150/SUMIFS($H$3:$H$168,$G$3:$G$168,G150,$B$3:$B$168,B150),),)</f>
        <v>0.94736842105263153</v>
      </c>
      <c r="M150" s="381">
        <f>IFERROR(IF(B150="Funkcna poziadavka",VLOOKUP(G150,MODULY_CBA!$B$3:$E$23,3,0),),)</f>
        <v>0.99499999999999988</v>
      </c>
      <c r="N150" s="381">
        <f>IFERROR(IF(B150="funkcna poziadavka",VLOOKUP(G150,MODULY_CBA!$B$3:$E$23,2,0),),)</f>
        <v>0.99</v>
      </c>
      <c r="O150" s="380">
        <f t="shared" si="20"/>
        <v>10.783705263157895</v>
      </c>
      <c r="P150" s="379">
        <f>IFERROR(O150*VLOOKUP(G150,MODULY_CBA!$B$3:$F$23,5,0),)</f>
        <v>269.59263157894736</v>
      </c>
      <c r="Q150" s="480" t="str">
        <f>IFERROR(VLOOKUP(G150,MODULY_CBA!$B$3:$I$23,6,0),"")</f>
        <v>Inkrement 2</v>
      </c>
      <c r="R150" s="383"/>
      <c r="S150" s="383"/>
      <c r="T150" s="383"/>
      <c r="U150" s="383"/>
      <c r="V150" s="383"/>
      <c r="W150" s="383"/>
      <c r="X150" s="383"/>
      <c r="Y150" s="383"/>
      <c r="Z150" s="383"/>
      <c r="AA150" s="383"/>
      <c r="AB150" s="383"/>
      <c r="AC150" s="383"/>
      <c r="AD150" s="383"/>
      <c r="AE150" s="383"/>
      <c r="AF150" s="376"/>
    </row>
    <row r="151" spans="1:32" ht="51">
      <c r="A151" s="682" t="s">
        <v>1201</v>
      </c>
      <c r="B151" s="402" t="s">
        <v>749</v>
      </c>
      <c r="C151" s="532"/>
      <c r="D151" s="532" t="s">
        <v>1240</v>
      </c>
      <c r="E151" s="532" t="s">
        <v>1241</v>
      </c>
      <c r="F151" s="390" t="s">
        <v>806</v>
      </c>
      <c r="G151" s="390" t="s">
        <v>792</v>
      </c>
      <c r="H151" s="381">
        <v>1</v>
      </c>
      <c r="I151" s="381">
        <v>10</v>
      </c>
      <c r="J151" s="381">
        <f t="shared" si="18"/>
        <v>1</v>
      </c>
      <c r="K151" s="381">
        <f t="shared" si="19"/>
        <v>10</v>
      </c>
      <c r="L151" s="644">
        <f>IFERROR(IF(B151="funkcna poziadavka",VLOOKUP(G151,MODULY_CBA!$B$3:$E$23,4,0)*H151/SUMIFS($H$3:$H$168,$G$3:$G$168,G151,$B$3:$B$168,B151),),)</f>
        <v>0.94736842105263153</v>
      </c>
      <c r="M151" s="381">
        <f>IFERROR(IF(B151="Funkcna poziadavka",VLOOKUP(G151,MODULY_CBA!$B$3:$E$23,3,0),),)</f>
        <v>0.99499999999999988</v>
      </c>
      <c r="N151" s="381">
        <f>IFERROR(IF(B151="funkcna poziadavka",VLOOKUP(G151,MODULY_CBA!$B$3:$E$23,2,0),),)</f>
        <v>0.99</v>
      </c>
      <c r="O151" s="380">
        <f t="shared" si="20"/>
        <v>10.783705263157895</v>
      </c>
      <c r="P151" s="379">
        <f>IFERROR(O151*VLOOKUP(G151,MODULY_CBA!$B$3:$F$23,5,0),)</f>
        <v>269.59263157894736</v>
      </c>
      <c r="Q151" s="480" t="str">
        <f>IFERROR(VLOOKUP(G151,MODULY_CBA!$B$3:$I$23,6,0),"")</f>
        <v>Inkrement 2</v>
      </c>
      <c r="R151" s="383"/>
      <c r="S151" s="383"/>
      <c r="T151" s="383"/>
      <c r="U151" s="383"/>
      <c r="V151" s="383"/>
      <c r="W151" s="383"/>
      <c r="X151" s="383"/>
      <c r="Y151" s="383"/>
      <c r="Z151" s="383"/>
      <c r="AA151" s="383"/>
      <c r="AB151" s="383"/>
      <c r="AC151" s="383"/>
      <c r="AD151" s="383"/>
      <c r="AE151" s="383"/>
      <c r="AF151" s="376"/>
    </row>
    <row r="152" spans="1:32" ht="51">
      <c r="A152" s="682" t="s">
        <v>1204</v>
      </c>
      <c r="B152" s="402" t="s">
        <v>749</v>
      </c>
      <c r="C152" s="532"/>
      <c r="D152" s="532" t="s">
        <v>1243</v>
      </c>
      <c r="E152" s="532" t="s">
        <v>1244</v>
      </c>
      <c r="F152" s="390" t="s">
        <v>806</v>
      </c>
      <c r="G152" s="390" t="s">
        <v>792</v>
      </c>
      <c r="H152" s="381">
        <v>1</v>
      </c>
      <c r="I152" s="381">
        <v>5</v>
      </c>
      <c r="J152" s="381">
        <f t="shared" si="18"/>
        <v>1</v>
      </c>
      <c r="K152" s="381">
        <f t="shared" si="19"/>
        <v>5</v>
      </c>
      <c r="L152" s="644">
        <f>IFERROR(IF(B152="funkcna poziadavka",VLOOKUP(G152,MODULY_CBA!$B$3:$E$23,4,0)*H152/SUMIFS($H$3:$H$168,$G$3:$G$168,G152,$B$3:$B$168,B152),),)</f>
        <v>0.94736842105263153</v>
      </c>
      <c r="M152" s="381">
        <f>IFERROR(IF(B152="Funkcna poziadavka",VLOOKUP(G152,MODULY_CBA!$B$3:$E$23,3,0),),)</f>
        <v>0.99499999999999988</v>
      </c>
      <c r="N152" s="381">
        <f>IFERROR(IF(B152="funkcna poziadavka",VLOOKUP(G152,MODULY_CBA!$B$3:$E$23,2,0),),)</f>
        <v>0.99</v>
      </c>
      <c r="O152" s="380">
        <f t="shared" si="20"/>
        <v>5.8584552631578948</v>
      </c>
      <c r="P152" s="379">
        <f>IFERROR(O152*VLOOKUP(G152,MODULY_CBA!$B$3:$F$23,5,0),)</f>
        <v>146.46138157894737</v>
      </c>
      <c r="Q152" s="480" t="str">
        <f>IFERROR(VLOOKUP(G152,MODULY_CBA!$B$3:$I$23,6,0),"")</f>
        <v>Inkrement 2</v>
      </c>
      <c r="R152" s="383"/>
      <c r="S152" s="383"/>
      <c r="T152" s="383"/>
      <c r="U152" s="383"/>
      <c r="V152" s="383"/>
      <c r="W152" s="383"/>
      <c r="X152" s="383"/>
      <c r="Y152" s="383"/>
      <c r="Z152" s="383"/>
      <c r="AA152" s="383"/>
      <c r="AB152" s="383"/>
      <c r="AC152" s="383"/>
      <c r="AD152" s="383"/>
      <c r="AE152" s="383"/>
      <c r="AF152" s="376"/>
    </row>
    <row r="153" spans="1:32" ht="51">
      <c r="A153" s="682" t="s">
        <v>1207</v>
      </c>
      <c r="B153" s="402" t="s">
        <v>749</v>
      </c>
      <c r="C153" s="532"/>
      <c r="D153" s="532" t="s">
        <v>1246</v>
      </c>
      <c r="E153" s="532" t="s">
        <v>1247</v>
      </c>
      <c r="F153" s="390" t="s">
        <v>806</v>
      </c>
      <c r="G153" s="390" t="s">
        <v>792</v>
      </c>
      <c r="H153" s="381">
        <v>1</v>
      </c>
      <c r="I153" s="381">
        <v>5</v>
      </c>
      <c r="J153" s="381">
        <f t="shared" si="18"/>
        <v>1</v>
      </c>
      <c r="K153" s="381">
        <f t="shared" si="19"/>
        <v>5</v>
      </c>
      <c r="L153" s="644">
        <f>IFERROR(IF(B153="funkcna poziadavka",VLOOKUP(G153,MODULY_CBA!$B$3:$E$23,4,0)*H153/SUMIFS($H$3:$H$168,$G$3:$G$168,G153,$B$3:$B$168,B153),),)</f>
        <v>0.94736842105263153</v>
      </c>
      <c r="M153" s="381">
        <f>IFERROR(IF(B153="Funkcna poziadavka",VLOOKUP(G153,MODULY_CBA!$B$3:$E$23,3,0),),)</f>
        <v>0.99499999999999988</v>
      </c>
      <c r="N153" s="381">
        <f>IFERROR(IF(B153="funkcna poziadavka",VLOOKUP(G153,MODULY_CBA!$B$3:$E$23,2,0),),)</f>
        <v>0.99</v>
      </c>
      <c r="O153" s="380">
        <f t="shared" si="20"/>
        <v>5.8584552631578948</v>
      </c>
      <c r="P153" s="379">
        <f>IFERROR(O153*VLOOKUP(G153,MODULY_CBA!$B$3:$F$23,5,0),)</f>
        <v>146.46138157894737</v>
      </c>
      <c r="Q153" s="480" t="str">
        <f>IFERROR(VLOOKUP(G153,MODULY_CBA!$B$3:$I$23,6,0),"")</f>
        <v>Inkrement 2</v>
      </c>
      <c r="R153" s="383"/>
      <c r="S153" s="383"/>
      <c r="T153" s="383"/>
      <c r="U153" s="383"/>
      <c r="V153" s="383"/>
      <c r="W153" s="383"/>
      <c r="X153" s="383"/>
      <c r="Y153" s="383"/>
      <c r="Z153" s="383"/>
      <c r="AA153" s="383"/>
      <c r="AB153" s="383"/>
      <c r="AC153" s="383"/>
      <c r="AD153" s="383"/>
      <c r="AE153" s="383"/>
      <c r="AF153" s="376"/>
    </row>
    <row r="154" spans="1:32" ht="51">
      <c r="A154" s="682" t="s">
        <v>1210</v>
      </c>
      <c r="B154" s="402" t="s">
        <v>749</v>
      </c>
      <c r="C154" s="532"/>
      <c r="D154" s="532" t="s">
        <v>1249</v>
      </c>
      <c r="E154" s="532" t="s">
        <v>1250</v>
      </c>
      <c r="F154" s="390" t="s">
        <v>806</v>
      </c>
      <c r="G154" s="390" t="s">
        <v>792</v>
      </c>
      <c r="H154" s="381">
        <v>1</v>
      </c>
      <c r="I154" s="381">
        <v>5</v>
      </c>
      <c r="J154" s="381">
        <f t="shared" si="18"/>
        <v>1</v>
      </c>
      <c r="K154" s="381">
        <f t="shared" si="19"/>
        <v>5</v>
      </c>
      <c r="L154" s="644">
        <f>IFERROR(IF(B154="funkcna poziadavka",VLOOKUP(G154,MODULY_CBA!$B$3:$E$23,4,0)*H154/SUMIFS($H$3:$H$168,$G$3:$G$168,G154,$B$3:$B$168,B154),),)</f>
        <v>0.94736842105263153</v>
      </c>
      <c r="M154" s="381">
        <f>IFERROR(IF(B154="Funkcna poziadavka",VLOOKUP(G154,MODULY_CBA!$B$3:$E$23,3,0),),)</f>
        <v>0.99499999999999988</v>
      </c>
      <c r="N154" s="381">
        <f>IFERROR(IF(B154="funkcna poziadavka",VLOOKUP(G154,MODULY_CBA!$B$3:$E$23,2,0),),)</f>
        <v>0.99</v>
      </c>
      <c r="O154" s="380">
        <f t="shared" si="20"/>
        <v>5.8584552631578948</v>
      </c>
      <c r="P154" s="379">
        <f>IFERROR(O154*VLOOKUP(G154,MODULY_CBA!$B$3:$F$23,5,0),)</f>
        <v>146.46138157894737</v>
      </c>
      <c r="Q154" s="480" t="str">
        <f>IFERROR(VLOOKUP(G154,MODULY_CBA!$B$3:$I$23,6,0),"")</f>
        <v>Inkrement 2</v>
      </c>
      <c r="R154" s="383"/>
      <c r="S154" s="383"/>
      <c r="T154" s="383"/>
      <c r="U154" s="383"/>
      <c r="V154" s="383"/>
      <c r="W154" s="383"/>
      <c r="X154" s="383"/>
      <c r="Y154" s="383"/>
      <c r="Z154" s="383"/>
      <c r="AA154" s="383"/>
      <c r="AB154" s="383"/>
      <c r="AC154" s="383"/>
      <c r="AD154" s="383"/>
      <c r="AE154" s="383"/>
      <c r="AF154" s="376"/>
    </row>
    <row r="155" spans="1:32" ht="51">
      <c r="A155" s="682" t="s">
        <v>2523</v>
      </c>
      <c r="B155" s="402" t="s">
        <v>749</v>
      </c>
      <c r="C155" s="532"/>
      <c r="D155" s="532" t="s">
        <v>1252</v>
      </c>
      <c r="E155" s="532" t="s">
        <v>1253</v>
      </c>
      <c r="F155" s="390" t="s">
        <v>806</v>
      </c>
      <c r="G155" s="390" t="s">
        <v>792</v>
      </c>
      <c r="H155" s="381">
        <v>1</v>
      </c>
      <c r="I155" s="381">
        <v>5</v>
      </c>
      <c r="J155" s="381">
        <f t="shared" si="18"/>
        <v>1</v>
      </c>
      <c r="K155" s="381">
        <f t="shared" si="19"/>
        <v>5</v>
      </c>
      <c r="L155" s="644">
        <f>IFERROR(IF(B155="funkcna poziadavka",VLOOKUP(G155,MODULY_CBA!$B$3:$E$23,4,0)*H155/SUMIFS($H$3:$H$168,$G$3:$G$168,G155,$B$3:$B$168,B155),),)</f>
        <v>0.94736842105263153</v>
      </c>
      <c r="M155" s="381">
        <f>IFERROR(IF(B155="Funkcna poziadavka",VLOOKUP(G155,MODULY_CBA!$B$3:$E$23,3,0),),)</f>
        <v>0.99499999999999988</v>
      </c>
      <c r="N155" s="381">
        <f>IFERROR(IF(B155="funkcna poziadavka",VLOOKUP(G155,MODULY_CBA!$B$3:$E$23,2,0),),)</f>
        <v>0.99</v>
      </c>
      <c r="O155" s="380">
        <f t="shared" si="20"/>
        <v>5.8584552631578948</v>
      </c>
      <c r="P155" s="379">
        <f>IFERROR(O155*VLOOKUP(G155,MODULY_CBA!$B$3:$F$23,5,0),)</f>
        <v>146.46138157894737</v>
      </c>
      <c r="Q155" s="480" t="str">
        <f>IFERROR(VLOOKUP(G155,MODULY_CBA!$B$3:$I$23,6,0),"")</f>
        <v>Inkrement 2</v>
      </c>
      <c r="R155" s="383"/>
      <c r="S155" s="383"/>
      <c r="T155" s="383"/>
      <c r="U155" s="383"/>
      <c r="V155" s="383"/>
      <c r="W155" s="383"/>
      <c r="X155" s="383"/>
      <c r="Y155" s="383"/>
      <c r="Z155" s="383"/>
      <c r="AA155" s="383"/>
      <c r="AB155" s="383"/>
      <c r="AC155" s="383"/>
      <c r="AD155" s="383"/>
      <c r="AE155" s="383"/>
      <c r="AF155" s="376"/>
    </row>
    <row r="156" spans="1:32" ht="51">
      <c r="A156" s="682" t="s">
        <v>2524</v>
      </c>
      <c r="B156" s="402" t="s">
        <v>749</v>
      </c>
      <c r="C156" s="532"/>
      <c r="D156" s="532" t="s">
        <v>1255</v>
      </c>
      <c r="E156" s="532" t="s">
        <v>1256</v>
      </c>
      <c r="F156" s="390" t="s">
        <v>806</v>
      </c>
      <c r="G156" s="390" t="s">
        <v>792</v>
      </c>
      <c r="H156" s="381">
        <v>1</v>
      </c>
      <c r="I156" s="381">
        <v>5</v>
      </c>
      <c r="J156" s="381">
        <f t="shared" si="18"/>
        <v>1</v>
      </c>
      <c r="K156" s="381">
        <f t="shared" si="19"/>
        <v>5</v>
      </c>
      <c r="L156" s="644">
        <f>IFERROR(IF(B156="funkcna poziadavka",VLOOKUP(G156,MODULY_CBA!$B$3:$E$23,4,0)*H156/SUMIFS($H$3:$H$168,$G$3:$G$168,G156,$B$3:$B$168,B156),),)</f>
        <v>0.94736842105263153</v>
      </c>
      <c r="M156" s="381">
        <f>IFERROR(IF(B156="Funkcna poziadavka",VLOOKUP(G156,MODULY_CBA!$B$3:$E$23,3,0),),)</f>
        <v>0.99499999999999988</v>
      </c>
      <c r="N156" s="381">
        <f>IFERROR(IF(B156="funkcna poziadavka",VLOOKUP(G156,MODULY_CBA!$B$3:$E$23,2,0),),)</f>
        <v>0.99</v>
      </c>
      <c r="O156" s="380">
        <f t="shared" si="20"/>
        <v>5.8584552631578948</v>
      </c>
      <c r="P156" s="379">
        <f>IFERROR(O156*VLOOKUP(G156,MODULY_CBA!$B$3:$F$23,5,0),)</f>
        <v>146.46138157894737</v>
      </c>
      <c r="Q156" s="480" t="str">
        <f>IFERROR(VLOOKUP(G156,MODULY_CBA!$B$3:$I$23,6,0),"")</f>
        <v>Inkrement 2</v>
      </c>
      <c r="R156" s="383"/>
      <c r="S156" s="383"/>
      <c r="T156" s="383"/>
      <c r="U156" s="383"/>
      <c r="V156" s="383"/>
      <c r="W156" s="383"/>
      <c r="X156" s="383"/>
      <c r="Y156" s="383"/>
      <c r="Z156" s="383"/>
      <c r="AA156" s="383"/>
      <c r="AB156" s="383"/>
      <c r="AC156" s="383"/>
      <c r="AD156" s="383"/>
      <c r="AE156" s="383"/>
      <c r="AF156" s="376"/>
    </row>
    <row r="157" spans="1:32" ht="51">
      <c r="A157" s="682" t="s">
        <v>2525</v>
      </c>
      <c r="B157" s="402" t="s">
        <v>749</v>
      </c>
      <c r="C157" s="532"/>
      <c r="D157" s="532" t="s">
        <v>1258</v>
      </c>
      <c r="E157" s="532" t="s">
        <v>1259</v>
      </c>
      <c r="F157" s="390" t="s">
        <v>806</v>
      </c>
      <c r="G157" s="390" t="s">
        <v>792</v>
      </c>
      <c r="H157" s="381">
        <v>1</v>
      </c>
      <c r="I157" s="381">
        <v>5</v>
      </c>
      <c r="J157" s="381">
        <f t="shared" si="18"/>
        <v>1</v>
      </c>
      <c r="K157" s="381">
        <f t="shared" si="19"/>
        <v>5</v>
      </c>
      <c r="L157" s="644">
        <f>IFERROR(IF(B157="funkcna poziadavka",VLOOKUP(G157,MODULY_CBA!$B$3:$E$23,4,0)*H157/SUMIFS($H$3:$H$168,$G$3:$G$168,G157,$B$3:$B$168,B157),),)</f>
        <v>0.94736842105263153</v>
      </c>
      <c r="M157" s="381">
        <f>IFERROR(IF(B157="Funkcna poziadavka",VLOOKUP(G157,MODULY_CBA!$B$3:$E$23,3,0),),)</f>
        <v>0.99499999999999988</v>
      </c>
      <c r="N157" s="381">
        <f>IFERROR(IF(B157="funkcna poziadavka",VLOOKUP(G157,MODULY_CBA!$B$3:$E$23,2,0),),)</f>
        <v>0.99</v>
      </c>
      <c r="O157" s="380">
        <f t="shared" si="20"/>
        <v>5.8584552631578948</v>
      </c>
      <c r="P157" s="379">
        <f>IFERROR(O157*VLOOKUP(G157,MODULY_CBA!$B$3:$F$23,5,0),)</f>
        <v>146.46138157894737</v>
      </c>
      <c r="Q157" s="480" t="str">
        <f>IFERROR(VLOOKUP(G157,MODULY_CBA!$B$3:$I$23,6,0),"")</f>
        <v>Inkrement 2</v>
      </c>
      <c r="R157" s="383"/>
      <c r="S157" s="383"/>
      <c r="T157" s="383"/>
      <c r="U157" s="383"/>
      <c r="V157" s="383"/>
      <c r="W157" s="383"/>
      <c r="X157" s="383"/>
      <c r="Y157" s="383"/>
      <c r="Z157" s="383"/>
      <c r="AA157" s="383"/>
      <c r="AB157" s="383"/>
      <c r="AC157" s="383"/>
      <c r="AD157" s="383"/>
      <c r="AE157" s="383"/>
      <c r="AF157" s="376"/>
    </row>
    <row r="158" spans="1:32" ht="51">
      <c r="A158" s="682" t="s">
        <v>2526</v>
      </c>
      <c r="B158" s="402" t="s">
        <v>749</v>
      </c>
      <c r="C158" s="532"/>
      <c r="D158" s="532" t="s">
        <v>1261</v>
      </c>
      <c r="E158" s="532" t="s">
        <v>1262</v>
      </c>
      <c r="F158" s="390" t="s">
        <v>806</v>
      </c>
      <c r="G158" s="390" t="s">
        <v>792</v>
      </c>
      <c r="H158" s="381">
        <v>1</v>
      </c>
      <c r="I158" s="381">
        <v>5</v>
      </c>
      <c r="J158" s="381">
        <f t="shared" si="18"/>
        <v>1</v>
      </c>
      <c r="K158" s="381">
        <f t="shared" si="19"/>
        <v>5</v>
      </c>
      <c r="L158" s="644">
        <f>IFERROR(IF(B158="funkcna poziadavka",VLOOKUP(G158,MODULY_CBA!$B$3:$E$23,4,0)*H158/SUMIFS($H$3:$H$168,$G$3:$G$168,G158,$B$3:$B$168,B158),),)</f>
        <v>0.94736842105263153</v>
      </c>
      <c r="M158" s="381">
        <f>IFERROR(IF(B158="Funkcna poziadavka",VLOOKUP(G158,MODULY_CBA!$B$3:$E$23,3,0),),)</f>
        <v>0.99499999999999988</v>
      </c>
      <c r="N158" s="381">
        <f>IFERROR(IF(B158="funkcna poziadavka",VLOOKUP(G158,MODULY_CBA!$B$3:$E$23,2,0),),)</f>
        <v>0.99</v>
      </c>
      <c r="O158" s="380">
        <f t="shared" si="20"/>
        <v>5.8584552631578948</v>
      </c>
      <c r="P158" s="379">
        <f>IFERROR(O158*VLOOKUP(G158,MODULY_CBA!$B$3:$F$23,5,0),)</f>
        <v>146.46138157894737</v>
      </c>
      <c r="Q158" s="480" t="str">
        <f>IFERROR(VLOOKUP(G158,MODULY_CBA!$B$3:$I$23,6,0),"")</f>
        <v>Inkrement 2</v>
      </c>
      <c r="R158" s="383"/>
      <c r="S158" s="383"/>
      <c r="T158" s="383"/>
      <c r="U158" s="383"/>
      <c r="V158" s="383"/>
      <c r="W158" s="383"/>
      <c r="X158" s="383"/>
      <c r="Y158" s="383"/>
      <c r="Z158" s="383"/>
      <c r="AA158" s="383"/>
      <c r="AB158" s="383"/>
      <c r="AC158" s="383"/>
      <c r="AD158" s="383"/>
      <c r="AE158" s="383"/>
      <c r="AF158" s="376"/>
    </row>
    <row r="159" spans="1:32" ht="51">
      <c r="A159" s="682" t="s">
        <v>2527</v>
      </c>
      <c r="B159" s="402" t="s">
        <v>749</v>
      </c>
      <c r="C159" s="532"/>
      <c r="D159" s="532" t="s">
        <v>1219</v>
      </c>
      <c r="E159" s="532" t="s">
        <v>1209</v>
      </c>
      <c r="F159" s="390" t="s">
        <v>806</v>
      </c>
      <c r="G159" s="390" t="s">
        <v>792</v>
      </c>
      <c r="H159" s="381">
        <v>1</v>
      </c>
      <c r="I159" s="381">
        <v>5</v>
      </c>
      <c r="J159" s="381">
        <f t="shared" si="18"/>
        <v>1</v>
      </c>
      <c r="K159" s="381">
        <f t="shared" si="19"/>
        <v>5</v>
      </c>
      <c r="L159" s="644">
        <f>IFERROR(IF(B159="funkcna poziadavka",VLOOKUP(G159,MODULY_CBA!$B$3:$E$23,4,0)*H159/SUMIFS($H$3:$H$168,$G$3:$G$168,G159,$B$3:$B$168,B159),),)</f>
        <v>0.94736842105263153</v>
      </c>
      <c r="M159" s="381">
        <f>IFERROR(IF(B159="Funkcna poziadavka",VLOOKUP(G159,MODULY_CBA!$B$3:$E$23,3,0),),)</f>
        <v>0.99499999999999988</v>
      </c>
      <c r="N159" s="381">
        <f>IFERROR(IF(B159="funkcna poziadavka",VLOOKUP(G159,MODULY_CBA!$B$3:$E$23,2,0),),)</f>
        <v>0.99</v>
      </c>
      <c r="O159" s="380">
        <f t="shared" si="20"/>
        <v>5.8584552631578948</v>
      </c>
      <c r="P159" s="379">
        <f>IFERROR(O159*VLOOKUP(G159,MODULY_CBA!$B$3:$F$23,5,0),)</f>
        <v>146.46138157894737</v>
      </c>
      <c r="Q159" s="480" t="str">
        <f>IFERROR(VLOOKUP(G159,MODULY_CBA!$B$3:$I$23,6,0),"")</f>
        <v>Inkrement 2</v>
      </c>
      <c r="R159" s="383"/>
      <c r="S159" s="383"/>
      <c r="T159" s="383"/>
      <c r="U159" s="383"/>
      <c r="V159" s="383"/>
      <c r="W159" s="383"/>
      <c r="X159" s="383"/>
      <c r="Y159" s="383"/>
      <c r="Z159" s="383"/>
      <c r="AA159" s="383"/>
      <c r="AB159" s="383"/>
      <c r="AC159" s="383"/>
      <c r="AD159" s="383"/>
      <c r="AE159" s="383"/>
      <c r="AF159" s="376"/>
    </row>
    <row r="160" spans="1:32" ht="51">
      <c r="A160" s="682" t="s">
        <v>2528</v>
      </c>
      <c r="B160" s="402" t="s">
        <v>749</v>
      </c>
      <c r="C160" s="532"/>
      <c r="D160" s="532" t="s">
        <v>1265</v>
      </c>
      <c r="E160" s="532" t="s">
        <v>1213</v>
      </c>
      <c r="F160" s="390" t="s">
        <v>806</v>
      </c>
      <c r="G160" s="390" t="s">
        <v>792</v>
      </c>
      <c r="H160" s="381">
        <v>1</v>
      </c>
      <c r="I160" s="381">
        <v>5</v>
      </c>
      <c r="J160" s="381">
        <f t="shared" si="18"/>
        <v>1</v>
      </c>
      <c r="K160" s="381">
        <f t="shared" si="19"/>
        <v>5</v>
      </c>
      <c r="L160" s="644">
        <f>IFERROR(IF(B160="funkcna poziadavka",VLOOKUP(G160,MODULY_CBA!$B$3:$E$23,4,0)*H160/SUMIFS($H$3:$H$168,$G$3:$G$168,G160,$B$3:$B$168,B160),),)</f>
        <v>0.94736842105263153</v>
      </c>
      <c r="M160" s="381">
        <f>IFERROR(IF(B160="Funkcna poziadavka",VLOOKUP(G160,MODULY_CBA!$B$3:$E$23,3,0),),)</f>
        <v>0.99499999999999988</v>
      </c>
      <c r="N160" s="381">
        <f>IFERROR(IF(B160="funkcna poziadavka",VLOOKUP(G160,MODULY_CBA!$B$3:$E$23,2,0),),)</f>
        <v>0.99</v>
      </c>
      <c r="O160" s="380">
        <f t="shared" si="20"/>
        <v>5.8584552631578948</v>
      </c>
      <c r="P160" s="379">
        <f>IFERROR(O160*VLOOKUP(G160,MODULY_CBA!$B$3:$F$23,5,0),)</f>
        <v>146.46138157894737</v>
      </c>
      <c r="Q160" s="480" t="str">
        <f>IFERROR(VLOOKUP(G160,MODULY_CBA!$B$3:$I$23,6,0),"")</f>
        <v>Inkrement 2</v>
      </c>
      <c r="R160" s="383"/>
      <c r="S160" s="383"/>
      <c r="T160" s="383"/>
      <c r="U160" s="383"/>
      <c r="V160" s="383"/>
      <c r="W160" s="383"/>
      <c r="X160" s="383"/>
      <c r="Y160" s="383"/>
      <c r="Z160" s="383"/>
      <c r="AA160" s="383"/>
      <c r="AB160" s="383"/>
      <c r="AC160" s="383"/>
      <c r="AD160" s="383"/>
      <c r="AE160" s="383"/>
      <c r="AF160" s="376"/>
    </row>
    <row r="161" spans="1:32" ht="51">
      <c r="A161" s="682" t="s">
        <v>2529</v>
      </c>
      <c r="B161" s="402" t="s">
        <v>749</v>
      </c>
      <c r="C161" s="532"/>
      <c r="D161" s="532" t="s">
        <v>1267</v>
      </c>
      <c r="E161" s="532" t="s">
        <v>1268</v>
      </c>
      <c r="F161" s="390" t="s">
        <v>806</v>
      </c>
      <c r="G161" s="390" t="s">
        <v>792</v>
      </c>
      <c r="H161" s="381">
        <v>1</v>
      </c>
      <c r="I161" s="381">
        <v>5</v>
      </c>
      <c r="J161" s="381">
        <f t="shared" si="18"/>
        <v>1</v>
      </c>
      <c r="K161" s="381">
        <f t="shared" si="19"/>
        <v>5</v>
      </c>
      <c r="L161" s="644">
        <f>IFERROR(IF(B161="funkcna poziadavka",VLOOKUP(G161,MODULY_CBA!$B$3:$E$23,4,0)*H161/SUMIFS($H$3:$H$168,$G$3:$G$168,G161,$B$3:$B$168,B161),),)</f>
        <v>0.94736842105263153</v>
      </c>
      <c r="M161" s="381">
        <f>IFERROR(IF(B161="Funkcna poziadavka",VLOOKUP(G161,MODULY_CBA!$B$3:$E$23,3,0),),)</f>
        <v>0.99499999999999988</v>
      </c>
      <c r="N161" s="381">
        <f>IFERROR(IF(B161="funkcna poziadavka",VLOOKUP(G161,MODULY_CBA!$B$3:$E$23,2,0),),)</f>
        <v>0.99</v>
      </c>
      <c r="O161" s="380">
        <f t="shared" si="20"/>
        <v>5.8584552631578948</v>
      </c>
      <c r="P161" s="379">
        <f>IFERROR(O161*VLOOKUP(G161,MODULY_CBA!$B$3:$F$23,5,0),)</f>
        <v>146.46138157894737</v>
      </c>
      <c r="Q161" s="480" t="str">
        <f>IFERROR(VLOOKUP(G161,MODULY_CBA!$B$3:$I$23,6,0),"")</f>
        <v>Inkrement 2</v>
      </c>
      <c r="R161" s="383"/>
      <c r="S161" s="383"/>
      <c r="T161" s="383"/>
      <c r="U161" s="383"/>
      <c r="V161" s="383"/>
      <c r="W161" s="383"/>
      <c r="X161" s="383"/>
      <c r="Y161" s="383"/>
      <c r="Z161" s="383"/>
      <c r="AA161" s="383"/>
      <c r="AB161" s="383"/>
      <c r="AC161" s="383"/>
      <c r="AD161" s="383"/>
      <c r="AE161" s="383"/>
      <c r="AF161" s="376"/>
    </row>
    <row r="162" spans="1:32" ht="38.25">
      <c r="A162" s="682" t="s">
        <v>2530</v>
      </c>
      <c r="B162" s="402" t="s">
        <v>749</v>
      </c>
      <c r="C162" s="532"/>
      <c r="D162" s="532" t="s">
        <v>1270</v>
      </c>
      <c r="E162" s="532" t="s">
        <v>1271</v>
      </c>
      <c r="F162" s="390" t="s">
        <v>806</v>
      </c>
      <c r="G162" s="390" t="s">
        <v>793</v>
      </c>
      <c r="H162" s="381">
        <v>1</v>
      </c>
      <c r="I162" s="381">
        <v>10</v>
      </c>
      <c r="J162" s="381">
        <f t="shared" si="18"/>
        <v>1</v>
      </c>
      <c r="K162" s="381">
        <f t="shared" si="19"/>
        <v>10</v>
      </c>
      <c r="L162" s="644">
        <f>IFERROR(IF(B162="funkcna poziadavka",VLOOKUP(G162,MODULY_CBA!$B$3:$E$23,4,0)*H162/SUMIFS($H$3:$H$168,$G$3:$G$168,G162,$B$3:$B$168,B162),),)</f>
        <v>1.263157894736842</v>
      </c>
      <c r="M162" s="381">
        <f>IFERROR(IF(B162="Funkcna poziadavka",VLOOKUP(G162,MODULY_CBA!$B$3:$E$23,3,0),),)</f>
        <v>0.99499999999999988</v>
      </c>
      <c r="N162" s="381">
        <f>IFERROR(IF(B162="funkcna poziadavka",VLOOKUP(G162,MODULY_CBA!$B$3:$E$23,2,0),),)</f>
        <v>0.99</v>
      </c>
      <c r="O162" s="380">
        <f t="shared" si="20"/>
        <v>11.094773684210525</v>
      </c>
      <c r="P162" s="379">
        <f>IFERROR(O162*VLOOKUP(G162,MODULY_CBA!$B$3:$F$23,5,0),)</f>
        <v>221.89547368421049</v>
      </c>
      <c r="Q162" s="480" t="str">
        <f>IFERROR(VLOOKUP(G162,MODULY_CBA!$B$3:$I$23,6,0),"")</f>
        <v>Inkrement 1</v>
      </c>
      <c r="R162" s="383"/>
      <c r="S162" s="383"/>
      <c r="T162" s="383"/>
      <c r="U162" s="383"/>
      <c r="V162" s="383"/>
      <c r="W162" s="383"/>
      <c r="X162" s="383"/>
      <c r="Y162" s="383"/>
      <c r="Z162" s="383"/>
      <c r="AA162" s="383"/>
      <c r="AB162" s="383"/>
      <c r="AC162" s="383"/>
      <c r="AD162" s="383"/>
      <c r="AE162" s="383"/>
      <c r="AF162" s="376"/>
    </row>
    <row r="163" spans="1:32" ht="38.25">
      <c r="A163" s="682" t="s">
        <v>2531</v>
      </c>
      <c r="B163" s="402" t="s">
        <v>749</v>
      </c>
      <c r="C163" s="532"/>
      <c r="D163" s="532" t="s">
        <v>1273</v>
      </c>
      <c r="E163" s="532" t="s">
        <v>1274</v>
      </c>
      <c r="F163" s="390" t="s">
        <v>806</v>
      </c>
      <c r="G163" s="390" t="s">
        <v>793</v>
      </c>
      <c r="H163" s="381">
        <v>1</v>
      </c>
      <c r="I163" s="381">
        <v>5</v>
      </c>
      <c r="J163" s="381">
        <f t="shared" si="18"/>
        <v>1</v>
      </c>
      <c r="K163" s="381">
        <f t="shared" si="19"/>
        <v>5</v>
      </c>
      <c r="L163" s="644">
        <f>IFERROR(IF(B163="funkcna poziadavka",VLOOKUP(G163,MODULY_CBA!$B$3:$E$23,4,0)*H163/SUMIFS($H$3:$H$168,$G$3:$G$168,G163,$B$3:$B$168,B163),),)</f>
        <v>1.263157894736842</v>
      </c>
      <c r="M163" s="381">
        <f>IFERROR(IF(B163="Funkcna poziadavka",VLOOKUP(G163,MODULY_CBA!$B$3:$E$23,3,0),),)</f>
        <v>0.99499999999999988</v>
      </c>
      <c r="N163" s="381">
        <f>IFERROR(IF(B163="funkcna poziadavka",VLOOKUP(G163,MODULY_CBA!$B$3:$E$23,2,0),),)</f>
        <v>0.99</v>
      </c>
      <c r="O163" s="380">
        <f t="shared" si="20"/>
        <v>6.1695236842105263</v>
      </c>
      <c r="P163" s="379">
        <f>IFERROR(O163*VLOOKUP(G163,MODULY_CBA!$B$3:$F$23,5,0),)</f>
        <v>123.39047368421052</v>
      </c>
      <c r="Q163" s="480" t="str">
        <f>IFERROR(VLOOKUP(G163,MODULY_CBA!$B$3:$I$23,6,0),"")</f>
        <v>Inkrement 1</v>
      </c>
      <c r="R163" s="383"/>
      <c r="S163" s="383"/>
      <c r="T163" s="383"/>
      <c r="U163" s="383"/>
      <c r="V163" s="383"/>
      <c r="W163" s="383"/>
      <c r="X163" s="383"/>
      <c r="Y163" s="383"/>
      <c r="Z163" s="383"/>
      <c r="AA163" s="383"/>
      <c r="AB163" s="383"/>
      <c r="AC163" s="383"/>
      <c r="AD163" s="383"/>
      <c r="AE163" s="383"/>
      <c r="AF163" s="376"/>
    </row>
    <row r="164" spans="1:32" ht="38.25">
      <c r="A164" s="682" t="s">
        <v>2532</v>
      </c>
      <c r="B164" s="402" t="s">
        <v>749</v>
      </c>
      <c r="C164" s="532"/>
      <c r="D164" s="532" t="s">
        <v>1276</v>
      </c>
      <c r="E164" s="532" t="s">
        <v>1277</v>
      </c>
      <c r="F164" s="390" t="s">
        <v>806</v>
      </c>
      <c r="G164" s="390" t="s">
        <v>793</v>
      </c>
      <c r="H164" s="381">
        <v>1</v>
      </c>
      <c r="I164" s="381">
        <v>5</v>
      </c>
      <c r="J164" s="381">
        <f t="shared" si="18"/>
        <v>1</v>
      </c>
      <c r="K164" s="381">
        <f t="shared" si="19"/>
        <v>5</v>
      </c>
      <c r="L164" s="644">
        <f>IFERROR(IF(B164="funkcna poziadavka",VLOOKUP(G164,MODULY_CBA!$B$3:$E$23,4,0)*H164/SUMIFS($H$3:$H$168,$G$3:$G$168,G164,$B$3:$B$168,B164),),)</f>
        <v>1.263157894736842</v>
      </c>
      <c r="M164" s="381">
        <f>IFERROR(IF(B164="Funkcna poziadavka",VLOOKUP(G164,MODULY_CBA!$B$3:$E$23,3,0),),)</f>
        <v>0.99499999999999988</v>
      </c>
      <c r="N164" s="381">
        <f>IFERROR(IF(B164="funkcna poziadavka",VLOOKUP(G164,MODULY_CBA!$B$3:$E$23,2,0),),)</f>
        <v>0.99</v>
      </c>
      <c r="O164" s="380">
        <f t="shared" si="20"/>
        <v>6.1695236842105263</v>
      </c>
      <c r="P164" s="379">
        <f>IFERROR(O164*VLOOKUP(G164,MODULY_CBA!$B$3:$F$23,5,0),)</f>
        <v>123.39047368421052</v>
      </c>
      <c r="Q164" s="480" t="str">
        <f>IFERROR(VLOOKUP(G164,MODULY_CBA!$B$3:$I$23,6,0),"")</f>
        <v>Inkrement 1</v>
      </c>
      <c r="R164" s="383"/>
      <c r="S164" s="383"/>
      <c r="T164" s="383"/>
      <c r="U164" s="383"/>
      <c r="V164" s="383"/>
      <c r="W164" s="383"/>
      <c r="X164" s="383"/>
      <c r="Y164" s="383"/>
      <c r="Z164" s="383"/>
      <c r="AA164" s="383"/>
      <c r="AB164" s="383"/>
      <c r="AC164" s="383"/>
      <c r="AD164" s="383"/>
      <c r="AE164" s="383"/>
      <c r="AF164" s="376"/>
    </row>
    <row r="165" spans="1:32" ht="38.25">
      <c r="A165" s="682" t="s">
        <v>1214</v>
      </c>
      <c r="B165" s="402" t="s">
        <v>749</v>
      </c>
      <c r="C165" s="532"/>
      <c r="D165" s="532" t="s">
        <v>1279</v>
      </c>
      <c r="E165" s="532" t="s">
        <v>1280</v>
      </c>
      <c r="F165" s="390" t="s">
        <v>806</v>
      </c>
      <c r="G165" s="390" t="s">
        <v>793</v>
      </c>
      <c r="H165" s="381">
        <v>1</v>
      </c>
      <c r="I165" s="381">
        <v>10</v>
      </c>
      <c r="J165" s="381">
        <f t="shared" si="18"/>
        <v>1</v>
      </c>
      <c r="K165" s="381">
        <f t="shared" si="19"/>
        <v>10</v>
      </c>
      <c r="L165" s="644">
        <f>IFERROR(IF(B165="funkcna poziadavka",VLOOKUP(G165,MODULY_CBA!$B$3:$E$23,4,0)*H165/SUMIFS($H$3:$H$168,$G$3:$G$168,G165,$B$3:$B$168,B165),),)</f>
        <v>1.263157894736842</v>
      </c>
      <c r="M165" s="381">
        <f>IFERROR(IF(B165="Funkcna poziadavka",VLOOKUP(G165,MODULY_CBA!$B$3:$E$23,3,0),),)</f>
        <v>0.99499999999999988</v>
      </c>
      <c r="N165" s="381">
        <f>IFERROR(IF(B165="funkcna poziadavka",VLOOKUP(G165,MODULY_CBA!$B$3:$E$23,2,0),),)</f>
        <v>0.99</v>
      </c>
      <c r="O165" s="380">
        <f t="shared" si="20"/>
        <v>11.094773684210525</v>
      </c>
      <c r="P165" s="379">
        <f>IFERROR(O165*VLOOKUP(G165,MODULY_CBA!$B$3:$F$23,5,0),)</f>
        <v>221.89547368421049</v>
      </c>
      <c r="Q165" s="480" t="str">
        <f>IFERROR(VLOOKUP(G165,MODULY_CBA!$B$3:$I$23,6,0),"")</f>
        <v>Inkrement 1</v>
      </c>
      <c r="R165" s="383"/>
      <c r="S165" s="383"/>
      <c r="T165" s="383"/>
      <c r="U165" s="383"/>
      <c r="V165" s="383"/>
      <c r="W165" s="383"/>
      <c r="X165" s="383"/>
      <c r="Y165" s="383"/>
      <c r="Z165" s="383"/>
      <c r="AA165" s="383"/>
      <c r="AB165" s="383"/>
      <c r="AC165" s="383"/>
      <c r="AD165" s="383"/>
      <c r="AE165" s="383"/>
      <c r="AF165" s="376"/>
    </row>
    <row r="166" spans="1:32" ht="38.25">
      <c r="A166" s="682" t="s">
        <v>1216</v>
      </c>
      <c r="B166" s="402" t="s">
        <v>749</v>
      </c>
      <c r="C166" s="532"/>
      <c r="D166" s="532" t="s">
        <v>1282</v>
      </c>
      <c r="E166" s="532" t="s">
        <v>1238</v>
      </c>
      <c r="F166" s="390" t="s">
        <v>806</v>
      </c>
      <c r="G166" s="390" t="s">
        <v>793</v>
      </c>
      <c r="H166" s="381">
        <v>1</v>
      </c>
      <c r="I166" s="381">
        <v>10</v>
      </c>
      <c r="J166" s="381">
        <f t="shared" si="18"/>
        <v>1</v>
      </c>
      <c r="K166" s="381">
        <f t="shared" si="19"/>
        <v>10</v>
      </c>
      <c r="L166" s="644">
        <f>IFERROR(IF(B166="funkcna poziadavka",VLOOKUP(G166,MODULY_CBA!$B$3:$E$23,4,0)*H166/SUMIFS($H$3:$H$168,$G$3:$G$168,G166,$B$3:$B$168,B166),),)</f>
        <v>1.263157894736842</v>
      </c>
      <c r="M166" s="381">
        <f>IFERROR(IF(B166="Funkcna poziadavka",VLOOKUP(G166,MODULY_CBA!$B$3:$E$23,3,0),),)</f>
        <v>0.99499999999999988</v>
      </c>
      <c r="N166" s="381">
        <f>IFERROR(IF(B166="funkcna poziadavka",VLOOKUP(G166,MODULY_CBA!$B$3:$E$23,2,0),),)</f>
        <v>0.99</v>
      </c>
      <c r="O166" s="380">
        <f t="shared" si="20"/>
        <v>11.094773684210525</v>
      </c>
      <c r="P166" s="379">
        <f>IFERROR(O166*VLOOKUP(G166,MODULY_CBA!$B$3:$F$23,5,0),)</f>
        <v>221.89547368421049</v>
      </c>
      <c r="Q166" s="480" t="str">
        <f>IFERROR(VLOOKUP(G166,MODULY_CBA!$B$3:$I$23,6,0),"")</f>
        <v>Inkrement 1</v>
      </c>
      <c r="R166" s="383"/>
      <c r="S166" s="383"/>
      <c r="T166" s="383"/>
      <c r="U166" s="383"/>
      <c r="V166" s="383"/>
      <c r="W166" s="383"/>
      <c r="X166" s="383"/>
      <c r="Y166" s="383"/>
      <c r="Z166" s="383"/>
      <c r="AA166" s="383"/>
      <c r="AB166" s="383"/>
      <c r="AC166" s="383"/>
      <c r="AD166" s="383"/>
      <c r="AE166" s="383"/>
      <c r="AF166" s="376"/>
    </row>
    <row r="167" spans="1:32" ht="38.25">
      <c r="A167" s="682" t="s">
        <v>2533</v>
      </c>
      <c r="B167" s="402" t="s">
        <v>749</v>
      </c>
      <c r="C167" s="532"/>
      <c r="D167" s="532" t="s">
        <v>1284</v>
      </c>
      <c r="E167" s="532" t="s">
        <v>1285</v>
      </c>
      <c r="F167" s="390" t="s">
        <v>806</v>
      </c>
      <c r="G167" s="390" t="s">
        <v>793</v>
      </c>
      <c r="H167" s="381">
        <v>1</v>
      </c>
      <c r="I167" s="381">
        <v>5</v>
      </c>
      <c r="J167" s="381">
        <f t="shared" si="18"/>
        <v>1</v>
      </c>
      <c r="K167" s="381">
        <f t="shared" si="19"/>
        <v>5</v>
      </c>
      <c r="L167" s="644">
        <f>IFERROR(IF(B167="funkcna poziadavka",VLOOKUP(G167,MODULY_CBA!$B$3:$E$23,4,0)*H167/SUMIFS($H$3:$H$168,$G$3:$G$168,G167,$B$3:$B$168,B167),),)</f>
        <v>1.263157894736842</v>
      </c>
      <c r="M167" s="381">
        <f>IFERROR(IF(B167="Funkcna poziadavka",VLOOKUP(G167,MODULY_CBA!$B$3:$E$23,3,0),),)</f>
        <v>0.99499999999999988</v>
      </c>
      <c r="N167" s="381">
        <f>IFERROR(IF(B167="funkcna poziadavka",VLOOKUP(G167,MODULY_CBA!$B$3:$E$23,2,0),),)</f>
        <v>0.99</v>
      </c>
      <c r="O167" s="380">
        <f t="shared" si="20"/>
        <v>6.1695236842105263</v>
      </c>
      <c r="P167" s="379">
        <f>IFERROR(O167*VLOOKUP(G167,MODULY_CBA!$B$3:$F$23,5,0),)</f>
        <v>123.39047368421052</v>
      </c>
      <c r="Q167" s="480" t="str">
        <f>IFERROR(VLOOKUP(G167,MODULY_CBA!$B$3:$I$23,6,0),"")</f>
        <v>Inkrement 1</v>
      </c>
      <c r="R167" s="383"/>
      <c r="S167" s="383"/>
      <c r="T167" s="383"/>
      <c r="U167" s="383"/>
      <c r="V167" s="383"/>
      <c r="W167" s="383"/>
      <c r="X167" s="383"/>
      <c r="Y167" s="383"/>
      <c r="Z167" s="383"/>
      <c r="AA167" s="383"/>
      <c r="AB167" s="383"/>
      <c r="AC167" s="383"/>
      <c r="AD167" s="383"/>
      <c r="AE167" s="383"/>
      <c r="AF167" s="376"/>
    </row>
    <row r="168" spans="1:32" ht="38.25">
      <c r="A168" s="682" t="s">
        <v>2534</v>
      </c>
      <c r="B168" s="402" t="s">
        <v>749</v>
      </c>
      <c r="C168" s="532"/>
      <c r="D168" s="532" t="s">
        <v>1287</v>
      </c>
      <c r="E168" s="532" t="s">
        <v>1288</v>
      </c>
      <c r="F168" s="390" t="s">
        <v>806</v>
      </c>
      <c r="G168" s="390" t="s">
        <v>793</v>
      </c>
      <c r="H168" s="381">
        <v>1</v>
      </c>
      <c r="I168" s="381">
        <v>5</v>
      </c>
      <c r="J168" s="381">
        <f t="shared" si="18"/>
        <v>1</v>
      </c>
      <c r="K168" s="381">
        <f t="shared" si="19"/>
        <v>5</v>
      </c>
      <c r="L168" s="644">
        <f>IFERROR(IF(B168="funkcna poziadavka",VLOOKUP(G168,MODULY_CBA!$B$3:$E$23,4,0)*H168/SUMIFS($H$3:$H$168,$G$3:$G$168,G168,$B$3:$B$168,B168),),)</f>
        <v>1.263157894736842</v>
      </c>
      <c r="M168" s="381">
        <f>IFERROR(IF(B168="Funkcna poziadavka",VLOOKUP(G168,MODULY_CBA!$B$3:$E$23,3,0),),)</f>
        <v>0.99499999999999988</v>
      </c>
      <c r="N168" s="381">
        <f>IFERROR(IF(B168="funkcna poziadavka",VLOOKUP(G168,MODULY_CBA!$B$3:$E$23,2,0),),)</f>
        <v>0.99</v>
      </c>
      <c r="O168" s="380">
        <f t="shared" si="20"/>
        <v>6.1695236842105263</v>
      </c>
      <c r="P168" s="379">
        <f>IFERROR(O168*VLOOKUP(G168,MODULY_CBA!$B$3:$F$23,5,0),)</f>
        <v>123.39047368421052</v>
      </c>
      <c r="Q168" s="480" t="str">
        <f>IFERROR(VLOOKUP(G168,MODULY_CBA!$B$3:$I$23,6,0),"")</f>
        <v>Inkrement 1</v>
      </c>
      <c r="R168" s="383"/>
      <c r="S168" s="383"/>
      <c r="T168" s="383"/>
      <c r="U168" s="383"/>
      <c r="V168" s="383"/>
      <c r="W168" s="383"/>
      <c r="X168" s="383"/>
      <c r="Y168" s="383"/>
      <c r="Z168" s="383"/>
      <c r="AA168" s="383"/>
      <c r="AB168" s="383"/>
      <c r="AC168" s="383"/>
      <c r="AD168" s="383"/>
      <c r="AE168" s="383"/>
      <c r="AF168" s="376"/>
    </row>
    <row r="169" spans="1:32" ht="38.25">
      <c r="A169" s="682" t="s">
        <v>2535</v>
      </c>
      <c r="B169" s="402" t="s">
        <v>749</v>
      </c>
      <c r="C169" s="532"/>
      <c r="D169" s="532" t="s">
        <v>1290</v>
      </c>
      <c r="E169" s="532" t="s">
        <v>1291</v>
      </c>
      <c r="F169" s="390" t="s">
        <v>806</v>
      </c>
      <c r="G169" s="390" t="s">
        <v>793</v>
      </c>
      <c r="H169" s="381">
        <v>1</v>
      </c>
      <c r="I169" s="381">
        <v>5</v>
      </c>
      <c r="J169" s="381">
        <f t="shared" si="18"/>
        <v>1</v>
      </c>
      <c r="K169" s="381">
        <f t="shared" si="19"/>
        <v>5</v>
      </c>
      <c r="L169" s="644">
        <f>IFERROR(IF(B169="funkcna poziadavka",VLOOKUP(G169,MODULY_CBA!$B$3:$E$23,4,0)*H169/SUMIFS($H$3:$H$168,$G$3:$G$168,G169,$B$3:$B$168,B169),),)</f>
        <v>1.263157894736842</v>
      </c>
      <c r="M169" s="381">
        <f>IFERROR(IF(B169="Funkcna poziadavka",VLOOKUP(G169,MODULY_CBA!$B$3:$E$23,3,0),),)</f>
        <v>0.99499999999999988</v>
      </c>
      <c r="N169" s="381">
        <f>IFERROR(IF(B169="funkcna poziadavka",VLOOKUP(G169,MODULY_CBA!$B$3:$E$23,2,0),),)</f>
        <v>0.99</v>
      </c>
      <c r="O169" s="380">
        <f t="shared" si="20"/>
        <v>6.1695236842105263</v>
      </c>
      <c r="P169" s="379">
        <f>IFERROR(O169*VLOOKUP(G169,MODULY_CBA!$B$3:$F$23,5,0),)</f>
        <v>123.39047368421052</v>
      </c>
      <c r="Q169" s="480" t="str">
        <f>IFERROR(VLOOKUP(G169,MODULY_CBA!$B$3:$I$23,6,0),"")</f>
        <v>Inkrement 1</v>
      </c>
      <c r="R169" s="383"/>
      <c r="S169" s="383"/>
      <c r="T169" s="383"/>
      <c r="U169" s="383"/>
      <c r="V169" s="383"/>
      <c r="W169" s="383"/>
      <c r="X169" s="383"/>
      <c r="Y169" s="383"/>
      <c r="Z169" s="383"/>
      <c r="AA169" s="383"/>
      <c r="AB169" s="383"/>
      <c r="AC169" s="383"/>
      <c r="AD169" s="383"/>
      <c r="AE169" s="383"/>
      <c r="AF169" s="376"/>
    </row>
    <row r="170" spans="1:32" ht="38.25">
      <c r="A170" s="682" t="s">
        <v>2536</v>
      </c>
      <c r="B170" s="402" t="s">
        <v>749</v>
      </c>
      <c r="C170" s="532"/>
      <c r="D170" s="532" t="s">
        <v>1293</v>
      </c>
      <c r="E170" s="532" t="s">
        <v>1294</v>
      </c>
      <c r="F170" s="390" t="s">
        <v>806</v>
      </c>
      <c r="G170" s="390" t="s">
        <v>793</v>
      </c>
      <c r="H170" s="381">
        <v>1</v>
      </c>
      <c r="I170" s="381">
        <v>5</v>
      </c>
      <c r="J170" s="381">
        <f t="shared" si="18"/>
        <v>1</v>
      </c>
      <c r="K170" s="381">
        <f t="shared" si="19"/>
        <v>5</v>
      </c>
      <c r="L170" s="644">
        <f>IFERROR(IF(B170="funkcna poziadavka",VLOOKUP(G170,MODULY_CBA!$B$3:$E$23,4,0)*H170/SUMIFS($H$3:$H$168,$G$3:$G$168,G170,$B$3:$B$168,B170),),)</f>
        <v>1.263157894736842</v>
      </c>
      <c r="M170" s="381">
        <f>IFERROR(IF(B170="Funkcna poziadavka",VLOOKUP(G170,MODULY_CBA!$B$3:$E$23,3,0),),)</f>
        <v>0.99499999999999988</v>
      </c>
      <c r="N170" s="381">
        <f>IFERROR(IF(B170="funkcna poziadavka",VLOOKUP(G170,MODULY_CBA!$B$3:$E$23,2,0),),)</f>
        <v>0.99</v>
      </c>
      <c r="O170" s="380">
        <f t="shared" si="20"/>
        <v>6.1695236842105263</v>
      </c>
      <c r="P170" s="379">
        <f>IFERROR(O170*VLOOKUP(G170,MODULY_CBA!$B$3:$F$23,5,0),)</f>
        <v>123.39047368421052</v>
      </c>
      <c r="Q170" s="480" t="str">
        <f>IFERROR(VLOOKUP(G170,MODULY_CBA!$B$3:$I$23,6,0),"")</f>
        <v>Inkrement 1</v>
      </c>
      <c r="R170" s="383"/>
      <c r="S170" s="383"/>
      <c r="T170" s="383"/>
      <c r="U170" s="383"/>
      <c r="V170" s="383"/>
      <c r="W170" s="383"/>
      <c r="X170" s="383"/>
      <c r="Y170" s="383"/>
      <c r="Z170" s="383"/>
      <c r="AA170" s="383"/>
      <c r="AB170" s="383"/>
      <c r="AC170" s="383"/>
      <c r="AD170" s="383"/>
      <c r="AE170" s="383"/>
      <c r="AF170" s="376"/>
    </row>
    <row r="171" spans="1:32" ht="38.25">
      <c r="A171" s="682" t="s">
        <v>2537</v>
      </c>
      <c r="B171" s="402" t="s">
        <v>749</v>
      </c>
      <c r="C171" s="532"/>
      <c r="D171" s="532" t="s">
        <v>1296</v>
      </c>
      <c r="E171" s="532" t="s">
        <v>1297</v>
      </c>
      <c r="F171" s="390" t="s">
        <v>806</v>
      </c>
      <c r="G171" s="390" t="s">
        <v>793</v>
      </c>
      <c r="H171" s="381">
        <v>1</v>
      </c>
      <c r="I171" s="381">
        <v>5</v>
      </c>
      <c r="J171" s="381">
        <f t="shared" si="18"/>
        <v>1</v>
      </c>
      <c r="K171" s="381">
        <f t="shared" si="19"/>
        <v>5</v>
      </c>
      <c r="L171" s="644">
        <f>IFERROR(IF(B171="funkcna poziadavka",VLOOKUP(G171,MODULY_CBA!$B$3:$E$23,4,0)*H171/SUMIFS($H$3:$H$168,$G$3:$G$168,G171,$B$3:$B$168,B171),),)</f>
        <v>1.263157894736842</v>
      </c>
      <c r="M171" s="381">
        <f>IFERROR(IF(B171="Funkcna poziadavka",VLOOKUP(G171,MODULY_CBA!$B$3:$E$23,3,0),),)</f>
        <v>0.99499999999999988</v>
      </c>
      <c r="N171" s="381">
        <f>IFERROR(IF(B171="funkcna poziadavka",VLOOKUP(G171,MODULY_CBA!$B$3:$E$23,2,0),),)</f>
        <v>0.99</v>
      </c>
      <c r="O171" s="380">
        <f t="shared" si="20"/>
        <v>6.1695236842105263</v>
      </c>
      <c r="P171" s="379">
        <f>IFERROR(O171*VLOOKUP(G171,MODULY_CBA!$B$3:$F$23,5,0),)</f>
        <v>123.39047368421052</v>
      </c>
      <c r="Q171" s="480" t="str">
        <f>IFERROR(VLOOKUP(G171,MODULY_CBA!$B$3:$I$23,6,0),"")</f>
        <v>Inkrement 1</v>
      </c>
      <c r="R171" s="383"/>
      <c r="S171" s="383"/>
      <c r="T171" s="383"/>
      <c r="U171" s="383"/>
      <c r="V171" s="383"/>
      <c r="W171" s="383"/>
      <c r="X171" s="383"/>
      <c r="Y171" s="383"/>
      <c r="Z171" s="383"/>
      <c r="AA171" s="383"/>
      <c r="AB171" s="383"/>
      <c r="AC171" s="383"/>
      <c r="AD171" s="383"/>
      <c r="AE171" s="383"/>
      <c r="AF171" s="376"/>
    </row>
    <row r="172" spans="1:32" ht="38.25">
      <c r="A172" s="682" t="s">
        <v>1218</v>
      </c>
      <c r="B172" s="402" t="s">
        <v>749</v>
      </c>
      <c r="C172" s="532"/>
      <c r="D172" s="532" t="s">
        <v>1299</v>
      </c>
      <c r="E172" s="532" t="s">
        <v>1300</v>
      </c>
      <c r="F172" s="390" t="s">
        <v>806</v>
      </c>
      <c r="G172" s="390" t="s">
        <v>793</v>
      </c>
      <c r="H172" s="381">
        <v>1</v>
      </c>
      <c r="I172" s="381">
        <v>5</v>
      </c>
      <c r="J172" s="381">
        <f t="shared" si="18"/>
        <v>1</v>
      </c>
      <c r="K172" s="381">
        <f t="shared" si="19"/>
        <v>5</v>
      </c>
      <c r="L172" s="644">
        <f>IFERROR(IF(B172="funkcna poziadavka",VLOOKUP(G172,MODULY_CBA!$B$3:$E$23,4,0)*H172/SUMIFS($H$3:$H$168,$G$3:$G$168,G172,$B$3:$B$168,B172),),)</f>
        <v>1.263157894736842</v>
      </c>
      <c r="M172" s="381">
        <f>IFERROR(IF(B172="Funkcna poziadavka",VLOOKUP(G172,MODULY_CBA!$B$3:$E$23,3,0),),)</f>
        <v>0.99499999999999988</v>
      </c>
      <c r="N172" s="381">
        <f>IFERROR(IF(B172="funkcna poziadavka",VLOOKUP(G172,MODULY_CBA!$B$3:$E$23,2,0),),)</f>
        <v>0.99</v>
      </c>
      <c r="O172" s="380">
        <f t="shared" si="20"/>
        <v>6.1695236842105263</v>
      </c>
      <c r="P172" s="379">
        <f>IFERROR(O172*VLOOKUP(G172,MODULY_CBA!$B$3:$F$23,5,0),)</f>
        <v>123.39047368421052</v>
      </c>
      <c r="Q172" s="480" t="str">
        <f>IFERROR(VLOOKUP(G172,MODULY_CBA!$B$3:$I$23,6,0),"")</f>
        <v>Inkrement 1</v>
      </c>
      <c r="R172" s="383"/>
      <c r="S172" s="383"/>
      <c r="T172" s="383"/>
      <c r="U172" s="383"/>
      <c r="V172" s="383"/>
      <c r="W172" s="383"/>
      <c r="X172" s="383"/>
      <c r="Y172" s="383"/>
      <c r="Z172" s="383"/>
      <c r="AA172" s="383"/>
      <c r="AB172" s="383"/>
      <c r="AC172" s="383"/>
      <c r="AD172" s="383"/>
      <c r="AE172" s="383"/>
      <c r="AF172" s="376"/>
    </row>
    <row r="173" spans="1:32" ht="38.25">
      <c r="A173" s="682" t="s">
        <v>2538</v>
      </c>
      <c r="B173" s="402" t="s">
        <v>749</v>
      </c>
      <c r="C173" s="532"/>
      <c r="D173" s="532" t="s">
        <v>1302</v>
      </c>
      <c r="E173" s="532" t="s">
        <v>1303</v>
      </c>
      <c r="F173" s="390" t="s">
        <v>806</v>
      </c>
      <c r="G173" s="390" t="s">
        <v>793</v>
      </c>
      <c r="H173" s="381">
        <v>1</v>
      </c>
      <c r="I173" s="381">
        <v>5</v>
      </c>
      <c r="J173" s="381">
        <f t="shared" si="18"/>
        <v>1</v>
      </c>
      <c r="K173" s="381">
        <f t="shared" si="19"/>
        <v>5</v>
      </c>
      <c r="L173" s="644">
        <f>IFERROR(IF(B173="funkcna poziadavka",VLOOKUP(G173,MODULY_CBA!$B$3:$E$23,4,0)*H173/SUMIFS($H$3:$H$168,$G$3:$G$168,G173,$B$3:$B$168,B173),),)</f>
        <v>1.263157894736842</v>
      </c>
      <c r="M173" s="381">
        <f>IFERROR(IF(B173="Funkcna poziadavka",VLOOKUP(G173,MODULY_CBA!$B$3:$E$23,3,0),),)</f>
        <v>0.99499999999999988</v>
      </c>
      <c r="N173" s="381">
        <f>IFERROR(IF(B173="funkcna poziadavka",VLOOKUP(G173,MODULY_CBA!$B$3:$E$23,2,0),),)</f>
        <v>0.99</v>
      </c>
      <c r="O173" s="380">
        <f t="shared" si="20"/>
        <v>6.1695236842105263</v>
      </c>
      <c r="P173" s="379">
        <f>IFERROR(O173*VLOOKUP(G173,MODULY_CBA!$B$3:$F$23,5,0),)</f>
        <v>123.39047368421052</v>
      </c>
      <c r="Q173" s="480" t="str">
        <f>IFERROR(VLOOKUP(G173,MODULY_CBA!$B$3:$I$23,6,0),"")</f>
        <v>Inkrement 1</v>
      </c>
      <c r="R173" s="383"/>
      <c r="S173" s="383"/>
      <c r="T173" s="383"/>
      <c r="U173" s="383"/>
      <c r="V173" s="383"/>
      <c r="W173" s="383"/>
      <c r="X173" s="383"/>
      <c r="Y173" s="383"/>
      <c r="Z173" s="383"/>
      <c r="AA173" s="383"/>
      <c r="AB173" s="383"/>
      <c r="AC173" s="383"/>
      <c r="AD173" s="383"/>
      <c r="AE173" s="383"/>
      <c r="AF173" s="376"/>
    </row>
    <row r="174" spans="1:32" ht="38.25">
      <c r="A174" s="682" t="s">
        <v>1220</v>
      </c>
      <c r="B174" s="402" t="s">
        <v>749</v>
      </c>
      <c r="C174" s="532"/>
      <c r="D174" s="532" t="s">
        <v>1305</v>
      </c>
      <c r="E174" s="532" t="s">
        <v>1306</v>
      </c>
      <c r="F174" s="390" t="s">
        <v>806</v>
      </c>
      <c r="G174" s="390" t="s">
        <v>793</v>
      </c>
      <c r="H174" s="381">
        <v>1</v>
      </c>
      <c r="I174" s="381">
        <v>5</v>
      </c>
      <c r="J174" s="381">
        <f t="shared" si="18"/>
        <v>1</v>
      </c>
      <c r="K174" s="381">
        <f t="shared" si="19"/>
        <v>5</v>
      </c>
      <c r="L174" s="644">
        <f>IFERROR(IF(B174="funkcna poziadavka",VLOOKUP(G174,MODULY_CBA!$B$3:$E$23,4,0)*H174/SUMIFS($H$3:$H$168,$G$3:$G$168,G174,$B$3:$B$168,B174),),)</f>
        <v>1.263157894736842</v>
      </c>
      <c r="M174" s="381">
        <f>IFERROR(IF(B174="Funkcna poziadavka",VLOOKUP(G174,MODULY_CBA!$B$3:$E$23,3,0),),)</f>
        <v>0.99499999999999988</v>
      </c>
      <c r="N174" s="381">
        <f>IFERROR(IF(B174="funkcna poziadavka",VLOOKUP(G174,MODULY_CBA!$B$3:$E$23,2,0),),)</f>
        <v>0.99</v>
      </c>
      <c r="O174" s="380">
        <f t="shared" si="20"/>
        <v>6.1695236842105263</v>
      </c>
      <c r="P174" s="379">
        <f>IFERROR(O174*VLOOKUP(G174,MODULY_CBA!$B$3:$F$23,5,0),)</f>
        <v>123.39047368421052</v>
      </c>
      <c r="Q174" s="480" t="str">
        <f>IFERROR(VLOOKUP(G174,MODULY_CBA!$B$3:$I$23,6,0),"")</f>
        <v>Inkrement 1</v>
      </c>
      <c r="R174" s="383"/>
      <c r="S174" s="383"/>
      <c r="T174" s="383"/>
      <c r="U174" s="383"/>
      <c r="V174" s="383"/>
      <c r="W174" s="383"/>
      <c r="X174" s="383"/>
      <c r="Y174" s="383"/>
      <c r="Z174" s="383"/>
      <c r="AA174" s="383"/>
      <c r="AB174" s="383"/>
      <c r="AC174" s="383"/>
      <c r="AD174" s="383"/>
      <c r="AE174" s="383"/>
      <c r="AF174" s="376"/>
    </row>
    <row r="175" spans="1:32" ht="38.25">
      <c r="A175" s="682" t="s">
        <v>2539</v>
      </c>
      <c r="B175" s="402" t="s">
        <v>749</v>
      </c>
      <c r="C175" s="532"/>
      <c r="D175" s="532" t="s">
        <v>1308</v>
      </c>
      <c r="E175" s="532" t="s">
        <v>1309</v>
      </c>
      <c r="F175" s="390" t="s">
        <v>806</v>
      </c>
      <c r="G175" s="390" t="s">
        <v>793</v>
      </c>
      <c r="H175" s="381">
        <v>1</v>
      </c>
      <c r="I175" s="381">
        <v>10</v>
      </c>
      <c r="J175" s="381">
        <f t="shared" si="18"/>
        <v>1</v>
      </c>
      <c r="K175" s="381">
        <f t="shared" si="19"/>
        <v>10</v>
      </c>
      <c r="L175" s="644">
        <f>IFERROR(IF(B175="funkcna poziadavka",VLOOKUP(G175,MODULY_CBA!$B$3:$E$23,4,0)*H175/SUMIFS($H$3:$H$168,$G$3:$G$168,G175,$B$3:$B$168,B175),),)</f>
        <v>1.263157894736842</v>
      </c>
      <c r="M175" s="381">
        <f>IFERROR(IF(B175="Funkcna poziadavka",VLOOKUP(G175,MODULY_CBA!$B$3:$E$23,3,0),),)</f>
        <v>0.99499999999999988</v>
      </c>
      <c r="N175" s="381">
        <f>IFERROR(IF(B175="funkcna poziadavka",VLOOKUP(G175,MODULY_CBA!$B$3:$E$23,2,0),),)</f>
        <v>0.99</v>
      </c>
      <c r="O175" s="380">
        <f t="shared" si="20"/>
        <v>11.094773684210525</v>
      </c>
      <c r="P175" s="379">
        <f>IFERROR(O175*VLOOKUP(G175,MODULY_CBA!$B$3:$F$23,5,0),)</f>
        <v>221.89547368421049</v>
      </c>
      <c r="Q175" s="480" t="str">
        <f>IFERROR(VLOOKUP(G175,MODULY_CBA!$B$3:$I$23,6,0),"")</f>
        <v>Inkrement 1</v>
      </c>
      <c r="R175" s="383"/>
      <c r="S175" s="383"/>
      <c r="T175" s="383"/>
      <c r="U175" s="383"/>
      <c r="V175" s="383"/>
      <c r="W175" s="383"/>
      <c r="X175" s="383"/>
      <c r="Y175" s="383"/>
      <c r="Z175" s="383"/>
      <c r="AA175" s="383"/>
      <c r="AB175" s="383"/>
      <c r="AC175" s="383"/>
      <c r="AD175" s="383"/>
      <c r="AE175" s="383"/>
      <c r="AF175" s="376"/>
    </row>
    <row r="176" spans="1:32" ht="25.5">
      <c r="A176" s="682" t="s">
        <v>1222</v>
      </c>
      <c r="B176" s="402" t="s">
        <v>749</v>
      </c>
      <c r="C176" s="532"/>
      <c r="D176" s="532" t="s">
        <v>1305</v>
      </c>
      <c r="E176" s="532" t="s">
        <v>1306</v>
      </c>
      <c r="F176" s="390" t="s">
        <v>806</v>
      </c>
      <c r="G176" s="390" t="s">
        <v>789</v>
      </c>
      <c r="H176" s="381">
        <v>1</v>
      </c>
      <c r="I176" s="381">
        <v>5</v>
      </c>
      <c r="J176" s="381">
        <f t="shared" si="18"/>
        <v>1</v>
      </c>
      <c r="K176" s="381">
        <f t="shared" si="19"/>
        <v>5</v>
      </c>
      <c r="L176" s="644">
        <f>IFERROR(IF(B176="funkcna poziadavka",VLOOKUP(G176,MODULY_CBA!$B$3:$E$23,4,0)*H176/SUMIFS($H$3:$H$168,$G$3:$G$168,G176,$B$3:$B$168,B176),),)</f>
        <v>3</v>
      </c>
      <c r="M176" s="381">
        <f>IFERROR(IF(B176="Funkcna poziadavka",VLOOKUP(G176,MODULY_CBA!$B$3:$E$23,3,0),),)</f>
        <v>0.99499999999999988</v>
      </c>
      <c r="N176" s="381">
        <f>IFERROR(IF(B176="funkcna poziadavka",VLOOKUP(G176,MODULY_CBA!$B$3:$E$23,2,0),),)</f>
        <v>0.99</v>
      </c>
      <c r="O176" s="380">
        <f t="shared" si="20"/>
        <v>7.880399999999999</v>
      </c>
      <c r="P176" s="379">
        <f>IFERROR(O176*VLOOKUP(G176,MODULY_CBA!$B$3:$F$23,5,0),)</f>
        <v>197.00999999999996</v>
      </c>
      <c r="Q176" s="480" t="str">
        <f>IFERROR(VLOOKUP(G176,MODULY_CBA!$B$3:$I$23,6,0),"")</f>
        <v>Inkrement 1</v>
      </c>
      <c r="R176" s="383"/>
      <c r="S176" s="383"/>
      <c r="T176" s="383"/>
      <c r="U176" s="383"/>
      <c r="V176" s="383"/>
      <c r="W176" s="383"/>
      <c r="X176" s="383"/>
      <c r="Y176" s="383"/>
      <c r="Z176" s="383"/>
      <c r="AA176" s="383"/>
      <c r="AB176" s="383"/>
      <c r="AC176" s="383"/>
      <c r="AD176" s="383"/>
      <c r="AE176" s="383"/>
      <c r="AF176" s="376"/>
    </row>
    <row r="177" spans="1:32" ht="38.25">
      <c r="A177" s="682" t="s">
        <v>1224</v>
      </c>
      <c r="B177" s="402" t="s">
        <v>749</v>
      </c>
      <c r="C177" s="532"/>
      <c r="D177" s="532" t="s">
        <v>1312</v>
      </c>
      <c r="E177" s="532" t="s">
        <v>1313</v>
      </c>
      <c r="F177" s="390" t="s">
        <v>806</v>
      </c>
      <c r="G177" s="390" t="s">
        <v>789</v>
      </c>
      <c r="H177" s="381">
        <v>1</v>
      </c>
      <c r="I177" s="381">
        <v>5</v>
      </c>
      <c r="J177" s="381">
        <f t="shared" si="18"/>
        <v>1</v>
      </c>
      <c r="K177" s="381">
        <f t="shared" si="19"/>
        <v>5</v>
      </c>
      <c r="L177" s="644">
        <f>IFERROR(IF(B177="funkcna poziadavka",VLOOKUP(G177,MODULY_CBA!$B$3:$E$23,4,0)*H177/SUMIFS($H$3:$H$168,$G$3:$G$168,G177,$B$3:$B$168,B177),),)</f>
        <v>3</v>
      </c>
      <c r="M177" s="381">
        <f>IFERROR(IF(B177="Funkcna poziadavka",VLOOKUP(G177,MODULY_CBA!$B$3:$E$23,3,0),),)</f>
        <v>0.99499999999999988</v>
      </c>
      <c r="N177" s="381">
        <f>IFERROR(IF(B177="funkcna poziadavka",VLOOKUP(G177,MODULY_CBA!$B$3:$E$23,2,0),),)</f>
        <v>0.99</v>
      </c>
      <c r="O177" s="380">
        <f t="shared" si="20"/>
        <v>7.880399999999999</v>
      </c>
      <c r="P177" s="379">
        <f>IFERROR(O177*VLOOKUP(G177,MODULY_CBA!$B$3:$F$23,5,0),)</f>
        <v>197.00999999999996</v>
      </c>
      <c r="Q177" s="480" t="str">
        <f>IFERROR(VLOOKUP(G177,MODULY_CBA!$B$3:$I$23,6,0),"")</f>
        <v>Inkrement 1</v>
      </c>
      <c r="R177" s="383"/>
      <c r="S177" s="383"/>
      <c r="T177" s="383"/>
      <c r="U177" s="383"/>
      <c r="V177" s="383"/>
      <c r="W177" s="383"/>
      <c r="X177" s="383"/>
      <c r="Y177" s="383"/>
      <c r="Z177" s="383"/>
      <c r="AA177" s="383"/>
      <c r="AB177" s="383"/>
      <c r="AC177" s="383"/>
      <c r="AD177" s="383"/>
      <c r="AE177" s="383"/>
      <c r="AF177" s="376"/>
    </row>
    <row r="178" spans="1:32" ht="25.5">
      <c r="A178" s="682" t="s">
        <v>1227</v>
      </c>
      <c r="B178" s="402" t="s">
        <v>749</v>
      </c>
      <c r="C178" s="532"/>
      <c r="D178" s="532" t="s">
        <v>1315</v>
      </c>
      <c r="E178" s="532" t="s">
        <v>1280</v>
      </c>
      <c r="F178" s="390" t="s">
        <v>806</v>
      </c>
      <c r="G178" s="390" t="s">
        <v>789</v>
      </c>
      <c r="H178" s="381">
        <v>1</v>
      </c>
      <c r="I178" s="381">
        <v>10</v>
      </c>
      <c r="J178" s="381">
        <f t="shared" si="18"/>
        <v>1</v>
      </c>
      <c r="K178" s="381">
        <f t="shared" si="19"/>
        <v>10</v>
      </c>
      <c r="L178" s="644">
        <f>IFERROR(IF(B178="funkcna poziadavka",VLOOKUP(G178,MODULY_CBA!$B$3:$E$23,4,0)*H178/SUMIFS($H$3:$H$168,$G$3:$G$168,G178,$B$3:$B$168,B178),),)</f>
        <v>3</v>
      </c>
      <c r="M178" s="381">
        <f>IFERROR(IF(B178="Funkcna poziadavka",VLOOKUP(G178,MODULY_CBA!$B$3:$E$23,3,0),),)</f>
        <v>0.99499999999999988</v>
      </c>
      <c r="N178" s="381">
        <f>IFERROR(IF(B178="funkcna poziadavka",VLOOKUP(G178,MODULY_CBA!$B$3:$E$23,2,0),),)</f>
        <v>0.99</v>
      </c>
      <c r="O178" s="380">
        <f t="shared" si="20"/>
        <v>12.805649999999998</v>
      </c>
      <c r="P178" s="379">
        <f>IFERROR(O178*VLOOKUP(G178,MODULY_CBA!$B$3:$F$23,5,0),)</f>
        <v>320.14124999999996</v>
      </c>
      <c r="Q178" s="480" t="str">
        <f>IFERROR(VLOOKUP(G178,MODULY_CBA!$B$3:$I$23,6,0),"")</f>
        <v>Inkrement 1</v>
      </c>
      <c r="R178" s="383"/>
      <c r="S178" s="383"/>
      <c r="T178" s="383"/>
      <c r="U178" s="383"/>
      <c r="V178" s="383"/>
      <c r="W178" s="383"/>
      <c r="X178" s="383"/>
      <c r="Y178" s="383"/>
      <c r="Z178" s="383"/>
      <c r="AA178" s="383"/>
      <c r="AB178" s="383"/>
      <c r="AC178" s="383"/>
      <c r="AD178" s="383"/>
      <c r="AE178" s="383"/>
      <c r="AF178" s="376"/>
    </row>
    <row r="179" spans="1:32" ht="38.25">
      <c r="A179" s="682" t="s">
        <v>1230</v>
      </c>
      <c r="B179" s="402" t="s">
        <v>749</v>
      </c>
      <c r="C179" s="532"/>
      <c r="D179" s="532" t="s">
        <v>1317</v>
      </c>
      <c r="E179" s="532" t="s">
        <v>1238</v>
      </c>
      <c r="F179" s="390" t="s">
        <v>806</v>
      </c>
      <c r="G179" s="390" t="s">
        <v>789</v>
      </c>
      <c r="H179" s="381">
        <v>1</v>
      </c>
      <c r="I179" s="381">
        <v>5</v>
      </c>
      <c r="J179" s="381">
        <f t="shared" si="18"/>
        <v>1</v>
      </c>
      <c r="K179" s="381">
        <f t="shared" si="19"/>
        <v>5</v>
      </c>
      <c r="L179" s="644">
        <f>IFERROR(IF(B179="funkcna poziadavka",VLOOKUP(G179,MODULY_CBA!$B$3:$E$23,4,0)*H179/SUMIFS($H$3:$H$168,$G$3:$G$168,G179,$B$3:$B$168,B179),),)</f>
        <v>3</v>
      </c>
      <c r="M179" s="381">
        <f>IFERROR(IF(B179="Funkcna poziadavka",VLOOKUP(G179,MODULY_CBA!$B$3:$E$23,3,0),),)</f>
        <v>0.99499999999999988</v>
      </c>
      <c r="N179" s="381">
        <f>IFERROR(IF(B179="funkcna poziadavka",VLOOKUP(G179,MODULY_CBA!$B$3:$E$23,2,0),),)</f>
        <v>0.99</v>
      </c>
      <c r="O179" s="380">
        <f t="shared" si="20"/>
        <v>7.880399999999999</v>
      </c>
      <c r="P179" s="379">
        <f>IFERROR(O179*VLOOKUP(G179,MODULY_CBA!$B$3:$F$23,5,0),)</f>
        <v>197.00999999999996</v>
      </c>
      <c r="Q179" s="480" t="str">
        <f>IFERROR(VLOOKUP(G179,MODULY_CBA!$B$3:$I$23,6,0),"")</f>
        <v>Inkrement 1</v>
      </c>
      <c r="R179" s="383"/>
      <c r="S179" s="383"/>
      <c r="T179" s="383"/>
      <c r="U179" s="383"/>
      <c r="V179" s="383"/>
      <c r="W179" s="383"/>
      <c r="X179" s="383"/>
      <c r="Y179" s="383"/>
      <c r="Z179" s="383"/>
      <c r="AA179" s="383"/>
      <c r="AB179" s="383"/>
      <c r="AC179" s="383"/>
      <c r="AD179" s="383"/>
      <c r="AE179" s="383"/>
      <c r="AF179" s="376"/>
    </row>
    <row r="180" spans="1:32" ht="25.5">
      <c r="A180" s="682" t="s">
        <v>1233</v>
      </c>
      <c r="B180" s="402" t="s">
        <v>749</v>
      </c>
      <c r="C180" s="532"/>
      <c r="D180" s="532" t="s">
        <v>1284</v>
      </c>
      <c r="E180" s="532" t="s">
        <v>1285</v>
      </c>
      <c r="F180" s="390" t="s">
        <v>806</v>
      </c>
      <c r="G180" s="390" t="s">
        <v>789</v>
      </c>
      <c r="H180" s="381">
        <v>1</v>
      </c>
      <c r="I180" s="381">
        <v>5</v>
      </c>
      <c r="J180" s="381">
        <f t="shared" si="18"/>
        <v>1</v>
      </c>
      <c r="K180" s="381">
        <f t="shared" si="19"/>
        <v>5</v>
      </c>
      <c r="L180" s="644">
        <f>IFERROR(IF(B180="funkcna poziadavka",VLOOKUP(G180,MODULY_CBA!$B$3:$E$23,4,0)*H180/SUMIFS($H$3:$H$168,$G$3:$G$168,G180,$B$3:$B$168,B180),),)</f>
        <v>3</v>
      </c>
      <c r="M180" s="381">
        <f>IFERROR(IF(B180="Funkcna poziadavka",VLOOKUP(G180,MODULY_CBA!$B$3:$E$23,3,0),),)</f>
        <v>0.99499999999999988</v>
      </c>
      <c r="N180" s="381">
        <f>IFERROR(IF(B180="funkcna poziadavka",VLOOKUP(G180,MODULY_CBA!$B$3:$E$23,2,0),),)</f>
        <v>0.99</v>
      </c>
      <c r="O180" s="380">
        <f t="shared" si="20"/>
        <v>7.880399999999999</v>
      </c>
      <c r="P180" s="379">
        <f>IFERROR(O180*VLOOKUP(G180,MODULY_CBA!$B$3:$F$23,5,0),)</f>
        <v>197.00999999999996</v>
      </c>
      <c r="Q180" s="480" t="str">
        <f>IFERROR(VLOOKUP(G180,MODULY_CBA!$B$3:$I$23,6,0),"")</f>
        <v>Inkrement 1</v>
      </c>
      <c r="R180" s="383"/>
      <c r="S180" s="383"/>
      <c r="T180" s="383"/>
      <c r="U180" s="383"/>
      <c r="V180" s="383"/>
      <c r="W180" s="383"/>
      <c r="X180" s="383"/>
      <c r="Y180" s="383"/>
      <c r="Z180" s="383"/>
      <c r="AA180" s="383"/>
      <c r="AB180" s="383"/>
      <c r="AC180" s="383"/>
      <c r="AD180" s="383"/>
      <c r="AE180" s="383"/>
      <c r="AF180" s="376"/>
    </row>
    <row r="181" spans="1:32" ht="25.5">
      <c r="A181" s="682" t="s">
        <v>1236</v>
      </c>
      <c r="B181" s="402" t="s">
        <v>749</v>
      </c>
      <c r="C181" s="532"/>
      <c r="D181" s="532" t="s">
        <v>1320</v>
      </c>
      <c r="E181" s="532" t="s">
        <v>1300</v>
      </c>
      <c r="F181" s="390" t="s">
        <v>806</v>
      </c>
      <c r="G181" s="390" t="s">
        <v>789</v>
      </c>
      <c r="H181" s="381">
        <v>1</v>
      </c>
      <c r="I181" s="381">
        <v>5</v>
      </c>
      <c r="J181" s="381">
        <f t="shared" si="18"/>
        <v>1</v>
      </c>
      <c r="K181" s="381">
        <f t="shared" si="19"/>
        <v>5</v>
      </c>
      <c r="L181" s="644">
        <f>IFERROR(IF(B181="funkcna poziadavka",VLOOKUP(G181,MODULY_CBA!$B$3:$E$23,4,0)*H181/SUMIFS($H$3:$H$168,$G$3:$G$168,G181,$B$3:$B$168,B181),),)</f>
        <v>3</v>
      </c>
      <c r="M181" s="381">
        <f>IFERROR(IF(B181="Funkcna poziadavka",VLOOKUP(G181,MODULY_CBA!$B$3:$E$23,3,0),),)</f>
        <v>0.99499999999999988</v>
      </c>
      <c r="N181" s="381">
        <f>IFERROR(IF(B181="funkcna poziadavka",VLOOKUP(G181,MODULY_CBA!$B$3:$E$23,2,0),),)</f>
        <v>0.99</v>
      </c>
      <c r="O181" s="380">
        <f t="shared" si="20"/>
        <v>7.880399999999999</v>
      </c>
      <c r="P181" s="379">
        <f>IFERROR(O181*VLOOKUP(G181,MODULY_CBA!$B$3:$F$23,5,0),)</f>
        <v>197.00999999999996</v>
      </c>
      <c r="Q181" s="480" t="str">
        <f>IFERROR(VLOOKUP(G181,MODULY_CBA!$B$3:$I$23,6,0),"")</f>
        <v>Inkrement 1</v>
      </c>
      <c r="R181" s="383"/>
      <c r="S181" s="383"/>
      <c r="T181" s="383"/>
      <c r="U181" s="383"/>
      <c r="V181" s="383"/>
      <c r="W181" s="383"/>
      <c r="X181" s="383"/>
      <c r="Y181" s="383"/>
      <c r="Z181" s="383"/>
      <c r="AA181" s="383"/>
      <c r="AB181" s="383"/>
      <c r="AC181" s="383"/>
      <c r="AD181" s="383"/>
      <c r="AE181" s="383"/>
      <c r="AF181" s="376"/>
    </row>
    <row r="182" spans="1:32" ht="38.25">
      <c r="A182" s="682" t="s">
        <v>1239</v>
      </c>
      <c r="B182" s="402" t="s">
        <v>749</v>
      </c>
      <c r="C182" s="532"/>
      <c r="D182" s="532" t="s">
        <v>1322</v>
      </c>
      <c r="E182" s="532" t="s">
        <v>1291</v>
      </c>
      <c r="F182" s="390" t="s">
        <v>806</v>
      </c>
      <c r="G182" s="390" t="s">
        <v>789</v>
      </c>
      <c r="H182" s="381">
        <v>1</v>
      </c>
      <c r="I182" s="381">
        <v>5</v>
      </c>
      <c r="J182" s="381">
        <f t="shared" si="18"/>
        <v>1</v>
      </c>
      <c r="K182" s="381">
        <f t="shared" si="19"/>
        <v>5</v>
      </c>
      <c r="L182" s="644">
        <f>IFERROR(IF(B182="funkcna poziadavka",VLOOKUP(G182,MODULY_CBA!$B$3:$E$23,4,0)*H182/SUMIFS($H$3:$H$168,$G$3:$G$168,G182,$B$3:$B$168,B182),),)</f>
        <v>3</v>
      </c>
      <c r="M182" s="381">
        <f>IFERROR(IF(B182="Funkcna poziadavka",VLOOKUP(G182,MODULY_CBA!$B$3:$E$23,3,0),),)</f>
        <v>0.99499999999999988</v>
      </c>
      <c r="N182" s="381">
        <f>IFERROR(IF(B182="funkcna poziadavka",VLOOKUP(G182,MODULY_CBA!$B$3:$E$23,2,0),),)</f>
        <v>0.99</v>
      </c>
      <c r="O182" s="380">
        <f t="shared" si="20"/>
        <v>7.880399999999999</v>
      </c>
      <c r="P182" s="379">
        <f>IFERROR(O182*VLOOKUP(G182,MODULY_CBA!$B$3:$F$23,5,0),)</f>
        <v>197.00999999999996</v>
      </c>
      <c r="Q182" s="480" t="str">
        <f>IFERROR(VLOOKUP(G182,MODULY_CBA!$B$3:$I$23,6,0),"")</f>
        <v>Inkrement 1</v>
      </c>
      <c r="R182" s="383"/>
      <c r="S182" s="383"/>
      <c r="T182" s="383"/>
      <c r="U182" s="383"/>
      <c r="V182" s="383"/>
      <c r="W182" s="383"/>
      <c r="X182" s="383"/>
      <c r="Y182" s="383"/>
      <c r="Z182" s="383"/>
      <c r="AA182" s="383"/>
      <c r="AB182" s="383"/>
      <c r="AC182" s="383"/>
      <c r="AD182" s="383"/>
      <c r="AE182" s="383"/>
      <c r="AF182" s="376"/>
    </row>
    <row r="183" spans="1:32" ht="38.25">
      <c r="A183" s="682" t="s">
        <v>1242</v>
      </c>
      <c r="B183" s="402" t="s">
        <v>749</v>
      </c>
      <c r="C183" s="532"/>
      <c r="D183" s="532" t="s">
        <v>1293</v>
      </c>
      <c r="E183" s="532" t="s">
        <v>1294</v>
      </c>
      <c r="F183" s="390" t="s">
        <v>806</v>
      </c>
      <c r="G183" s="390" t="s">
        <v>789</v>
      </c>
      <c r="H183" s="381">
        <v>1</v>
      </c>
      <c r="I183" s="381">
        <v>5</v>
      </c>
      <c r="J183" s="381">
        <f t="shared" si="18"/>
        <v>1</v>
      </c>
      <c r="K183" s="381">
        <f t="shared" si="19"/>
        <v>5</v>
      </c>
      <c r="L183" s="644">
        <f>IFERROR(IF(B183="funkcna poziadavka",VLOOKUP(G183,MODULY_CBA!$B$3:$E$23,4,0)*H183/SUMIFS($H$3:$H$168,$G$3:$G$168,G183,$B$3:$B$168,B183),),)</f>
        <v>3</v>
      </c>
      <c r="M183" s="381">
        <f>IFERROR(IF(B183="Funkcna poziadavka",VLOOKUP(G183,MODULY_CBA!$B$3:$E$23,3,0),),)</f>
        <v>0.99499999999999988</v>
      </c>
      <c r="N183" s="381">
        <f>IFERROR(IF(B183="funkcna poziadavka",VLOOKUP(G183,MODULY_CBA!$B$3:$E$23,2,0),),)</f>
        <v>0.99</v>
      </c>
      <c r="O183" s="380">
        <f t="shared" si="20"/>
        <v>7.880399999999999</v>
      </c>
      <c r="P183" s="379">
        <f>IFERROR(O183*VLOOKUP(G183,MODULY_CBA!$B$3:$F$23,5,0),)</f>
        <v>197.00999999999996</v>
      </c>
      <c r="Q183" s="480" t="str">
        <f>IFERROR(VLOOKUP(G183,MODULY_CBA!$B$3:$I$23,6,0),"")</f>
        <v>Inkrement 1</v>
      </c>
      <c r="R183" s="383"/>
      <c r="S183" s="383"/>
      <c r="T183" s="383"/>
      <c r="U183" s="383"/>
      <c r="V183" s="383"/>
      <c r="W183" s="383"/>
      <c r="X183" s="383"/>
      <c r="Y183" s="383"/>
      <c r="Z183" s="383"/>
      <c r="AA183" s="383"/>
      <c r="AB183" s="383"/>
      <c r="AC183" s="383"/>
      <c r="AD183" s="383"/>
      <c r="AE183" s="383"/>
      <c r="AF183" s="376"/>
    </row>
    <row r="184" spans="1:32" ht="25.5">
      <c r="A184" s="682" t="s">
        <v>1245</v>
      </c>
      <c r="B184" s="402" t="s">
        <v>749</v>
      </c>
      <c r="C184" s="532"/>
      <c r="D184" s="532" t="s">
        <v>1296</v>
      </c>
      <c r="E184" s="532" t="s">
        <v>1297</v>
      </c>
      <c r="F184" s="390" t="s">
        <v>806</v>
      </c>
      <c r="G184" s="390" t="s">
        <v>789</v>
      </c>
      <c r="H184" s="381">
        <v>1</v>
      </c>
      <c r="I184" s="381">
        <v>5</v>
      </c>
      <c r="J184" s="381">
        <f t="shared" si="18"/>
        <v>1</v>
      </c>
      <c r="K184" s="381">
        <f t="shared" si="19"/>
        <v>5</v>
      </c>
      <c r="L184" s="644">
        <f>IFERROR(IF(B184="funkcna poziadavka",VLOOKUP(G184,MODULY_CBA!$B$3:$E$23,4,0)*H184/SUMIFS($H$3:$H$168,$G$3:$G$168,G184,$B$3:$B$168,B184),),)</f>
        <v>3</v>
      </c>
      <c r="M184" s="381">
        <f>IFERROR(IF(B184="Funkcna poziadavka",VLOOKUP(G184,MODULY_CBA!$B$3:$E$23,3,0),),)</f>
        <v>0.99499999999999988</v>
      </c>
      <c r="N184" s="381">
        <f>IFERROR(IF(B184="funkcna poziadavka",VLOOKUP(G184,MODULY_CBA!$B$3:$E$23,2,0),),)</f>
        <v>0.99</v>
      </c>
      <c r="O184" s="380">
        <f t="shared" si="20"/>
        <v>7.880399999999999</v>
      </c>
      <c r="P184" s="379">
        <f>IFERROR(O184*VLOOKUP(G184,MODULY_CBA!$B$3:$F$23,5,0),)</f>
        <v>197.00999999999996</v>
      </c>
      <c r="Q184" s="480" t="str">
        <f>IFERROR(VLOOKUP(G184,MODULY_CBA!$B$3:$I$23,6,0),"")</f>
        <v>Inkrement 1</v>
      </c>
      <c r="R184" s="383"/>
      <c r="S184" s="383"/>
      <c r="T184" s="383"/>
      <c r="U184" s="383"/>
      <c r="V184" s="383"/>
      <c r="W184" s="383"/>
      <c r="X184" s="383"/>
      <c r="Y184" s="383"/>
      <c r="Z184" s="383"/>
      <c r="AA184" s="383"/>
      <c r="AB184" s="383"/>
      <c r="AC184" s="383"/>
      <c r="AD184" s="383"/>
      <c r="AE184" s="383"/>
      <c r="AF184" s="376"/>
    </row>
    <row r="185" spans="1:32" ht="25.5">
      <c r="A185" s="682" t="s">
        <v>1248</v>
      </c>
      <c r="B185" s="402" t="s">
        <v>749</v>
      </c>
      <c r="C185" s="532"/>
      <c r="D185" s="532" t="s">
        <v>1326</v>
      </c>
      <c r="E185" s="532" t="s">
        <v>1209</v>
      </c>
      <c r="F185" s="390" t="s">
        <v>806</v>
      </c>
      <c r="G185" s="390" t="s">
        <v>789</v>
      </c>
      <c r="H185" s="381">
        <v>1</v>
      </c>
      <c r="I185" s="381">
        <v>5</v>
      </c>
      <c r="J185" s="381">
        <f t="shared" si="18"/>
        <v>1</v>
      </c>
      <c r="K185" s="381">
        <f t="shared" si="19"/>
        <v>5</v>
      </c>
      <c r="L185" s="644">
        <f>IFERROR(IF(B185="funkcna poziadavka",VLOOKUP(G185,MODULY_CBA!$B$3:$E$23,4,0)*H185/SUMIFS($H$3:$H$168,$G$3:$G$168,G185,$B$3:$B$168,B185),),)</f>
        <v>3</v>
      </c>
      <c r="M185" s="381">
        <f>IFERROR(IF(B185="Funkcna poziadavka",VLOOKUP(G185,MODULY_CBA!$B$3:$E$23,3,0),),)</f>
        <v>0.99499999999999988</v>
      </c>
      <c r="N185" s="381">
        <f>IFERROR(IF(B185="funkcna poziadavka",VLOOKUP(G185,MODULY_CBA!$B$3:$E$23,2,0),),)</f>
        <v>0.99</v>
      </c>
      <c r="O185" s="380">
        <f t="shared" si="20"/>
        <v>7.880399999999999</v>
      </c>
      <c r="P185" s="379">
        <f>IFERROR(O185*VLOOKUP(G185,MODULY_CBA!$B$3:$F$23,5,0),)</f>
        <v>197.00999999999996</v>
      </c>
      <c r="Q185" s="480" t="str">
        <f>IFERROR(VLOOKUP(G185,MODULY_CBA!$B$3:$I$23,6,0),"")</f>
        <v>Inkrement 1</v>
      </c>
      <c r="R185" s="383"/>
      <c r="S185" s="383"/>
      <c r="T185" s="383"/>
      <c r="U185" s="383"/>
      <c r="V185" s="383"/>
      <c r="W185" s="383"/>
      <c r="X185" s="383"/>
      <c r="Y185" s="383"/>
      <c r="Z185" s="383"/>
      <c r="AA185" s="383"/>
      <c r="AB185" s="383"/>
      <c r="AC185" s="383"/>
      <c r="AD185" s="383"/>
      <c r="AE185" s="383"/>
      <c r="AF185" s="376"/>
    </row>
    <row r="186" spans="1:32" ht="25.5">
      <c r="A186" s="682" t="s">
        <v>1251</v>
      </c>
      <c r="B186" s="402" t="s">
        <v>749</v>
      </c>
      <c r="C186" s="532"/>
      <c r="D186" s="532" t="s">
        <v>1328</v>
      </c>
      <c r="E186" s="532" t="s">
        <v>1213</v>
      </c>
      <c r="F186" s="390" t="s">
        <v>806</v>
      </c>
      <c r="G186" s="390" t="s">
        <v>789</v>
      </c>
      <c r="H186" s="381">
        <v>1</v>
      </c>
      <c r="I186" s="381">
        <v>5</v>
      </c>
      <c r="J186" s="381">
        <f t="shared" si="18"/>
        <v>1</v>
      </c>
      <c r="K186" s="381">
        <f t="shared" si="19"/>
        <v>5</v>
      </c>
      <c r="L186" s="644">
        <f>IFERROR(IF(B186="funkcna poziadavka",VLOOKUP(G186,MODULY_CBA!$B$3:$E$23,4,0)*H186/SUMIFS($H$3:$H$168,$G$3:$G$168,G186,$B$3:$B$168,B186),),)</f>
        <v>3</v>
      </c>
      <c r="M186" s="381">
        <f>IFERROR(IF(B186="Funkcna poziadavka",VLOOKUP(G186,MODULY_CBA!$B$3:$E$23,3,0),),)</f>
        <v>0.99499999999999988</v>
      </c>
      <c r="N186" s="381">
        <f>IFERROR(IF(B186="funkcna poziadavka",VLOOKUP(G186,MODULY_CBA!$B$3:$E$23,2,0),),)</f>
        <v>0.99</v>
      </c>
      <c r="O186" s="380">
        <f t="shared" si="20"/>
        <v>7.880399999999999</v>
      </c>
      <c r="P186" s="379">
        <f>IFERROR(O186*VLOOKUP(G186,MODULY_CBA!$B$3:$F$23,5,0),)</f>
        <v>197.00999999999996</v>
      </c>
      <c r="Q186" s="480" t="str">
        <f>IFERROR(VLOOKUP(G186,MODULY_CBA!$B$3:$I$23,6,0),"")</f>
        <v>Inkrement 1</v>
      </c>
      <c r="R186" s="383"/>
      <c r="S186" s="383"/>
      <c r="T186" s="383"/>
      <c r="U186" s="383"/>
      <c r="V186" s="383"/>
      <c r="W186" s="383"/>
      <c r="X186" s="383"/>
      <c r="Y186" s="383"/>
      <c r="Z186" s="383"/>
      <c r="AA186" s="383"/>
      <c r="AB186" s="383"/>
      <c r="AC186" s="383"/>
      <c r="AD186" s="383"/>
      <c r="AE186" s="383"/>
      <c r="AF186" s="376"/>
    </row>
    <row r="187" spans="1:32">
      <c r="A187" s="682" t="s">
        <v>1254</v>
      </c>
      <c r="B187" s="402" t="s">
        <v>749</v>
      </c>
      <c r="C187" s="532"/>
      <c r="D187" s="532" t="s">
        <v>1330</v>
      </c>
      <c r="E187" s="532" t="s">
        <v>1331</v>
      </c>
      <c r="F187" s="390" t="s">
        <v>806</v>
      </c>
      <c r="G187" s="390" t="s">
        <v>785</v>
      </c>
      <c r="H187" s="381">
        <v>1</v>
      </c>
      <c r="I187" s="381">
        <v>5</v>
      </c>
      <c r="J187" s="381">
        <f t="shared" si="18"/>
        <v>1</v>
      </c>
      <c r="K187" s="381">
        <f t="shared" si="19"/>
        <v>5</v>
      </c>
      <c r="L187" s="644">
        <f>IFERROR(IF(B187="funkcna poziadavka",VLOOKUP(G187,MODULY_CBA!$B$3:$E$23,4,0)*H187/SUMIFS($H$3:$H$168,$G$3:$G$168,G187,$B$3:$B$168,B187),),)</f>
        <v>6</v>
      </c>
      <c r="M187" s="381">
        <f>IFERROR(IF(B187="Funkcna poziadavka",VLOOKUP(G187,MODULY_CBA!$B$3:$E$23,3,0),),)</f>
        <v>0.99499999999999988</v>
      </c>
      <c r="N187" s="381">
        <f>IFERROR(IF(B187="funkcna poziadavka",VLOOKUP(G187,MODULY_CBA!$B$3:$E$23,2,0),),)</f>
        <v>0.99</v>
      </c>
      <c r="O187" s="380">
        <f t="shared" si="20"/>
        <v>10.835549999999998</v>
      </c>
      <c r="P187" s="379">
        <f>IFERROR(O187*VLOOKUP(G187,MODULY_CBA!$B$3:$F$23,5,0),)</f>
        <v>216.71099999999996</v>
      </c>
      <c r="Q187" s="480" t="str">
        <f>IFERROR(VLOOKUP(G187,MODULY_CBA!$B$3:$I$23,6,0),"")</f>
        <v>Inkrement 1</v>
      </c>
      <c r="R187" s="383"/>
      <c r="S187" s="383"/>
      <c r="T187" s="383"/>
      <c r="U187" s="383"/>
      <c r="V187" s="383"/>
      <c r="W187" s="383"/>
      <c r="X187" s="383"/>
      <c r="Y187" s="383"/>
      <c r="Z187" s="383"/>
      <c r="AA187" s="383"/>
      <c r="AB187" s="383"/>
      <c r="AC187" s="383"/>
      <c r="AD187" s="383"/>
      <c r="AE187" s="383"/>
      <c r="AF187" s="376"/>
    </row>
    <row r="188" spans="1:32" ht="25.5">
      <c r="A188" s="682" t="s">
        <v>1257</v>
      </c>
      <c r="B188" s="402" t="s">
        <v>749</v>
      </c>
      <c r="C188" s="532"/>
      <c r="D188" s="532" t="s">
        <v>1333</v>
      </c>
      <c r="E188" s="532" t="s">
        <v>1334</v>
      </c>
      <c r="F188" s="390" t="s">
        <v>806</v>
      </c>
      <c r="G188" s="390" t="s">
        <v>785</v>
      </c>
      <c r="H188" s="381">
        <v>1</v>
      </c>
      <c r="I188" s="381">
        <v>5</v>
      </c>
      <c r="J188" s="381">
        <f t="shared" si="18"/>
        <v>1</v>
      </c>
      <c r="K188" s="381">
        <f t="shared" si="19"/>
        <v>5</v>
      </c>
      <c r="L188" s="644">
        <f>IFERROR(IF(B188="funkcna poziadavka",VLOOKUP(G188,MODULY_CBA!$B$3:$E$23,4,0)*H188/SUMIFS($H$3:$H$168,$G$3:$G$168,G188,$B$3:$B$168,B188),),)</f>
        <v>6</v>
      </c>
      <c r="M188" s="381">
        <f>IFERROR(IF(B188="Funkcna poziadavka",VLOOKUP(G188,MODULY_CBA!$B$3:$E$23,3,0),),)</f>
        <v>0.99499999999999988</v>
      </c>
      <c r="N188" s="381">
        <f>IFERROR(IF(B188="funkcna poziadavka",VLOOKUP(G188,MODULY_CBA!$B$3:$E$23,2,0),),)</f>
        <v>0.99</v>
      </c>
      <c r="O188" s="380">
        <f t="shared" si="20"/>
        <v>10.835549999999998</v>
      </c>
      <c r="P188" s="379">
        <f>IFERROR(O188*VLOOKUP(G188,MODULY_CBA!$B$3:$F$23,5,0),)</f>
        <v>216.71099999999996</v>
      </c>
      <c r="Q188" s="480" t="str">
        <f>IFERROR(VLOOKUP(G188,MODULY_CBA!$B$3:$I$23,6,0),"")</f>
        <v>Inkrement 1</v>
      </c>
      <c r="R188" s="383"/>
      <c r="S188" s="383"/>
      <c r="T188" s="383"/>
      <c r="U188" s="383"/>
      <c r="V188" s="383"/>
      <c r="W188" s="383"/>
      <c r="X188" s="383"/>
      <c r="Y188" s="383"/>
      <c r="Z188" s="383"/>
      <c r="AA188" s="383"/>
      <c r="AB188" s="383"/>
      <c r="AC188" s="383"/>
      <c r="AD188" s="383"/>
      <c r="AE188" s="383"/>
      <c r="AF188" s="376"/>
    </row>
    <row r="189" spans="1:32" ht="38.25">
      <c r="A189" s="682" t="s">
        <v>1260</v>
      </c>
      <c r="B189" s="402" t="s">
        <v>749</v>
      </c>
      <c r="C189" s="532"/>
      <c r="D189" s="532" t="s">
        <v>1336</v>
      </c>
      <c r="E189" s="532" t="s">
        <v>1209</v>
      </c>
      <c r="F189" s="390" t="s">
        <v>806</v>
      </c>
      <c r="G189" s="390" t="s">
        <v>791</v>
      </c>
      <c r="H189" s="381">
        <v>1</v>
      </c>
      <c r="I189" s="381">
        <v>5</v>
      </c>
      <c r="J189" s="381">
        <f t="shared" si="18"/>
        <v>1</v>
      </c>
      <c r="K189" s="381">
        <f t="shared" si="19"/>
        <v>5</v>
      </c>
      <c r="L189" s="644">
        <f>IFERROR(IF(B189="funkcna poziadavka",VLOOKUP(G189,MODULY_CBA!$B$3:$E$23,4,0)*H189/SUMIFS($H$3:$H$168,$G$3:$G$168,G189,$B$3:$B$168,B189),),)</f>
        <v>2.4</v>
      </c>
      <c r="M189" s="381">
        <f>IFERROR(IF(B189="Funkcna poziadavka",VLOOKUP(G189,MODULY_CBA!$B$3:$E$23,3,0),),)</f>
        <v>0.99499999999999988</v>
      </c>
      <c r="N189" s="381">
        <f>IFERROR(IF(B189="funkcna poziadavka",VLOOKUP(G189,MODULY_CBA!$B$3:$E$23,2,0),),)</f>
        <v>0.99</v>
      </c>
      <c r="O189" s="380">
        <f t="shared" si="20"/>
        <v>7.2893699999999999</v>
      </c>
      <c r="P189" s="379">
        <f>IFERROR(O189*VLOOKUP(G189,MODULY_CBA!$B$3:$F$23,5,0),)</f>
        <v>145.78739999999999</v>
      </c>
      <c r="Q189" s="480" t="str">
        <f>IFERROR(VLOOKUP(G189,MODULY_CBA!$B$3:$I$23,6,0),"")</f>
        <v>Inkrement 2</v>
      </c>
      <c r="R189" s="383"/>
      <c r="S189" s="383"/>
      <c r="T189" s="383"/>
      <c r="U189" s="383"/>
      <c r="V189" s="383"/>
      <c r="W189" s="383"/>
      <c r="X189" s="383"/>
      <c r="Y189" s="383"/>
      <c r="Z189" s="383"/>
      <c r="AA189" s="383"/>
      <c r="AB189" s="383"/>
      <c r="AC189" s="383"/>
      <c r="AD189" s="383"/>
      <c r="AE189" s="383"/>
      <c r="AF189" s="376"/>
    </row>
    <row r="190" spans="1:32" ht="38.25">
      <c r="A190" s="682" t="s">
        <v>1263</v>
      </c>
      <c r="B190" s="402" t="s">
        <v>749</v>
      </c>
      <c r="C190" s="532"/>
      <c r="D190" s="532" t="s">
        <v>1338</v>
      </c>
      <c r="E190" s="532" t="s">
        <v>1213</v>
      </c>
      <c r="F190" s="390" t="s">
        <v>806</v>
      </c>
      <c r="G190" s="390" t="s">
        <v>791</v>
      </c>
      <c r="H190" s="381">
        <v>1</v>
      </c>
      <c r="I190" s="381">
        <v>5</v>
      </c>
      <c r="J190" s="381">
        <f t="shared" si="18"/>
        <v>1</v>
      </c>
      <c r="K190" s="381">
        <f t="shared" si="19"/>
        <v>5</v>
      </c>
      <c r="L190" s="644">
        <f>IFERROR(IF(B190="funkcna poziadavka",VLOOKUP(G190,MODULY_CBA!$B$3:$E$23,4,0)*H190/SUMIFS($H$3:$H$168,$G$3:$G$168,G190,$B$3:$B$168,B190),),)</f>
        <v>2.4</v>
      </c>
      <c r="M190" s="381">
        <f>IFERROR(IF(B190="Funkcna poziadavka",VLOOKUP(G190,MODULY_CBA!$B$3:$E$23,3,0),),)</f>
        <v>0.99499999999999988</v>
      </c>
      <c r="N190" s="381">
        <f>IFERROR(IF(B190="funkcna poziadavka",VLOOKUP(G190,MODULY_CBA!$B$3:$E$23,2,0),),)</f>
        <v>0.99</v>
      </c>
      <c r="O190" s="380">
        <f t="shared" si="20"/>
        <v>7.2893699999999999</v>
      </c>
      <c r="P190" s="379">
        <f>IFERROR(O190*VLOOKUP(G190,MODULY_CBA!$B$3:$F$23,5,0),)</f>
        <v>145.78739999999999</v>
      </c>
      <c r="Q190" s="480" t="str">
        <f>IFERROR(VLOOKUP(G190,MODULY_CBA!$B$3:$I$23,6,0),"")</f>
        <v>Inkrement 2</v>
      </c>
      <c r="R190" s="383"/>
      <c r="S190" s="383"/>
      <c r="T190" s="383"/>
      <c r="U190" s="383"/>
      <c r="V190" s="383"/>
      <c r="W190" s="383"/>
      <c r="X190" s="383"/>
      <c r="Y190" s="383"/>
      <c r="Z190" s="383"/>
      <c r="AA190" s="383"/>
      <c r="AB190" s="383"/>
      <c r="AC190" s="383"/>
      <c r="AD190" s="383"/>
      <c r="AE190" s="383"/>
      <c r="AF190" s="376"/>
    </row>
    <row r="191" spans="1:32">
      <c r="A191" s="682" t="s">
        <v>1264</v>
      </c>
      <c r="B191" s="402" t="s">
        <v>749</v>
      </c>
      <c r="C191" s="532"/>
      <c r="D191" s="532" t="s">
        <v>1340</v>
      </c>
      <c r="E191" s="532" t="s">
        <v>1341</v>
      </c>
      <c r="F191" s="390" t="s">
        <v>806</v>
      </c>
      <c r="G191" s="390" t="s">
        <v>802</v>
      </c>
      <c r="H191" s="381">
        <v>1</v>
      </c>
      <c r="I191" s="381">
        <v>5</v>
      </c>
      <c r="J191" s="381">
        <f t="shared" si="18"/>
        <v>1</v>
      </c>
      <c r="K191" s="381">
        <f t="shared" si="19"/>
        <v>5</v>
      </c>
      <c r="L191" s="644">
        <f>IFERROR(IF(B191="funkcna poziadavka",VLOOKUP(G191,MODULY_CBA!$B$3:$E$23,4,0)*H191/SUMIFS($H$3:$H$168,$G$3:$G$168,G191,$B$3:$B$168,B191),),)</f>
        <v>1</v>
      </c>
      <c r="M191" s="381">
        <f>IFERROR(IF(B191="Funkcna poziadavka",VLOOKUP(G191,MODULY_CBA!$B$3:$E$23,3,0),),)</f>
        <v>0.99499999999999988</v>
      </c>
      <c r="N191" s="381">
        <f>IFERROR(IF(B191="funkcna poziadavka",VLOOKUP(G191,MODULY_CBA!$B$3:$E$23,2,0),),)</f>
        <v>0.99</v>
      </c>
      <c r="O191" s="380">
        <f t="shared" si="20"/>
        <v>5.9102999999999986</v>
      </c>
      <c r="P191" s="379">
        <f>IFERROR(O191*VLOOKUP(G191,MODULY_CBA!$B$3:$F$23,5,0),)</f>
        <v>118.20599999999997</v>
      </c>
      <c r="Q191" s="480" t="str">
        <f>IFERROR(VLOOKUP(G191,MODULY_CBA!$B$3:$I$23,6,0),"")</f>
        <v>Inkrement 1</v>
      </c>
      <c r="R191" s="383"/>
      <c r="S191" s="383"/>
      <c r="T191" s="383"/>
      <c r="U191" s="383"/>
      <c r="V191" s="383"/>
      <c r="W191" s="383"/>
      <c r="X191" s="383"/>
      <c r="Y191" s="383"/>
      <c r="Z191" s="383"/>
      <c r="AA191" s="383"/>
      <c r="AB191" s="383"/>
      <c r="AC191" s="383"/>
      <c r="AD191" s="383"/>
      <c r="AE191" s="383"/>
      <c r="AF191" s="376"/>
    </row>
    <row r="192" spans="1:32">
      <c r="A192" s="682" t="s">
        <v>1266</v>
      </c>
      <c r="B192" s="402" t="s">
        <v>749</v>
      </c>
      <c r="C192" s="532"/>
      <c r="D192" s="532" t="s">
        <v>1343</v>
      </c>
      <c r="E192" s="532" t="s">
        <v>1344</v>
      </c>
      <c r="F192" s="390" t="s">
        <v>806</v>
      </c>
      <c r="G192" s="390" t="s">
        <v>802</v>
      </c>
      <c r="H192" s="381">
        <v>1</v>
      </c>
      <c r="I192" s="381">
        <v>5</v>
      </c>
      <c r="J192" s="381">
        <f t="shared" si="18"/>
        <v>1</v>
      </c>
      <c r="K192" s="381">
        <f t="shared" si="19"/>
        <v>5</v>
      </c>
      <c r="L192" s="644">
        <f>IFERROR(IF(B192="funkcna poziadavka",VLOOKUP(G192,MODULY_CBA!$B$3:$E$23,4,0)*H192/SUMIFS($H$3:$H$168,$G$3:$G$168,G192,$B$3:$B$168,B192),),)</f>
        <v>1</v>
      </c>
      <c r="M192" s="381">
        <f>IFERROR(IF(B192="Funkcna poziadavka",VLOOKUP(G192,MODULY_CBA!$B$3:$E$23,3,0),),)</f>
        <v>0.99499999999999988</v>
      </c>
      <c r="N192" s="381">
        <f>IFERROR(IF(B192="funkcna poziadavka",VLOOKUP(G192,MODULY_CBA!$B$3:$E$23,2,0),),)</f>
        <v>0.99</v>
      </c>
      <c r="O192" s="380">
        <f t="shared" si="20"/>
        <v>5.9102999999999986</v>
      </c>
      <c r="P192" s="379">
        <f>IFERROR(O192*VLOOKUP(G192,MODULY_CBA!$B$3:$F$23,5,0),)</f>
        <v>118.20599999999997</v>
      </c>
      <c r="Q192" s="480" t="str">
        <f>IFERROR(VLOOKUP(G192,MODULY_CBA!$B$3:$I$23,6,0),"")</f>
        <v>Inkrement 1</v>
      </c>
      <c r="R192" s="383"/>
      <c r="S192" s="383"/>
      <c r="T192" s="383"/>
      <c r="U192" s="383"/>
      <c r="V192" s="383"/>
      <c r="W192" s="383"/>
      <c r="X192" s="383"/>
      <c r="Y192" s="383"/>
      <c r="Z192" s="383"/>
      <c r="AA192" s="383"/>
      <c r="AB192" s="383"/>
      <c r="AC192" s="383"/>
      <c r="AD192" s="383"/>
      <c r="AE192" s="383"/>
      <c r="AF192" s="376"/>
    </row>
    <row r="193" spans="1:32">
      <c r="A193" s="682" t="s">
        <v>1269</v>
      </c>
      <c r="B193" s="402" t="s">
        <v>749</v>
      </c>
      <c r="C193" s="532"/>
      <c r="D193" s="532" t="s">
        <v>1346</v>
      </c>
      <c r="E193" s="532" t="s">
        <v>1347</v>
      </c>
      <c r="F193" s="390" t="s">
        <v>806</v>
      </c>
      <c r="G193" s="390" t="s">
        <v>802</v>
      </c>
      <c r="H193" s="381">
        <v>1</v>
      </c>
      <c r="I193" s="381">
        <v>5</v>
      </c>
      <c r="J193" s="381">
        <f t="shared" si="18"/>
        <v>1</v>
      </c>
      <c r="K193" s="381">
        <f t="shared" si="19"/>
        <v>5</v>
      </c>
      <c r="L193" s="644">
        <f>IFERROR(IF(B193="funkcna poziadavka",VLOOKUP(G193,MODULY_CBA!$B$3:$E$23,4,0)*H193/SUMIFS($H$3:$H$168,$G$3:$G$168,G193,$B$3:$B$168,B193),),)</f>
        <v>1</v>
      </c>
      <c r="M193" s="381">
        <f>IFERROR(IF(B193="Funkcna poziadavka",VLOOKUP(G193,MODULY_CBA!$B$3:$E$23,3,0),),)</f>
        <v>0.99499999999999988</v>
      </c>
      <c r="N193" s="381">
        <f>IFERROR(IF(B193="funkcna poziadavka",VLOOKUP(G193,MODULY_CBA!$B$3:$E$23,2,0),),)</f>
        <v>0.99</v>
      </c>
      <c r="O193" s="380">
        <f t="shared" si="20"/>
        <v>5.9102999999999986</v>
      </c>
      <c r="P193" s="379">
        <f>IFERROR(O193*VLOOKUP(G193,MODULY_CBA!$B$3:$F$23,5,0),)</f>
        <v>118.20599999999997</v>
      </c>
      <c r="Q193" s="480" t="str">
        <f>IFERROR(VLOOKUP(G193,MODULY_CBA!$B$3:$I$23,6,0),"")</f>
        <v>Inkrement 1</v>
      </c>
      <c r="R193" s="383"/>
      <c r="S193" s="383"/>
      <c r="T193" s="383"/>
      <c r="U193" s="383"/>
      <c r="V193" s="383"/>
      <c r="W193" s="383"/>
      <c r="X193" s="383"/>
      <c r="Y193" s="383"/>
      <c r="Z193" s="383"/>
      <c r="AA193" s="383"/>
      <c r="AB193" s="383"/>
      <c r="AC193" s="383"/>
      <c r="AD193" s="383"/>
      <c r="AE193" s="383"/>
      <c r="AF193" s="376"/>
    </row>
    <row r="194" spans="1:32">
      <c r="A194" s="682" t="s">
        <v>1272</v>
      </c>
      <c r="B194" s="402" t="s">
        <v>749</v>
      </c>
      <c r="C194" s="532"/>
      <c r="D194" s="532" t="s">
        <v>1349</v>
      </c>
      <c r="E194" s="532" t="s">
        <v>1350</v>
      </c>
      <c r="F194" s="390" t="s">
        <v>806</v>
      </c>
      <c r="G194" s="390" t="s">
        <v>802</v>
      </c>
      <c r="H194" s="381">
        <v>1</v>
      </c>
      <c r="I194" s="381">
        <v>5</v>
      </c>
      <c r="J194" s="381">
        <f t="shared" si="18"/>
        <v>1</v>
      </c>
      <c r="K194" s="381">
        <f t="shared" si="19"/>
        <v>5</v>
      </c>
      <c r="L194" s="644">
        <f>IFERROR(IF(B194="funkcna poziadavka",VLOOKUP(G194,MODULY_CBA!$B$3:$E$23,4,0)*H194/SUMIFS($H$3:$H$168,$G$3:$G$168,G194,$B$3:$B$168,B194),),)</f>
        <v>1</v>
      </c>
      <c r="M194" s="381">
        <f>IFERROR(IF(B194="Funkcna poziadavka",VLOOKUP(G194,MODULY_CBA!$B$3:$E$23,3,0),),)</f>
        <v>0.99499999999999988</v>
      </c>
      <c r="N194" s="381">
        <f>IFERROR(IF(B194="funkcna poziadavka",VLOOKUP(G194,MODULY_CBA!$B$3:$E$23,2,0),),)</f>
        <v>0.99</v>
      </c>
      <c r="O194" s="380">
        <f t="shared" si="20"/>
        <v>5.9102999999999986</v>
      </c>
      <c r="P194" s="379">
        <f>IFERROR(O194*VLOOKUP(G194,MODULY_CBA!$B$3:$F$23,5,0),)</f>
        <v>118.20599999999997</v>
      </c>
      <c r="Q194" s="480" t="str">
        <f>IFERROR(VLOOKUP(G194,MODULY_CBA!$B$3:$I$23,6,0),"")</f>
        <v>Inkrement 1</v>
      </c>
      <c r="R194" s="383"/>
      <c r="S194" s="383"/>
      <c r="T194" s="383"/>
      <c r="U194" s="383"/>
      <c r="V194" s="383"/>
      <c r="W194" s="383"/>
      <c r="X194" s="383"/>
      <c r="Y194" s="383"/>
      <c r="Z194" s="383"/>
      <c r="AA194" s="383"/>
      <c r="AB194" s="383"/>
      <c r="AC194" s="383"/>
      <c r="AD194" s="383"/>
      <c r="AE194" s="383"/>
      <c r="AF194" s="376"/>
    </row>
    <row r="195" spans="1:32">
      <c r="A195" s="682" t="s">
        <v>1275</v>
      </c>
      <c r="B195" s="402" t="s">
        <v>749</v>
      </c>
      <c r="C195" s="532"/>
      <c r="D195" s="532" t="s">
        <v>1352</v>
      </c>
      <c r="E195" s="532" t="s">
        <v>1353</v>
      </c>
      <c r="F195" s="390" t="s">
        <v>806</v>
      </c>
      <c r="G195" s="390" t="s">
        <v>802</v>
      </c>
      <c r="H195" s="381">
        <v>1</v>
      </c>
      <c r="I195" s="381">
        <v>5</v>
      </c>
      <c r="J195" s="381">
        <f t="shared" si="18"/>
        <v>1</v>
      </c>
      <c r="K195" s="381">
        <f t="shared" si="19"/>
        <v>5</v>
      </c>
      <c r="L195" s="644">
        <f>IFERROR(IF(B195="funkcna poziadavka",VLOOKUP(G195,MODULY_CBA!$B$3:$E$23,4,0)*H195/SUMIFS($H$3:$H$168,$G$3:$G$168,G195,$B$3:$B$168,B195),),)</f>
        <v>1</v>
      </c>
      <c r="M195" s="381">
        <f>IFERROR(IF(B195="Funkcna poziadavka",VLOOKUP(G195,MODULY_CBA!$B$3:$E$23,3,0),),)</f>
        <v>0.99499999999999988</v>
      </c>
      <c r="N195" s="381">
        <f>IFERROR(IF(B195="funkcna poziadavka",VLOOKUP(G195,MODULY_CBA!$B$3:$E$23,2,0),),)</f>
        <v>0.99</v>
      </c>
      <c r="O195" s="380">
        <f t="shared" si="20"/>
        <v>5.9102999999999986</v>
      </c>
      <c r="P195" s="379">
        <f>IFERROR(O195*VLOOKUP(G195,MODULY_CBA!$B$3:$F$23,5,0),)</f>
        <v>118.20599999999997</v>
      </c>
      <c r="Q195" s="480" t="str">
        <f>IFERROR(VLOOKUP(G195,MODULY_CBA!$B$3:$I$23,6,0),"")</f>
        <v>Inkrement 1</v>
      </c>
      <c r="R195" s="383"/>
      <c r="S195" s="383"/>
      <c r="T195" s="383"/>
      <c r="U195" s="383"/>
      <c r="V195" s="383"/>
      <c r="W195" s="383"/>
      <c r="X195" s="383"/>
      <c r="Y195" s="383"/>
      <c r="Z195" s="383"/>
      <c r="AA195" s="383"/>
      <c r="AB195" s="383"/>
      <c r="AC195" s="383"/>
      <c r="AD195" s="383"/>
      <c r="AE195" s="383"/>
      <c r="AF195" s="376"/>
    </row>
    <row r="196" spans="1:32">
      <c r="A196" s="682" t="s">
        <v>1278</v>
      </c>
      <c r="B196" s="402" t="s">
        <v>749</v>
      </c>
      <c r="C196" s="532"/>
      <c r="D196" s="532" t="s">
        <v>1355</v>
      </c>
      <c r="E196" s="532" t="s">
        <v>1356</v>
      </c>
      <c r="F196" s="390" t="s">
        <v>806</v>
      </c>
      <c r="G196" s="390" t="s">
        <v>802</v>
      </c>
      <c r="H196" s="381">
        <v>1</v>
      </c>
      <c r="I196" s="381">
        <v>5</v>
      </c>
      <c r="J196" s="381">
        <f t="shared" si="18"/>
        <v>1</v>
      </c>
      <c r="K196" s="381">
        <f t="shared" si="19"/>
        <v>5</v>
      </c>
      <c r="L196" s="644">
        <f>IFERROR(IF(B196="funkcna poziadavka",VLOOKUP(G196,MODULY_CBA!$B$3:$E$23,4,0)*H196/SUMIFS($H$3:$H$168,$G$3:$G$168,G196,$B$3:$B$168,B196),),)</f>
        <v>1</v>
      </c>
      <c r="M196" s="381">
        <f>IFERROR(IF(B196="Funkcna poziadavka",VLOOKUP(G196,MODULY_CBA!$B$3:$E$23,3,0),),)</f>
        <v>0.99499999999999988</v>
      </c>
      <c r="N196" s="381">
        <f>IFERROR(IF(B196="funkcna poziadavka",VLOOKUP(G196,MODULY_CBA!$B$3:$E$23,2,0),),)</f>
        <v>0.99</v>
      </c>
      <c r="O196" s="380">
        <f t="shared" si="20"/>
        <v>5.9102999999999986</v>
      </c>
      <c r="P196" s="379">
        <f>IFERROR(O196*VLOOKUP(G196,MODULY_CBA!$B$3:$F$23,5,0),)</f>
        <v>118.20599999999997</v>
      </c>
      <c r="Q196" s="480" t="str">
        <f>IFERROR(VLOOKUP(G196,MODULY_CBA!$B$3:$I$23,6,0),"")</f>
        <v>Inkrement 1</v>
      </c>
      <c r="R196" s="383"/>
      <c r="S196" s="383"/>
      <c r="T196" s="383"/>
      <c r="U196" s="383"/>
      <c r="V196" s="383"/>
      <c r="W196" s="383"/>
      <c r="X196" s="383"/>
      <c r="Y196" s="383"/>
      <c r="Z196" s="383"/>
      <c r="AA196" s="383"/>
      <c r="AB196" s="383"/>
      <c r="AC196" s="383"/>
      <c r="AD196" s="383"/>
      <c r="AE196" s="383"/>
      <c r="AF196" s="376"/>
    </row>
    <row r="197" spans="1:32" ht="51">
      <c r="A197" s="682" t="s">
        <v>1281</v>
      </c>
      <c r="B197" s="402" t="s">
        <v>749</v>
      </c>
      <c r="C197" s="532"/>
      <c r="D197" s="532" t="s">
        <v>1358</v>
      </c>
      <c r="E197" s="532" t="s">
        <v>1209</v>
      </c>
      <c r="F197" s="390" t="s">
        <v>806</v>
      </c>
      <c r="G197" s="390" t="s">
        <v>794</v>
      </c>
      <c r="H197" s="381">
        <v>1</v>
      </c>
      <c r="I197" s="381">
        <v>5</v>
      </c>
      <c r="J197" s="381">
        <f t="shared" si="18"/>
        <v>1</v>
      </c>
      <c r="K197" s="381">
        <f t="shared" si="19"/>
        <v>5</v>
      </c>
      <c r="L197" s="644">
        <f>IFERROR(IF(B197="funkcna poziadavka",VLOOKUP(G197,MODULY_CBA!$B$3:$E$23,4,0)*H197/SUMIFS($H$3:$H$168,$G$3:$G$168,G197,$B$3:$B$168,B197),),)</f>
        <v>0</v>
      </c>
      <c r="M197" s="381">
        <f>IFERROR(IF(B197="Funkcna poziadavka",VLOOKUP(G197,MODULY_CBA!$B$3:$E$23,3,0),),)</f>
        <v>0.99499999999999988</v>
      </c>
      <c r="N197" s="381">
        <f>IFERROR(IF(B197="funkcna poziadavka",VLOOKUP(G197,MODULY_CBA!$B$3:$E$23,2,0),),)</f>
        <v>0.99</v>
      </c>
      <c r="O197" s="380">
        <f t="shared" si="20"/>
        <v>4.9252499999999992</v>
      </c>
      <c r="P197" s="379">
        <f>IFERROR(O197*VLOOKUP(G197,MODULY_CBA!$B$3:$F$23,5,0),)</f>
        <v>98.504999999999981</v>
      </c>
      <c r="Q197" s="480" t="str">
        <f>IFERROR(VLOOKUP(G197,MODULY_CBA!$B$3:$I$23,6,0),"")</f>
        <v>Inkrement 2</v>
      </c>
      <c r="R197" s="383"/>
      <c r="S197" s="383"/>
      <c r="T197" s="383"/>
      <c r="U197" s="383"/>
      <c r="V197" s="383"/>
      <c r="W197" s="383"/>
      <c r="X197" s="383"/>
      <c r="Y197" s="383"/>
      <c r="Z197" s="383"/>
      <c r="AA197" s="383"/>
      <c r="AB197" s="383"/>
      <c r="AC197" s="383"/>
      <c r="AD197" s="383"/>
      <c r="AE197" s="383"/>
      <c r="AF197" s="376"/>
    </row>
    <row r="198" spans="1:32" ht="51">
      <c r="A198" s="682" t="s">
        <v>1283</v>
      </c>
      <c r="B198" s="402" t="s">
        <v>749</v>
      </c>
      <c r="C198" s="532"/>
      <c r="D198" s="532" t="s">
        <v>1360</v>
      </c>
      <c r="E198" s="532" t="s">
        <v>1213</v>
      </c>
      <c r="F198" s="390" t="s">
        <v>806</v>
      </c>
      <c r="G198" s="390" t="s">
        <v>794</v>
      </c>
      <c r="H198" s="381">
        <v>1</v>
      </c>
      <c r="I198" s="381">
        <v>5</v>
      </c>
      <c r="J198" s="381">
        <f t="shared" si="18"/>
        <v>1</v>
      </c>
      <c r="K198" s="381">
        <f t="shared" si="19"/>
        <v>5</v>
      </c>
      <c r="L198" s="644">
        <f>IFERROR(IF(B198="funkcna poziadavka",VLOOKUP(G198,MODULY_CBA!$B$3:$E$23,4,0)*H198/SUMIFS($H$3:$H$168,$G$3:$G$168,G198,$B$3:$B$168,B198),),)</f>
        <v>0</v>
      </c>
      <c r="M198" s="381">
        <f>IFERROR(IF(B198="Funkcna poziadavka",VLOOKUP(G198,MODULY_CBA!$B$3:$E$23,3,0),),)</f>
        <v>0.99499999999999988</v>
      </c>
      <c r="N198" s="381">
        <f>IFERROR(IF(B198="funkcna poziadavka",VLOOKUP(G198,MODULY_CBA!$B$3:$E$23,2,0),),)</f>
        <v>0.99</v>
      </c>
      <c r="O198" s="380">
        <f t="shared" si="20"/>
        <v>4.9252499999999992</v>
      </c>
      <c r="P198" s="379">
        <f>IFERROR(O198*VLOOKUP(G198,MODULY_CBA!$B$3:$F$23,5,0),)</f>
        <v>98.504999999999981</v>
      </c>
      <c r="Q198" s="480" t="str">
        <f>IFERROR(VLOOKUP(G198,MODULY_CBA!$B$3:$I$23,6,0),"")</f>
        <v>Inkrement 2</v>
      </c>
      <c r="R198" s="383"/>
      <c r="S198" s="383"/>
      <c r="T198" s="383"/>
      <c r="U198" s="383"/>
      <c r="V198" s="383"/>
      <c r="W198" s="383"/>
      <c r="X198" s="383"/>
      <c r="Y198" s="383"/>
      <c r="Z198" s="383"/>
      <c r="AA198" s="383"/>
      <c r="AB198" s="383"/>
      <c r="AC198" s="383"/>
      <c r="AD198" s="383"/>
      <c r="AE198" s="383"/>
      <c r="AF198" s="376"/>
    </row>
    <row r="199" spans="1:32" ht="25.5">
      <c r="A199" s="682" t="s">
        <v>1286</v>
      </c>
      <c r="B199" s="402" t="s">
        <v>749</v>
      </c>
      <c r="C199" s="532"/>
      <c r="D199" s="532" t="s">
        <v>1362</v>
      </c>
      <c r="E199" s="532" t="s">
        <v>1209</v>
      </c>
      <c r="F199" s="390" t="s">
        <v>806</v>
      </c>
      <c r="G199" s="390" t="s">
        <v>795</v>
      </c>
      <c r="H199" s="381">
        <v>1</v>
      </c>
      <c r="I199" s="381">
        <v>5</v>
      </c>
      <c r="J199" s="381">
        <f t="shared" si="18"/>
        <v>1</v>
      </c>
      <c r="K199" s="381">
        <f t="shared" si="19"/>
        <v>5</v>
      </c>
      <c r="L199" s="644">
        <f>IFERROR(IF(B199="funkcna poziadavka",VLOOKUP(G199,MODULY_CBA!$B$3:$E$23,4,0)*H199/SUMIFS($H$3:$H$168,$G$3:$G$168,G199,$B$3:$B$168,B199),),)</f>
        <v>0</v>
      </c>
      <c r="M199" s="381">
        <f>IFERROR(IF(B199="Funkcna poziadavka",VLOOKUP(G199,MODULY_CBA!$B$3:$E$23,3,0),),)</f>
        <v>0.99499999999999988</v>
      </c>
      <c r="N199" s="381">
        <f>IFERROR(IF(B199="funkcna poziadavka",VLOOKUP(G199,MODULY_CBA!$B$3:$E$23,2,0),),)</f>
        <v>0.99</v>
      </c>
      <c r="O199" s="380">
        <f t="shared" si="20"/>
        <v>4.9252499999999992</v>
      </c>
      <c r="P199" s="379">
        <f>IFERROR(O199*VLOOKUP(G199,MODULY_CBA!$B$3:$F$23,5,0),)</f>
        <v>98.504999999999981</v>
      </c>
      <c r="Q199" s="480" t="str">
        <f>IFERROR(VLOOKUP(G199,MODULY_CBA!$B$3:$I$23,6,0),"")</f>
        <v>Inkrement 2</v>
      </c>
      <c r="R199" s="383"/>
      <c r="S199" s="383"/>
      <c r="T199" s="383"/>
      <c r="U199" s="383"/>
      <c r="V199" s="383"/>
      <c r="W199" s="383"/>
      <c r="X199" s="383"/>
      <c r="Y199" s="383"/>
      <c r="Z199" s="383"/>
      <c r="AA199" s="383"/>
      <c r="AB199" s="383"/>
      <c r="AC199" s="383"/>
      <c r="AD199" s="383"/>
      <c r="AE199" s="383"/>
      <c r="AF199" s="376"/>
    </row>
    <row r="200" spans="1:32" ht="25.5">
      <c r="A200" s="682" t="s">
        <v>1289</v>
      </c>
      <c r="B200" s="402" t="s">
        <v>749</v>
      </c>
      <c r="C200" s="532"/>
      <c r="D200" s="532" t="s">
        <v>1364</v>
      </c>
      <c r="E200" s="532" t="s">
        <v>1213</v>
      </c>
      <c r="F200" s="390" t="s">
        <v>806</v>
      </c>
      <c r="G200" s="390" t="s">
        <v>795</v>
      </c>
      <c r="H200" s="381">
        <v>1</v>
      </c>
      <c r="I200" s="381">
        <v>5</v>
      </c>
      <c r="J200" s="381">
        <f t="shared" si="18"/>
        <v>1</v>
      </c>
      <c r="K200" s="381">
        <f t="shared" si="19"/>
        <v>5</v>
      </c>
      <c r="L200" s="644">
        <f>IFERROR(IF(B200="funkcna poziadavka",VLOOKUP(G200,MODULY_CBA!$B$3:$E$23,4,0)*H200/SUMIFS($H$3:$H$168,$G$3:$G$168,G200,$B$3:$B$168,B200),),)</f>
        <v>0</v>
      </c>
      <c r="M200" s="381">
        <f>IFERROR(IF(B200="Funkcna poziadavka",VLOOKUP(G200,MODULY_CBA!$B$3:$E$23,3,0),),)</f>
        <v>0.99499999999999988</v>
      </c>
      <c r="N200" s="381">
        <f>IFERROR(IF(B200="funkcna poziadavka",VLOOKUP(G200,MODULY_CBA!$B$3:$E$23,2,0),),)</f>
        <v>0.99</v>
      </c>
      <c r="O200" s="380">
        <f t="shared" si="20"/>
        <v>4.9252499999999992</v>
      </c>
      <c r="P200" s="379">
        <f>IFERROR(O200*VLOOKUP(G200,MODULY_CBA!$B$3:$F$23,5,0),)</f>
        <v>98.504999999999981</v>
      </c>
      <c r="Q200" s="480" t="str">
        <f>IFERROR(VLOOKUP(G200,MODULY_CBA!$B$3:$I$23,6,0),"")</f>
        <v>Inkrement 2</v>
      </c>
      <c r="R200" s="383"/>
      <c r="S200" s="383"/>
      <c r="T200" s="383"/>
      <c r="U200" s="383"/>
      <c r="V200" s="383"/>
      <c r="W200" s="383"/>
      <c r="X200" s="383"/>
      <c r="Y200" s="383"/>
      <c r="Z200" s="383"/>
      <c r="AA200" s="383"/>
      <c r="AB200" s="383"/>
      <c r="AC200" s="383"/>
      <c r="AD200" s="383"/>
      <c r="AE200" s="383"/>
      <c r="AF200" s="376"/>
    </row>
    <row r="201" spans="1:32" ht="51">
      <c r="A201" s="682" t="s">
        <v>1292</v>
      </c>
      <c r="B201" s="402" t="s">
        <v>749</v>
      </c>
      <c r="C201" s="532"/>
      <c r="D201" s="532" t="s">
        <v>1366</v>
      </c>
      <c r="E201" s="532" t="s">
        <v>1367</v>
      </c>
      <c r="F201" s="390" t="s">
        <v>806</v>
      </c>
      <c r="G201" s="390" t="s">
        <v>794</v>
      </c>
      <c r="H201" s="381">
        <v>1</v>
      </c>
      <c r="I201" s="381">
        <v>5</v>
      </c>
      <c r="J201" s="381">
        <f t="shared" si="18"/>
        <v>1</v>
      </c>
      <c r="K201" s="381">
        <f t="shared" si="19"/>
        <v>5</v>
      </c>
      <c r="L201" s="644">
        <f>IFERROR(IF(B201="funkcna poziadavka",VLOOKUP(G201,MODULY_CBA!$B$3:$E$23,4,0)*H201/SUMIFS($H$3:$H$168,$G$3:$G$168,G201,$B$3:$B$168,B201),),)</f>
        <v>0</v>
      </c>
      <c r="M201" s="381">
        <f>IFERROR(IF(B201="Funkcna poziadavka",VLOOKUP(G201,MODULY_CBA!$B$3:$E$23,3,0),),)</f>
        <v>0.99499999999999988</v>
      </c>
      <c r="N201" s="381">
        <f>IFERROR(IF(B201="funkcna poziadavka",VLOOKUP(G201,MODULY_CBA!$B$3:$E$23,2,0),),)</f>
        <v>0.99</v>
      </c>
      <c r="O201" s="380">
        <f t="shared" si="20"/>
        <v>4.9252499999999992</v>
      </c>
      <c r="P201" s="379">
        <f>IFERROR(O201*VLOOKUP(G201,MODULY_CBA!$B$3:$F$23,5,0),)</f>
        <v>98.504999999999981</v>
      </c>
      <c r="Q201" s="480" t="str">
        <f>IFERROR(VLOOKUP(G201,MODULY_CBA!$B$3:$I$23,6,0),"")</f>
        <v>Inkrement 2</v>
      </c>
      <c r="R201" s="383"/>
      <c r="S201" s="383"/>
      <c r="T201" s="383"/>
      <c r="U201" s="383"/>
      <c r="V201" s="383"/>
      <c r="W201" s="383"/>
      <c r="X201" s="383"/>
      <c r="Y201" s="383"/>
      <c r="Z201" s="383"/>
      <c r="AA201" s="383"/>
      <c r="AB201" s="383"/>
      <c r="AC201" s="383"/>
      <c r="AD201" s="383"/>
      <c r="AE201" s="383"/>
      <c r="AF201" s="376"/>
    </row>
    <row r="202" spans="1:32" ht="51">
      <c r="A202" s="682" t="s">
        <v>1295</v>
      </c>
      <c r="B202" s="402" t="s">
        <v>749</v>
      </c>
      <c r="C202" s="532"/>
      <c r="D202" s="532" t="s">
        <v>1369</v>
      </c>
      <c r="E202" s="532" t="s">
        <v>1370</v>
      </c>
      <c r="F202" s="390" t="s">
        <v>806</v>
      </c>
      <c r="G202" s="390" t="s">
        <v>794</v>
      </c>
      <c r="H202" s="381">
        <v>1</v>
      </c>
      <c r="I202" s="381">
        <v>5</v>
      </c>
      <c r="J202" s="381">
        <f t="shared" si="18"/>
        <v>1</v>
      </c>
      <c r="K202" s="381">
        <f t="shared" si="19"/>
        <v>5</v>
      </c>
      <c r="L202" s="644">
        <f>IFERROR(IF(B202="funkcna poziadavka",VLOOKUP(G202,MODULY_CBA!$B$3:$E$23,4,0)*H202/SUMIFS($H$3:$H$168,$G$3:$G$168,G202,$B$3:$B$168,B202),),)</f>
        <v>0</v>
      </c>
      <c r="M202" s="381">
        <f>IFERROR(IF(B202="Funkcna poziadavka",VLOOKUP(G202,MODULY_CBA!$B$3:$E$23,3,0),),)</f>
        <v>0.99499999999999988</v>
      </c>
      <c r="N202" s="381">
        <f>IFERROR(IF(B202="funkcna poziadavka",VLOOKUP(G202,MODULY_CBA!$B$3:$E$23,2,0),),)</f>
        <v>0.99</v>
      </c>
      <c r="O202" s="380">
        <f t="shared" si="20"/>
        <v>4.9252499999999992</v>
      </c>
      <c r="P202" s="379">
        <f>IFERROR(O202*VLOOKUP(G202,MODULY_CBA!$B$3:$F$23,5,0),)</f>
        <v>98.504999999999981</v>
      </c>
      <c r="Q202" s="480" t="str">
        <f>IFERROR(VLOOKUP(G202,MODULY_CBA!$B$3:$I$23,6,0),"")</f>
        <v>Inkrement 2</v>
      </c>
      <c r="R202" s="383"/>
      <c r="S202" s="383"/>
      <c r="T202" s="383"/>
      <c r="U202" s="383"/>
      <c r="V202" s="383"/>
      <c r="W202" s="383"/>
      <c r="X202" s="383"/>
      <c r="Y202" s="383"/>
      <c r="Z202" s="383"/>
      <c r="AA202" s="383"/>
      <c r="AB202" s="383"/>
      <c r="AC202" s="383"/>
      <c r="AD202" s="383"/>
      <c r="AE202" s="383"/>
      <c r="AF202" s="376"/>
    </row>
    <row r="203" spans="1:32" ht="51">
      <c r="A203" s="682" t="s">
        <v>1298</v>
      </c>
      <c r="B203" s="402" t="s">
        <v>749</v>
      </c>
      <c r="C203" s="532"/>
      <c r="D203" s="532" t="s">
        <v>1372</v>
      </c>
      <c r="E203" s="532" t="s">
        <v>1373</v>
      </c>
      <c r="F203" s="390" t="s">
        <v>806</v>
      </c>
      <c r="G203" s="390" t="s">
        <v>794</v>
      </c>
      <c r="H203" s="381">
        <v>1</v>
      </c>
      <c r="I203" s="381">
        <v>5</v>
      </c>
      <c r="J203" s="381">
        <f t="shared" ref="J203:J262" si="21">IF(ISNUMBER(H203),H203,)</f>
        <v>1</v>
      </c>
      <c r="K203" s="381">
        <f t="shared" ref="K203:K262" si="22">H203*I203</f>
        <v>5</v>
      </c>
      <c r="L203" s="644">
        <f>IFERROR(IF(B203="funkcna poziadavka",VLOOKUP(G203,MODULY_CBA!$B$3:$E$23,4,0)*H203/SUMIFS($H$3:$H$168,$G$3:$G$168,G203,$B$3:$B$168,B203),),)</f>
        <v>0</v>
      </c>
      <c r="M203" s="381">
        <f>IFERROR(IF(B203="Funkcna poziadavka",VLOOKUP(G203,MODULY_CBA!$B$3:$E$23,3,0),),)</f>
        <v>0.99499999999999988</v>
      </c>
      <c r="N203" s="381">
        <f>IFERROR(IF(B203="funkcna poziadavka",VLOOKUP(G203,MODULY_CBA!$B$3:$E$23,2,0),),)</f>
        <v>0.99</v>
      </c>
      <c r="O203" s="380">
        <f t="shared" ref="O203:O262" si="23">(K203+L203)*M203*N203</f>
        <v>4.9252499999999992</v>
      </c>
      <c r="P203" s="379">
        <f>IFERROR(O203*VLOOKUP(G203,MODULY_CBA!$B$3:$F$23,5,0),)</f>
        <v>98.504999999999981</v>
      </c>
      <c r="Q203" s="480" t="str">
        <f>IFERROR(VLOOKUP(G203,MODULY_CBA!$B$3:$I$23,6,0),"")</f>
        <v>Inkrement 2</v>
      </c>
      <c r="R203" s="383"/>
      <c r="S203" s="383"/>
      <c r="T203" s="383"/>
      <c r="U203" s="383"/>
      <c r="V203" s="383"/>
      <c r="W203" s="383"/>
      <c r="X203" s="383"/>
      <c r="Y203" s="383"/>
      <c r="Z203" s="383"/>
      <c r="AA203" s="383"/>
      <c r="AB203" s="383"/>
      <c r="AC203" s="383"/>
      <c r="AD203" s="383"/>
      <c r="AE203" s="383"/>
      <c r="AF203" s="376"/>
    </row>
    <row r="204" spans="1:32" ht="51">
      <c r="A204" s="682" t="s">
        <v>1301</v>
      </c>
      <c r="B204" s="402" t="s">
        <v>749</v>
      </c>
      <c r="C204" s="532"/>
      <c r="D204" s="532" t="s">
        <v>1375</v>
      </c>
      <c r="E204" s="532" t="s">
        <v>1376</v>
      </c>
      <c r="F204" s="390" t="s">
        <v>806</v>
      </c>
      <c r="G204" s="390" t="s">
        <v>794</v>
      </c>
      <c r="H204" s="381">
        <v>1</v>
      </c>
      <c r="I204" s="381">
        <v>5</v>
      </c>
      <c r="J204" s="381">
        <f t="shared" si="21"/>
        <v>1</v>
      </c>
      <c r="K204" s="381">
        <f t="shared" si="22"/>
        <v>5</v>
      </c>
      <c r="L204" s="644">
        <f>IFERROR(IF(B204="funkcna poziadavka",VLOOKUP(G204,MODULY_CBA!$B$3:$E$23,4,0)*H204/SUMIFS($H$3:$H$168,$G$3:$G$168,G204,$B$3:$B$168,B204),),)</f>
        <v>0</v>
      </c>
      <c r="M204" s="381">
        <f>IFERROR(IF(B204="Funkcna poziadavka",VLOOKUP(G204,MODULY_CBA!$B$3:$E$23,3,0),),)</f>
        <v>0.99499999999999988</v>
      </c>
      <c r="N204" s="381">
        <f>IFERROR(IF(B204="funkcna poziadavka",VLOOKUP(G204,MODULY_CBA!$B$3:$E$23,2,0),),)</f>
        <v>0.99</v>
      </c>
      <c r="O204" s="380">
        <f t="shared" si="23"/>
        <v>4.9252499999999992</v>
      </c>
      <c r="P204" s="379">
        <f>IFERROR(O204*VLOOKUP(G204,MODULY_CBA!$B$3:$F$23,5,0),)</f>
        <v>98.504999999999981</v>
      </c>
      <c r="Q204" s="480" t="str">
        <f>IFERROR(VLOOKUP(G204,MODULY_CBA!$B$3:$I$23,6,0),"")</f>
        <v>Inkrement 2</v>
      </c>
      <c r="R204" s="383"/>
      <c r="S204" s="383"/>
      <c r="T204" s="383"/>
      <c r="U204" s="383"/>
      <c r="V204" s="383"/>
      <c r="W204" s="383"/>
      <c r="X204" s="383"/>
      <c r="Y204" s="383"/>
      <c r="Z204" s="383"/>
      <c r="AA204" s="383"/>
      <c r="AB204" s="383"/>
      <c r="AC204" s="383"/>
      <c r="AD204" s="383"/>
      <c r="AE204" s="383"/>
      <c r="AF204" s="376"/>
    </row>
    <row r="205" spans="1:32" ht="51">
      <c r="A205" s="682" t="s">
        <v>1304</v>
      </c>
      <c r="B205" s="402" t="s">
        <v>749</v>
      </c>
      <c r="C205" s="532"/>
      <c r="D205" s="532" t="s">
        <v>1378</v>
      </c>
      <c r="E205" s="532" t="s">
        <v>1379</v>
      </c>
      <c r="F205" s="390" t="s">
        <v>806</v>
      </c>
      <c r="G205" s="390" t="s">
        <v>794</v>
      </c>
      <c r="H205" s="381">
        <v>1</v>
      </c>
      <c r="I205" s="381">
        <v>5</v>
      </c>
      <c r="J205" s="381">
        <f t="shared" si="21"/>
        <v>1</v>
      </c>
      <c r="K205" s="381">
        <f t="shared" si="22"/>
        <v>5</v>
      </c>
      <c r="L205" s="644">
        <f>IFERROR(IF(B205="funkcna poziadavka",VLOOKUP(G205,MODULY_CBA!$B$3:$E$23,4,0)*H205/SUMIFS($H$3:$H$168,$G$3:$G$168,G205,$B$3:$B$168,B205),),)</f>
        <v>0</v>
      </c>
      <c r="M205" s="381">
        <f>IFERROR(IF(B205="Funkcna poziadavka",VLOOKUP(G205,MODULY_CBA!$B$3:$E$23,3,0),),)</f>
        <v>0.99499999999999988</v>
      </c>
      <c r="N205" s="381">
        <f>IFERROR(IF(B205="funkcna poziadavka",VLOOKUP(G205,MODULY_CBA!$B$3:$E$23,2,0),),)</f>
        <v>0.99</v>
      </c>
      <c r="O205" s="380">
        <f t="shared" si="23"/>
        <v>4.9252499999999992</v>
      </c>
      <c r="P205" s="379">
        <f>IFERROR(O205*VLOOKUP(G205,MODULY_CBA!$B$3:$F$23,5,0),)</f>
        <v>98.504999999999981</v>
      </c>
      <c r="Q205" s="480" t="str">
        <f>IFERROR(VLOOKUP(G205,MODULY_CBA!$B$3:$I$23,6,0),"")</f>
        <v>Inkrement 2</v>
      </c>
      <c r="R205" s="383"/>
      <c r="S205" s="383"/>
      <c r="T205" s="383"/>
      <c r="U205" s="383"/>
      <c r="V205" s="383"/>
      <c r="W205" s="383"/>
      <c r="X205" s="383"/>
      <c r="Y205" s="383"/>
      <c r="Z205" s="383"/>
      <c r="AA205" s="383"/>
      <c r="AB205" s="383"/>
      <c r="AC205" s="383"/>
      <c r="AD205" s="383"/>
      <c r="AE205" s="383"/>
      <c r="AF205" s="376"/>
    </row>
    <row r="206" spans="1:32" ht="51">
      <c r="A206" s="682" t="s">
        <v>1307</v>
      </c>
      <c r="B206" s="402" t="s">
        <v>749</v>
      </c>
      <c r="C206" s="532"/>
      <c r="D206" s="532" t="s">
        <v>1381</v>
      </c>
      <c r="E206" s="532" t="s">
        <v>1382</v>
      </c>
      <c r="F206" s="390" t="s">
        <v>806</v>
      </c>
      <c r="G206" s="390" t="s">
        <v>794</v>
      </c>
      <c r="H206" s="381">
        <v>1</v>
      </c>
      <c r="I206" s="381">
        <v>5</v>
      </c>
      <c r="J206" s="381">
        <f t="shared" si="21"/>
        <v>1</v>
      </c>
      <c r="K206" s="381">
        <f t="shared" si="22"/>
        <v>5</v>
      </c>
      <c r="L206" s="644">
        <f>IFERROR(IF(B206="funkcna poziadavka",VLOOKUP(G206,MODULY_CBA!$B$3:$E$23,4,0)*H206/SUMIFS($H$3:$H$168,$G$3:$G$168,G206,$B$3:$B$168,B206),),)</f>
        <v>0</v>
      </c>
      <c r="M206" s="381">
        <f>IFERROR(IF(B206="Funkcna poziadavka",VLOOKUP(G206,MODULY_CBA!$B$3:$E$23,3,0),),)</f>
        <v>0.99499999999999988</v>
      </c>
      <c r="N206" s="381">
        <f>IFERROR(IF(B206="funkcna poziadavka",VLOOKUP(G206,MODULY_CBA!$B$3:$E$23,2,0),),)</f>
        <v>0.99</v>
      </c>
      <c r="O206" s="380">
        <f t="shared" si="23"/>
        <v>4.9252499999999992</v>
      </c>
      <c r="P206" s="379">
        <f>IFERROR(O206*VLOOKUP(G206,MODULY_CBA!$B$3:$F$23,5,0),)</f>
        <v>98.504999999999981</v>
      </c>
      <c r="Q206" s="480" t="str">
        <f>IFERROR(VLOOKUP(G206,MODULY_CBA!$B$3:$I$23,6,0),"")</f>
        <v>Inkrement 2</v>
      </c>
      <c r="R206" s="383"/>
      <c r="S206" s="383"/>
      <c r="T206" s="383"/>
      <c r="U206" s="383"/>
      <c r="V206" s="383"/>
      <c r="W206" s="383"/>
      <c r="X206" s="383"/>
      <c r="Y206" s="383"/>
      <c r="Z206" s="383"/>
      <c r="AA206" s="383"/>
      <c r="AB206" s="383"/>
      <c r="AC206" s="383"/>
      <c r="AD206" s="383"/>
      <c r="AE206" s="383"/>
      <c r="AF206" s="376"/>
    </row>
    <row r="207" spans="1:32" ht="51">
      <c r="A207" s="682" t="s">
        <v>1310</v>
      </c>
      <c r="B207" s="402" t="s">
        <v>749</v>
      </c>
      <c r="C207" s="532"/>
      <c r="D207" s="532" t="s">
        <v>1384</v>
      </c>
      <c r="E207" s="532" t="s">
        <v>1385</v>
      </c>
      <c r="F207" s="390" t="s">
        <v>806</v>
      </c>
      <c r="G207" s="390" t="s">
        <v>794</v>
      </c>
      <c r="H207" s="381">
        <v>1</v>
      </c>
      <c r="I207" s="381">
        <v>5</v>
      </c>
      <c r="J207" s="381">
        <f t="shared" si="21"/>
        <v>1</v>
      </c>
      <c r="K207" s="381">
        <f t="shared" si="22"/>
        <v>5</v>
      </c>
      <c r="L207" s="644">
        <f>IFERROR(IF(B207="funkcna poziadavka",VLOOKUP(G207,MODULY_CBA!$B$3:$E$23,4,0)*H207/SUMIFS($H$3:$H$168,$G$3:$G$168,G207,$B$3:$B$168,B207),),)</f>
        <v>0</v>
      </c>
      <c r="M207" s="381">
        <f>IFERROR(IF(B207="Funkcna poziadavka",VLOOKUP(G207,MODULY_CBA!$B$3:$E$23,3,0),),)</f>
        <v>0.99499999999999988</v>
      </c>
      <c r="N207" s="381">
        <f>IFERROR(IF(B207="funkcna poziadavka",VLOOKUP(G207,MODULY_CBA!$B$3:$E$23,2,0),),)</f>
        <v>0.99</v>
      </c>
      <c r="O207" s="380">
        <f t="shared" si="23"/>
        <v>4.9252499999999992</v>
      </c>
      <c r="P207" s="379">
        <f>IFERROR(O207*VLOOKUP(G207,MODULY_CBA!$B$3:$F$23,5,0),)</f>
        <v>98.504999999999981</v>
      </c>
      <c r="Q207" s="480" t="str">
        <f>IFERROR(VLOOKUP(G207,MODULY_CBA!$B$3:$I$23,6,0),"")</f>
        <v>Inkrement 2</v>
      </c>
      <c r="R207" s="383"/>
      <c r="S207" s="383"/>
      <c r="T207" s="383"/>
      <c r="U207" s="383"/>
      <c r="V207" s="383"/>
      <c r="W207" s="383"/>
      <c r="X207" s="383"/>
      <c r="Y207" s="383"/>
      <c r="Z207" s="383"/>
      <c r="AA207" s="383"/>
      <c r="AB207" s="383"/>
      <c r="AC207" s="383"/>
      <c r="AD207" s="383"/>
      <c r="AE207" s="383"/>
      <c r="AF207" s="376"/>
    </row>
    <row r="208" spans="1:32">
      <c r="A208" s="682" t="s">
        <v>1311</v>
      </c>
      <c r="B208" s="402" t="s">
        <v>749</v>
      </c>
      <c r="C208" s="532"/>
      <c r="D208" s="532" t="s">
        <v>1387</v>
      </c>
      <c r="E208" s="532" t="s">
        <v>1388</v>
      </c>
      <c r="F208" s="390" t="s">
        <v>806</v>
      </c>
      <c r="G208" s="390" t="s">
        <v>785</v>
      </c>
      <c r="H208" s="381">
        <v>1</v>
      </c>
      <c r="I208" s="381">
        <v>5</v>
      </c>
      <c r="J208" s="381">
        <f t="shared" si="21"/>
        <v>1</v>
      </c>
      <c r="K208" s="381">
        <f t="shared" si="22"/>
        <v>5</v>
      </c>
      <c r="L208" s="644">
        <f>IFERROR(IF(B208="funkcna poziadavka",VLOOKUP(G208,MODULY_CBA!$B$3:$E$23,4,0)*H208/SUMIFS($H$3:$H$168,$G$3:$G$168,G208,$B$3:$B$168,B208),),)</f>
        <v>6</v>
      </c>
      <c r="M208" s="381">
        <f>IFERROR(IF(B208="Funkcna poziadavka",VLOOKUP(G208,MODULY_CBA!$B$3:$E$23,3,0),),)</f>
        <v>0.99499999999999988</v>
      </c>
      <c r="N208" s="381">
        <f>IFERROR(IF(B208="funkcna poziadavka",VLOOKUP(G208,MODULY_CBA!$B$3:$E$23,2,0),),)</f>
        <v>0.99</v>
      </c>
      <c r="O208" s="380">
        <f t="shared" si="23"/>
        <v>10.835549999999998</v>
      </c>
      <c r="P208" s="379">
        <f>IFERROR(O208*VLOOKUP(G208,MODULY_CBA!$B$3:$F$23,5,0),)</f>
        <v>216.71099999999996</v>
      </c>
      <c r="Q208" s="480" t="str">
        <f>IFERROR(VLOOKUP(G208,MODULY_CBA!$B$3:$I$23,6,0),"")</f>
        <v>Inkrement 1</v>
      </c>
      <c r="R208" s="383"/>
      <c r="S208" s="383"/>
      <c r="T208" s="383"/>
      <c r="U208" s="383"/>
      <c r="V208" s="383"/>
      <c r="W208" s="383"/>
      <c r="X208" s="383"/>
      <c r="Y208" s="383"/>
      <c r="Z208" s="383"/>
      <c r="AA208" s="383"/>
      <c r="AB208" s="383"/>
      <c r="AC208" s="383"/>
      <c r="AD208" s="383"/>
      <c r="AE208" s="383"/>
      <c r="AF208" s="376"/>
    </row>
    <row r="209" spans="1:32">
      <c r="A209" s="682" t="s">
        <v>1314</v>
      </c>
      <c r="B209" s="402" t="s">
        <v>749</v>
      </c>
      <c r="C209" s="532"/>
      <c r="D209" s="532" t="s">
        <v>1390</v>
      </c>
      <c r="E209" s="532" t="s">
        <v>1391</v>
      </c>
      <c r="F209" s="390" t="s">
        <v>806</v>
      </c>
      <c r="G209" s="390" t="s">
        <v>785</v>
      </c>
      <c r="H209" s="381">
        <v>1</v>
      </c>
      <c r="I209" s="381">
        <v>5</v>
      </c>
      <c r="J209" s="381">
        <f t="shared" si="21"/>
        <v>1</v>
      </c>
      <c r="K209" s="381">
        <f t="shared" si="22"/>
        <v>5</v>
      </c>
      <c r="L209" s="644">
        <f>IFERROR(IF(B209="funkcna poziadavka",VLOOKUP(G209,MODULY_CBA!$B$3:$E$23,4,0)*H209/SUMIFS($H$3:$H$168,$G$3:$G$168,G209,$B$3:$B$168,B209),),)</f>
        <v>6</v>
      </c>
      <c r="M209" s="381">
        <f>IFERROR(IF(B209="Funkcna poziadavka",VLOOKUP(G209,MODULY_CBA!$B$3:$E$23,3,0),),)</f>
        <v>0.99499999999999988</v>
      </c>
      <c r="N209" s="381">
        <f>IFERROR(IF(B209="funkcna poziadavka",VLOOKUP(G209,MODULY_CBA!$B$3:$E$23,2,0),),)</f>
        <v>0.99</v>
      </c>
      <c r="O209" s="380">
        <f t="shared" si="23"/>
        <v>10.835549999999998</v>
      </c>
      <c r="P209" s="379">
        <f>IFERROR(O209*VLOOKUP(G209,MODULY_CBA!$B$3:$F$23,5,0),)</f>
        <v>216.71099999999996</v>
      </c>
      <c r="Q209" s="480" t="str">
        <f>IFERROR(VLOOKUP(G209,MODULY_CBA!$B$3:$I$23,6,0),"")</f>
        <v>Inkrement 1</v>
      </c>
      <c r="R209" s="383"/>
      <c r="S209" s="383"/>
      <c r="T209" s="383"/>
      <c r="U209" s="383"/>
      <c r="V209" s="383"/>
      <c r="W209" s="383"/>
      <c r="X209" s="383"/>
      <c r="Y209" s="383"/>
      <c r="Z209" s="383"/>
      <c r="AA209" s="383"/>
      <c r="AB209" s="383"/>
      <c r="AC209" s="383"/>
      <c r="AD209" s="383"/>
      <c r="AE209" s="383"/>
      <c r="AF209" s="376"/>
    </row>
    <row r="210" spans="1:32">
      <c r="A210" s="682" t="s">
        <v>1316</v>
      </c>
      <c r="B210" s="402" t="s">
        <v>749</v>
      </c>
      <c r="C210" s="532"/>
      <c r="D210" s="532" t="s">
        <v>1393</v>
      </c>
      <c r="E210" s="532" t="s">
        <v>1394</v>
      </c>
      <c r="F210" s="390" t="s">
        <v>806</v>
      </c>
      <c r="G210" s="390" t="s">
        <v>785</v>
      </c>
      <c r="H210" s="381">
        <v>1</v>
      </c>
      <c r="I210" s="381">
        <v>5</v>
      </c>
      <c r="J210" s="381">
        <f t="shared" si="21"/>
        <v>1</v>
      </c>
      <c r="K210" s="381">
        <f t="shared" si="22"/>
        <v>5</v>
      </c>
      <c r="L210" s="644">
        <f>IFERROR(IF(B210="funkcna poziadavka",VLOOKUP(G210,MODULY_CBA!$B$3:$E$23,4,0)*H210/SUMIFS($H$3:$H$168,$G$3:$G$168,G210,$B$3:$B$168,B210),),)</f>
        <v>6</v>
      </c>
      <c r="M210" s="381">
        <f>IFERROR(IF(B210="Funkcna poziadavka",VLOOKUP(G210,MODULY_CBA!$B$3:$E$23,3,0),),)</f>
        <v>0.99499999999999988</v>
      </c>
      <c r="N210" s="381">
        <f>IFERROR(IF(B210="funkcna poziadavka",VLOOKUP(G210,MODULY_CBA!$B$3:$E$23,2,0),),)</f>
        <v>0.99</v>
      </c>
      <c r="O210" s="380">
        <f t="shared" si="23"/>
        <v>10.835549999999998</v>
      </c>
      <c r="P210" s="379">
        <f>IFERROR(O210*VLOOKUP(G210,MODULY_CBA!$B$3:$F$23,5,0),)</f>
        <v>216.71099999999996</v>
      </c>
      <c r="Q210" s="480" t="str">
        <f>IFERROR(VLOOKUP(G210,MODULY_CBA!$B$3:$I$23,6,0),"")</f>
        <v>Inkrement 1</v>
      </c>
      <c r="R210" s="383"/>
      <c r="S210" s="383"/>
      <c r="T210" s="383"/>
      <c r="U210" s="383"/>
      <c r="V210" s="383"/>
      <c r="W210" s="383"/>
      <c r="X210" s="383"/>
      <c r="Y210" s="383"/>
      <c r="Z210" s="383"/>
      <c r="AA210" s="383"/>
      <c r="AB210" s="383"/>
      <c r="AC210" s="383"/>
      <c r="AD210" s="383"/>
      <c r="AE210" s="383"/>
      <c r="AF210" s="376"/>
    </row>
    <row r="211" spans="1:32">
      <c r="A211" s="682" t="s">
        <v>1318</v>
      </c>
      <c r="B211" s="402" t="s">
        <v>749</v>
      </c>
      <c r="C211" s="532"/>
      <c r="D211" s="532" t="s">
        <v>859</v>
      </c>
      <c r="E211" s="532" t="s">
        <v>1396</v>
      </c>
      <c r="F211" s="390" t="s">
        <v>806</v>
      </c>
      <c r="G211" s="390" t="s">
        <v>785</v>
      </c>
      <c r="H211" s="381">
        <v>1</v>
      </c>
      <c r="I211" s="381">
        <v>5</v>
      </c>
      <c r="J211" s="381">
        <f t="shared" si="21"/>
        <v>1</v>
      </c>
      <c r="K211" s="381">
        <f t="shared" si="22"/>
        <v>5</v>
      </c>
      <c r="L211" s="644">
        <f>IFERROR(IF(B211="funkcna poziadavka",VLOOKUP(G211,MODULY_CBA!$B$3:$E$23,4,0)*H211/SUMIFS($H$3:$H$168,$G$3:$G$168,G211,$B$3:$B$168,B211),),)</f>
        <v>6</v>
      </c>
      <c r="M211" s="381">
        <f>IFERROR(IF(B211="Funkcna poziadavka",VLOOKUP(G211,MODULY_CBA!$B$3:$E$23,3,0),),)</f>
        <v>0.99499999999999988</v>
      </c>
      <c r="N211" s="381">
        <f>IFERROR(IF(B211="funkcna poziadavka",VLOOKUP(G211,MODULY_CBA!$B$3:$E$23,2,0),),)</f>
        <v>0.99</v>
      </c>
      <c r="O211" s="380">
        <f t="shared" si="23"/>
        <v>10.835549999999998</v>
      </c>
      <c r="P211" s="379">
        <f>IFERROR(O211*VLOOKUP(G211,MODULY_CBA!$B$3:$F$23,5,0),)</f>
        <v>216.71099999999996</v>
      </c>
      <c r="Q211" s="480" t="str">
        <f>IFERROR(VLOOKUP(G211,MODULY_CBA!$B$3:$I$23,6,0),"")</f>
        <v>Inkrement 1</v>
      </c>
      <c r="R211" s="383"/>
      <c r="S211" s="383"/>
      <c r="T211" s="383"/>
      <c r="U211" s="383"/>
      <c r="V211" s="383"/>
      <c r="W211" s="383"/>
      <c r="X211" s="383"/>
      <c r="Y211" s="383"/>
      <c r="Z211" s="383"/>
      <c r="AA211" s="383"/>
      <c r="AB211" s="383"/>
      <c r="AC211" s="383"/>
      <c r="AD211" s="383"/>
      <c r="AE211" s="383"/>
      <c r="AF211" s="376"/>
    </row>
    <row r="212" spans="1:32">
      <c r="A212" s="682" t="s">
        <v>1319</v>
      </c>
      <c r="B212" s="402" t="s">
        <v>749</v>
      </c>
      <c r="C212" s="532"/>
      <c r="D212" s="532" t="s">
        <v>862</v>
      </c>
      <c r="E212" s="532" t="s">
        <v>863</v>
      </c>
      <c r="F212" s="390" t="s">
        <v>806</v>
      </c>
      <c r="G212" s="390" t="s">
        <v>785</v>
      </c>
      <c r="H212" s="381">
        <v>1</v>
      </c>
      <c r="I212" s="381">
        <v>5</v>
      </c>
      <c r="J212" s="381">
        <f t="shared" si="21"/>
        <v>1</v>
      </c>
      <c r="K212" s="381">
        <f t="shared" si="22"/>
        <v>5</v>
      </c>
      <c r="L212" s="644">
        <f>IFERROR(IF(B212="funkcna poziadavka",VLOOKUP(G212,MODULY_CBA!$B$3:$E$23,4,0)*H212/SUMIFS($H$3:$H$168,$G$3:$G$168,G212,$B$3:$B$168,B212),),)</f>
        <v>6</v>
      </c>
      <c r="M212" s="381">
        <f>IFERROR(IF(B212="Funkcna poziadavka",VLOOKUP(G212,MODULY_CBA!$B$3:$E$23,3,0),),)</f>
        <v>0.99499999999999988</v>
      </c>
      <c r="N212" s="381">
        <f>IFERROR(IF(B212="funkcna poziadavka",VLOOKUP(G212,MODULY_CBA!$B$3:$E$23,2,0),),)</f>
        <v>0.99</v>
      </c>
      <c r="O212" s="380">
        <f t="shared" si="23"/>
        <v>10.835549999999998</v>
      </c>
      <c r="P212" s="379">
        <f>IFERROR(O212*VLOOKUP(G212,MODULY_CBA!$B$3:$F$23,5,0),)</f>
        <v>216.71099999999996</v>
      </c>
      <c r="Q212" s="480" t="str">
        <f>IFERROR(VLOOKUP(G212,MODULY_CBA!$B$3:$I$23,6,0),"")</f>
        <v>Inkrement 1</v>
      </c>
      <c r="R212" s="383"/>
      <c r="S212" s="383"/>
      <c r="T212" s="383"/>
      <c r="U212" s="383"/>
      <c r="V212" s="383"/>
      <c r="W212" s="383"/>
      <c r="X212" s="383"/>
      <c r="Y212" s="383"/>
      <c r="Z212" s="383"/>
      <c r="AA212" s="383"/>
      <c r="AB212" s="383"/>
      <c r="AC212" s="383"/>
      <c r="AD212" s="383"/>
      <c r="AE212" s="383"/>
      <c r="AF212" s="376"/>
    </row>
    <row r="213" spans="1:32">
      <c r="A213" s="682" t="s">
        <v>1321</v>
      </c>
      <c r="B213" s="402" t="s">
        <v>749</v>
      </c>
      <c r="C213" s="532"/>
      <c r="D213" s="532" t="s">
        <v>865</v>
      </c>
      <c r="E213" s="532" t="s">
        <v>866</v>
      </c>
      <c r="F213" s="390" t="s">
        <v>806</v>
      </c>
      <c r="G213" s="390" t="s">
        <v>785</v>
      </c>
      <c r="H213" s="381">
        <v>1</v>
      </c>
      <c r="I213" s="381">
        <v>5</v>
      </c>
      <c r="J213" s="381">
        <f t="shared" si="21"/>
        <v>1</v>
      </c>
      <c r="K213" s="381">
        <f t="shared" si="22"/>
        <v>5</v>
      </c>
      <c r="L213" s="644">
        <f>IFERROR(IF(B213="funkcna poziadavka",VLOOKUP(G213,MODULY_CBA!$B$3:$E$23,4,0)*H213/SUMIFS($H$3:$H$168,$G$3:$G$168,G213,$B$3:$B$168,B213),),)</f>
        <v>6</v>
      </c>
      <c r="M213" s="381">
        <f>IFERROR(IF(B213="Funkcna poziadavka",VLOOKUP(G213,MODULY_CBA!$B$3:$E$23,3,0),),)</f>
        <v>0.99499999999999988</v>
      </c>
      <c r="N213" s="381">
        <f>IFERROR(IF(B213="funkcna poziadavka",VLOOKUP(G213,MODULY_CBA!$B$3:$E$23,2,0),),)</f>
        <v>0.99</v>
      </c>
      <c r="O213" s="380">
        <f t="shared" si="23"/>
        <v>10.835549999999998</v>
      </c>
      <c r="P213" s="379">
        <f>IFERROR(O213*VLOOKUP(G213,MODULY_CBA!$B$3:$F$23,5,0),)</f>
        <v>216.71099999999996</v>
      </c>
      <c r="Q213" s="480" t="str">
        <f>IFERROR(VLOOKUP(G213,MODULY_CBA!$B$3:$I$23,6,0),"")</f>
        <v>Inkrement 1</v>
      </c>
      <c r="R213" s="383"/>
      <c r="S213" s="383"/>
      <c r="T213" s="383"/>
      <c r="U213" s="383"/>
      <c r="V213" s="383"/>
      <c r="W213" s="383"/>
      <c r="X213" s="383"/>
      <c r="Y213" s="383"/>
      <c r="Z213" s="383"/>
      <c r="AA213" s="383"/>
      <c r="AB213" s="383"/>
      <c r="AC213" s="383"/>
      <c r="AD213" s="383"/>
      <c r="AE213" s="383"/>
      <c r="AF213" s="376"/>
    </row>
    <row r="214" spans="1:32" ht="25.5">
      <c r="A214" s="682" t="s">
        <v>1323</v>
      </c>
      <c r="B214" s="402" t="s">
        <v>749</v>
      </c>
      <c r="C214" s="532"/>
      <c r="D214" s="532" t="s">
        <v>868</v>
      </c>
      <c r="E214" s="532" t="s">
        <v>1400</v>
      </c>
      <c r="F214" s="390" t="s">
        <v>806</v>
      </c>
      <c r="G214" s="390" t="s">
        <v>785</v>
      </c>
      <c r="H214" s="381">
        <v>1</v>
      </c>
      <c r="I214" s="381">
        <v>5</v>
      </c>
      <c r="J214" s="381">
        <f t="shared" si="21"/>
        <v>1</v>
      </c>
      <c r="K214" s="381">
        <f t="shared" si="22"/>
        <v>5</v>
      </c>
      <c r="L214" s="644">
        <f>IFERROR(IF(B214="funkcna poziadavka",VLOOKUP(G214,MODULY_CBA!$B$3:$E$23,4,0)*H214/SUMIFS($H$3:$H$168,$G$3:$G$168,G214,$B$3:$B$168,B214),),)</f>
        <v>6</v>
      </c>
      <c r="M214" s="381">
        <f>IFERROR(IF(B214="Funkcna poziadavka",VLOOKUP(G214,MODULY_CBA!$B$3:$E$23,3,0),),)</f>
        <v>0.99499999999999988</v>
      </c>
      <c r="N214" s="381">
        <f>IFERROR(IF(B214="funkcna poziadavka",VLOOKUP(G214,MODULY_CBA!$B$3:$E$23,2,0),),)</f>
        <v>0.99</v>
      </c>
      <c r="O214" s="380">
        <f t="shared" si="23"/>
        <v>10.835549999999998</v>
      </c>
      <c r="P214" s="379">
        <f>IFERROR(O214*VLOOKUP(G214,MODULY_CBA!$B$3:$F$23,5,0),)</f>
        <v>216.71099999999996</v>
      </c>
      <c r="Q214" s="480" t="str">
        <f>IFERROR(VLOOKUP(G214,MODULY_CBA!$B$3:$I$23,6,0),"")</f>
        <v>Inkrement 1</v>
      </c>
      <c r="R214" s="383"/>
      <c r="S214" s="383"/>
      <c r="T214" s="383"/>
      <c r="U214" s="383"/>
      <c r="V214" s="383"/>
      <c r="W214" s="383"/>
      <c r="X214" s="383"/>
      <c r="Y214" s="383"/>
      <c r="Z214" s="383"/>
      <c r="AA214" s="383"/>
      <c r="AB214" s="383"/>
      <c r="AC214" s="383"/>
      <c r="AD214" s="383"/>
      <c r="AE214" s="383"/>
      <c r="AF214" s="376"/>
    </row>
    <row r="215" spans="1:32" ht="25.5">
      <c r="A215" s="682" t="s">
        <v>1324</v>
      </c>
      <c r="B215" s="402" t="s">
        <v>749</v>
      </c>
      <c r="C215" s="532"/>
      <c r="D215" s="532" t="s">
        <v>871</v>
      </c>
      <c r="E215" s="532" t="s">
        <v>872</v>
      </c>
      <c r="F215" s="390" t="s">
        <v>806</v>
      </c>
      <c r="G215" s="390" t="s">
        <v>785</v>
      </c>
      <c r="H215" s="381">
        <v>1</v>
      </c>
      <c r="I215" s="381">
        <v>5</v>
      </c>
      <c r="J215" s="381">
        <f t="shared" si="21"/>
        <v>1</v>
      </c>
      <c r="K215" s="381">
        <f t="shared" si="22"/>
        <v>5</v>
      </c>
      <c r="L215" s="644">
        <f>IFERROR(IF(B215="funkcna poziadavka",VLOOKUP(G215,MODULY_CBA!$B$3:$E$23,4,0)*H215/SUMIFS($H$3:$H$168,$G$3:$G$168,G215,$B$3:$B$168,B215),),)</f>
        <v>6</v>
      </c>
      <c r="M215" s="381">
        <f>IFERROR(IF(B215="Funkcna poziadavka",VLOOKUP(G215,MODULY_CBA!$B$3:$E$23,3,0),),)</f>
        <v>0.99499999999999988</v>
      </c>
      <c r="N215" s="381">
        <f>IFERROR(IF(B215="funkcna poziadavka",VLOOKUP(G215,MODULY_CBA!$B$3:$E$23,2,0),),)</f>
        <v>0.99</v>
      </c>
      <c r="O215" s="380">
        <f t="shared" si="23"/>
        <v>10.835549999999998</v>
      </c>
      <c r="P215" s="379">
        <f>IFERROR(O215*VLOOKUP(G215,MODULY_CBA!$B$3:$F$23,5,0),)</f>
        <v>216.71099999999996</v>
      </c>
      <c r="Q215" s="480" t="str">
        <f>IFERROR(VLOOKUP(G215,MODULY_CBA!$B$3:$I$23,6,0),"")</f>
        <v>Inkrement 1</v>
      </c>
      <c r="R215" s="383"/>
      <c r="S215" s="383"/>
      <c r="T215" s="383"/>
      <c r="U215" s="383"/>
      <c r="V215" s="383"/>
      <c r="W215" s="383"/>
      <c r="X215" s="383"/>
      <c r="Y215" s="383"/>
      <c r="Z215" s="383"/>
      <c r="AA215" s="383"/>
      <c r="AB215" s="383"/>
      <c r="AC215" s="383"/>
      <c r="AD215" s="383"/>
      <c r="AE215" s="383"/>
      <c r="AF215" s="376"/>
    </row>
    <row r="216" spans="1:32">
      <c r="A216" s="682" t="s">
        <v>1325</v>
      </c>
      <c r="B216" s="402" t="s">
        <v>749</v>
      </c>
      <c r="C216" s="532"/>
      <c r="D216" s="532" t="s">
        <v>874</v>
      </c>
      <c r="E216" s="532" t="s">
        <v>875</v>
      </c>
      <c r="F216" s="390" t="s">
        <v>806</v>
      </c>
      <c r="G216" s="390" t="s">
        <v>785</v>
      </c>
      <c r="H216" s="381">
        <v>1</v>
      </c>
      <c r="I216" s="381">
        <v>5</v>
      </c>
      <c r="J216" s="381">
        <f t="shared" si="21"/>
        <v>1</v>
      </c>
      <c r="K216" s="381">
        <f t="shared" si="22"/>
        <v>5</v>
      </c>
      <c r="L216" s="644">
        <f>IFERROR(IF(B216="funkcna poziadavka",VLOOKUP(G216,MODULY_CBA!$B$3:$E$23,4,0)*H216/SUMIFS($H$3:$H$168,$G$3:$G$168,G216,$B$3:$B$168,B216),),)</f>
        <v>6</v>
      </c>
      <c r="M216" s="381">
        <f>IFERROR(IF(B216="Funkcna poziadavka",VLOOKUP(G216,MODULY_CBA!$B$3:$E$23,3,0),),)</f>
        <v>0.99499999999999988</v>
      </c>
      <c r="N216" s="381">
        <f>IFERROR(IF(B216="funkcna poziadavka",VLOOKUP(G216,MODULY_CBA!$B$3:$E$23,2,0),),)</f>
        <v>0.99</v>
      </c>
      <c r="O216" s="380">
        <f t="shared" si="23"/>
        <v>10.835549999999998</v>
      </c>
      <c r="P216" s="379">
        <f>IFERROR(O216*VLOOKUP(G216,MODULY_CBA!$B$3:$F$23,5,0),)</f>
        <v>216.71099999999996</v>
      </c>
      <c r="Q216" s="480" t="str">
        <f>IFERROR(VLOOKUP(G216,MODULY_CBA!$B$3:$I$23,6,0),"")</f>
        <v>Inkrement 1</v>
      </c>
      <c r="R216" s="383"/>
      <c r="S216" s="383"/>
      <c r="T216" s="383"/>
      <c r="U216" s="383"/>
      <c r="V216" s="383"/>
      <c r="W216" s="383"/>
      <c r="X216" s="383"/>
      <c r="Y216" s="383"/>
      <c r="Z216" s="383"/>
      <c r="AA216" s="383"/>
      <c r="AB216" s="383"/>
      <c r="AC216" s="383"/>
      <c r="AD216" s="383"/>
      <c r="AE216" s="383"/>
      <c r="AF216" s="376"/>
    </row>
    <row r="217" spans="1:32" ht="25.5">
      <c r="A217" s="682" t="s">
        <v>1327</v>
      </c>
      <c r="B217" s="402" t="s">
        <v>749</v>
      </c>
      <c r="C217" s="532"/>
      <c r="D217" s="532" t="s">
        <v>1404</v>
      </c>
      <c r="E217" s="532" t="s">
        <v>1405</v>
      </c>
      <c r="F217" s="390" t="s">
        <v>806</v>
      </c>
      <c r="G217" s="390" t="s">
        <v>785</v>
      </c>
      <c r="H217" s="381">
        <v>1</v>
      </c>
      <c r="I217" s="381">
        <v>5</v>
      </c>
      <c r="J217" s="381">
        <f t="shared" si="21"/>
        <v>1</v>
      </c>
      <c r="K217" s="381">
        <f t="shared" si="22"/>
        <v>5</v>
      </c>
      <c r="L217" s="644">
        <f>IFERROR(IF(B217="funkcna poziadavka",VLOOKUP(G217,MODULY_CBA!$B$3:$E$23,4,0)*H217/SUMIFS($H$3:$H$168,$G$3:$G$168,G217,$B$3:$B$168,B217),),)</f>
        <v>6</v>
      </c>
      <c r="M217" s="381">
        <f>IFERROR(IF(B217="Funkcna poziadavka",VLOOKUP(G217,MODULY_CBA!$B$3:$E$23,3,0),),)</f>
        <v>0.99499999999999988</v>
      </c>
      <c r="N217" s="381">
        <f>IFERROR(IF(B217="funkcna poziadavka",VLOOKUP(G217,MODULY_CBA!$B$3:$E$23,2,0),),)</f>
        <v>0.99</v>
      </c>
      <c r="O217" s="380">
        <f t="shared" si="23"/>
        <v>10.835549999999998</v>
      </c>
      <c r="P217" s="379">
        <f>IFERROR(O217*VLOOKUP(G217,MODULY_CBA!$B$3:$F$23,5,0),)</f>
        <v>216.71099999999996</v>
      </c>
      <c r="Q217" s="480" t="str">
        <f>IFERROR(VLOOKUP(G217,MODULY_CBA!$B$3:$I$23,6,0),"")</f>
        <v>Inkrement 1</v>
      </c>
      <c r="R217" s="383"/>
      <c r="S217" s="383"/>
      <c r="T217" s="383"/>
      <c r="U217" s="383"/>
      <c r="V217" s="383"/>
      <c r="W217" s="383"/>
      <c r="X217" s="383"/>
      <c r="Y217" s="383"/>
      <c r="Z217" s="383"/>
      <c r="AA217" s="383"/>
      <c r="AB217" s="383"/>
      <c r="AC217" s="383"/>
      <c r="AD217" s="383"/>
      <c r="AE217" s="383"/>
      <c r="AF217" s="376"/>
    </row>
    <row r="218" spans="1:32" ht="25.5">
      <c r="A218" s="682" t="s">
        <v>1329</v>
      </c>
      <c r="B218" s="402" t="s">
        <v>749</v>
      </c>
      <c r="C218" s="532"/>
      <c r="D218" s="532" t="s">
        <v>1407</v>
      </c>
      <c r="E218" s="532" t="s">
        <v>1408</v>
      </c>
      <c r="F218" s="390" t="s">
        <v>806</v>
      </c>
      <c r="G218" s="390" t="s">
        <v>785</v>
      </c>
      <c r="H218" s="381">
        <v>1</v>
      </c>
      <c r="I218" s="381">
        <v>5</v>
      </c>
      <c r="J218" s="381">
        <f t="shared" si="21"/>
        <v>1</v>
      </c>
      <c r="K218" s="381">
        <f t="shared" si="22"/>
        <v>5</v>
      </c>
      <c r="L218" s="644">
        <f>IFERROR(IF(B218="funkcna poziadavka",VLOOKUP(G218,MODULY_CBA!$B$3:$E$23,4,0)*H218/SUMIFS($H$3:$H$168,$G$3:$G$168,G218,$B$3:$B$168,B218),),)</f>
        <v>6</v>
      </c>
      <c r="M218" s="381">
        <f>IFERROR(IF(B218="Funkcna poziadavka",VLOOKUP(G218,MODULY_CBA!$B$3:$E$23,3,0),),)</f>
        <v>0.99499999999999988</v>
      </c>
      <c r="N218" s="381">
        <f>IFERROR(IF(B218="funkcna poziadavka",VLOOKUP(G218,MODULY_CBA!$B$3:$E$23,2,0),),)</f>
        <v>0.99</v>
      </c>
      <c r="O218" s="380">
        <f t="shared" si="23"/>
        <v>10.835549999999998</v>
      </c>
      <c r="P218" s="379">
        <f>IFERROR(O218*VLOOKUP(G218,MODULY_CBA!$B$3:$F$23,5,0),)</f>
        <v>216.71099999999996</v>
      </c>
      <c r="Q218" s="480" t="str">
        <f>IFERROR(VLOOKUP(G218,MODULY_CBA!$B$3:$I$23,6,0),"")</f>
        <v>Inkrement 1</v>
      </c>
      <c r="R218" s="383"/>
      <c r="S218" s="383"/>
      <c r="T218" s="383"/>
      <c r="U218" s="383"/>
      <c r="V218" s="383"/>
      <c r="W218" s="383"/>
      <c r="X218" s="383"/>
      <c r="Y218" s="383"/>
      <c r="Z218" s="383"/>
      <c r="AA218" s="383"/>
      <c r="AB218" s="383"/>
      <c r="AC218" s="383"/>
      <c r="AD218" s="383"/>
      <c r="AE218" s="383"/>
      <c r="AF218" s="376"/>
    </row>
    <row r="219" spans="1:32" ht="25.5">
      <c r="A219" s="682" t="s">
        <v>1332</v>
      </c>
      <c r="B219" s="402" t="s">
        <v>749</v>
      </c>
      <c r="C219" s="532"/>
      <c r="D219" s="532" t="s">
        <v>1410</v>
      </c>
      <c r="E219" s="532" t="s">
        <v>1411</v>
      </c>
      <c r="F219" s="390" t="s">
        <v>806</v>
      </c>
      <c r="G219" s="390" t="s">
        <v>785</v>
      </c>
      <c r="H219" s="381">
        <v>1</v>
      </c>
      <c r="I219" s="381">
        <v>5</v>
      </c>
      <c r="J219" s="381">
        <f t="shared" si="21"/>
        <v>1</v>
      </c>
      <c r="K219" s="381">
        <f t="shared" si="22"/>
        <v>5</v>
      </c>
      <c r="L219" s="644">
        <f>IFERROR(IF(B219="funkcna poziadavka",VLOOKUP(G219,MODULY_CBA!$B$3:$E$23,4,0)*H219/SUMIFS($H$3:$H$168,$G$3:$G$168,G219,$B$3:$B$168,B219),),)</f>
        <v>6</v>
      </c>
      <c r="M219" s="381">
        <f>IFERROR(IF(B219="Funkcna poziadavka",VLOOKUP(G219,MODULY_CBA!$B$3:$E$23,3,0),),)</f>
        <v>0.99499999999999988</v>
      </c>
      <c r="N219" s="381">
        <f>IFERROR(IF(B219="funkcna poziadavka",VLOOKUP(G219,MODULY_CBA!$B$3:$E$23,2,0),),)</f>
        <v>0.99</v>
      </c>
      <c r="O219" s="380">
        <f t="shared" si="23"/>
        <v>10.835549999999998</v>
      </c>
      <c r="P219" s="379">
        <f>IFERROR(O219*VLOOKUP(G219,MODULY_CBA!$B$3:$F$23,5,0),)</f>
        <v>216.71099999999996</v>
      </c>
      <c r="Q219" s="480" t="str">
        <f>IFERROR(VLOOKUP(G219,MODULY_CBA!$B$3:$I$23,6,0),"")</f>
        <v>Inkrement 1</v>
      </c>
      <c r="R219" s="383"/>
      <c r="S219" s="383"/>
      <c r="T219" s="383"/>
      <c r="U219" s="383"/>
      <c r="V219" s="383"/>
      <c r="W219" s="383"/>
      <c r="X219" s="383"/>
      <c r="Y219" s="383"/>
      <c r="Z219" s="383"/>
      <c r="AA219" s="383"/>
      <c r="AB219" s="383"/>
      <c r="AC219" s="383"/>
      <c r="AD219" s="383"/>
      <c r="AE219" s="383"/>
      <c r="AF219" s="376"/>
    </row>
    <row r="220" spans="1:32" ht="25.5">
      <c r="A220" s="682" t="s">
        <v>1335</v>
      </c>
      <c r="B220" s="402" t="s">
        <v>749</v>
      </c>
      <c r="C220" s="532"/>
      <c r="D220" s="532" t="s">
        <v>1413</v>
      </c>
      <c r="E220" s="532" t="s">
        <v>1414</v>
      </c>
      <c r="F220" s="390" t="s">
        <v>806</v>
      </c>
      <c r="G220" s="390" t="s">
        <v>785</v>
      </c>
      <c r="H220" s="381">
        <v>1</v>
      </c>
      <c r="I220" s="381">
        <v>5</v>
      </c>
      <c r="J220" s="381">
        <f t="shared" si="21"/>
        <v>1</v>
      </c>
      <c r="K220" s="381">
        <f t="shared" si="22"/>
        <v>5</v>
      </c>
      <c r="L220" s="644">
        <f>IFERROR(IF(B220="funkcna poziadavka",VLOOKUP(G220,MODULY_CBA!$B$3:$E$23,4,0)*H220/SUMIFS($H$3:$H$168,$G$3:$G$168,G220,$B$3:$B$168,B220),),)</f>
        <v>6</v>
      </c>
      <c r="M220" s="381">
        <f>IFERROR(IF(B220="Funkcna poziadavka",VLOOKUP(G220,MODULY_CBA!$B$3:$E$23,3,0),),)</f>
        <v>0.99499999999999988</v>
      </c>
      <c r="N220" s="381">
        <f>IFERROR(IF(B220="funkcna poziadavka",VLOOKUP(G220,MODULY_CBA!$B$3:$E$23,2,0),),)</f>
        <v>0.99</v>
      </c>
      <c r="O220" s="380">
        <f t="shared" si="23"/>
        <v>10.835549999999998</v>
      </c>
      <c r="P220" s="379">
        <f>IFERROR(O220*VLOOKUP(G220,MODULY_CBA!$B$3:$F$23,5,0),)</f>
        <v>216.71099999999996</v>
      </c>
      <c r="Q220" s="480" t="str">
        <f>IFERROR(VLOOKUP(G220,MODULY_CBA!$B$3:$I$23,6,0),"")</f>
        <v>Inkrement 1</v>
      </c>
      <c r="R220" s="383"/>
      <c r="S220" s="383"/>
      <c r="T220" s="383"/>
      <c r="U220" s="383"/>
      <c r="V220" s="383"/>
      <c r="W220" s="383"/>
      <c r="X220" s="383"/>
      <c r="Y220" s="383"/>
      <c r="Z220" s="383"/>
      <c r="AA220" s="383"/>
      <c r="AB220" s="383"/>
      <c r="AC220" s="383"/>
      <c r="AD220" s="383"/>
      <c r="AE220" s="383"/>
      <c r="AF220" s="376"/>
    </row>
    <row r="221" spans="1:32">
      <c r="A221" s="682" t="s">
        <v>1337</v>
      </c>
      <c r="B221" s="402" t="s">
        <v>749</v>
      </c>
      <c r="C221" s="532"/>
      <c r="D221" s="532" t="s">
        <v>1416</v>
      </c>
      <c r="E221" s="532" t="s">
        <v>911</v>
      </c>
      <c r="F221" s="390" t="s">
        <v>806</v>
      </c>
      <c r="G221" s="390" t="s">
        <v>785</v>
      </c>
      <c r="H221" s="381">
        <v>1</v>
      </c>
      <c r="I221" s="381">
        <v>5</v>
      </c>
      <c r="J221" s="381">
        <f t="shared" si="21"/>
        <v>1</v>
      </c>
      <c r="K221" s="381">
        <f t="shared" si="22"/>
        <v>5</v>
      </c>
      <c r="L221" s="644">
        <f>IFERROR(IF(B221="funkcna poziadavka",VLOOKUP(G221,MODULY_CBA!$B$3:$E$23,4,0)*H221/SUMIFS($H$3:$H$168,$G$3:$G$168,G221,$B$3:$B$168,B221),),)</f>
        <v>6</v>
      </c>
      <c r="M221" s="381">
        <f>IFERROR(IF(B221="Funkcna poziadavka",VLOOKUP(G221,MODULY_CBA!$B$3:$E$23,3,0),),)</f>
        <v>0.99499999999999988</v>
      </c>
      <c r="N221" s="381">
        <f>IFERROR(IF(B221="funkcna poziadavka",VLOOKUP(G221,MODULY_CBA!$B$3:$E$23,2,0),),)</f>
        <v>0.99</v>
      </c>
      <c r="O221" s="380">
        <f t="shared" si="23"/>
        <v>10.835549999999998</v>
      </c>
      <c r="P221" s="379">
        <f>IFERROR(O221*VLOOKUP(G221,MODULY_CBA!$B$3:$F$23,5,0),)</f>
        <v>216.71099999999996</v>
      </c>
      <c r="Q221" s="480" t="str">
        <f>IFERROR(VLOOKUP(G221,MODULY_CBA!$B$3:$I$23,6,0),"")</f>
        <v>Inkrement 1</v>
      </c>
      <c r="R221" s="383"/>
      <c r="S221" s="383"/>
      <c r="T221" s="383"/>
      <c r="U221" s="383"/>
      <c r="V221" s="383"/>
      <c r="W221" s="383"/>
      <c r="X221" s="383"/>
      <c r="Y221" s="383"/>
      <c r="Z221" s="383"/>
      <c r="AA221" s="383"/>
      <c r="AB221" s="383"/>
      <c r="AC221" s="383"/>
      <c r="AD221" s="383"/>
      <c r="AE221" s="383"/>
      <c r="AF221" s="376"/>
    </row>
    <row r="222" spans="1:32" ht="25.5">
      <c r="A222" s="682" t="s">
        <v>1339</v>
      </c>
      <c r="B222" s="402" t="s">
        <v>749</v>
      </c>
      <c r="C222" s="532"/>
      <c r="D222" s="532" t="s">
        <v>1418</v>
      </c>
      <c r="E222" s="532" t="s">
        <v>914</v>
      </c>
      <c r="F222" s="390" t="s">
        <v>806</v>
      </c>
      <c r="G222" s="390" t="s">
        <v>785</v>
      </c>
      <c r="H222" s="381">
        <v>1</v>
      </c>
      <c r="I222" s="381">
        <v>10</v>
      </c>
      <c r="J222" s="381">
        <f t="shared" si="21"/>
        <v>1</v>
      </c>
      <c r="K222" s="381">
        <f t="shared" si="22"/>
        <v>10</v>
      </c>
      <c r="L222" s="644">
        <f>IFERROR(IF(B222="funkcna poziadavka",VLOOKUP(G222,MODULY_CBA!$B$3:$E$23,4,0)*H222/SUMIFS($H$3:$H$168,$G$3:$G$168,G222,$B$3:$B$168,B222),),)</f>
        <v>6</v>
      </c>
      <c r="M222" s="381">
        <f>IFERROR(IF(B222="Funkcna poziadavka",VLOOKUP(G222,MODULY_CBA!$B$3:$E$23,3,0),),)</f>
        <v>0.99499999999999988</v>
      </c>
      <c r="N222" s="381">
        <f>IFERROR(IF(B222="funkcna poziadavka",VLOOKUP(G222,MODULY_CBA!$B$3:$E$23,2,0),),)</f>
        <v>0.99</v>
      </c>
      <c r="O222" s="380">
        <f t="shared" si="23"/>
        <v>15.760799999999998</v>
      </c>
      <c r="P222" s="379">
        <f>IFERROR(O222*VLOOKUP(G222,MODULY_CBA!$B$3:$F$23,5,0),)</f>
        <v>315.21599999999995</v>
      </c>
      <c r="Q222" s="480" t="str">
        <f>IFERROR(VLOOKUP(G222,MODULY_CBA!$B$3:$I$23,6,0),"")</f>
        <v>Inkrement 1</v>
      </c>
      <c r="R222" s="383"/>
      <c r="S222" s="383"/>
      <c r="T222" s="383"/>
      <c r="U222" s="383"/>
      <c r="V222" s="383"/>
      <c r="W222" s="383"/>
      <c r="X222" s="383"/>
      <c r="Y222" s="383"/>
      <c r="Z222" s="383"/>
      <c r="AA222" s="383"/>
      <c r="AB222" s="383"/>
      <c r="AC222" s="383"/>
      <c r="AD222" s="383"/>
      <c r="AE222" s="383"/>
      <c r="AF222" s="376"/>
    </row>
    <row r="223" spans="1:32" ht="38.25">
      <c r="A223" s="682" t="s">
        <v>1342</v>
      </c>
      <c r="B223" s="402" t="s">
        <v>749</v>
      </c>
      <c r="C223" s="532"/>
      <c r="D223" s="532" t="s">
        <v>916</v>
      </c>
      <c r="E223" s="532" t="s">
        <v>917</v>
      </c>
      <c r="F223" s="390" t="s">
        <v>806</v>
      </c>
      <c r="G223" s="390" t="s">
        <v>785</v>
      </c>
      <c r="H223" s="381">
        <v>1</v>
      </c>
      <c r="I223" s="381">
        <v>5</v>
      </c>
      <c r="J223" s="381">
        <f t="shared" si="21"/>
        <v>1</v>
      </c>
      <c r="K223" s="381">
        <f t="shared" si="22"/>
        <v>5</v>
      </c>
      <c r="L223" s="644">
        <f>IFERROR(IF(B223="funkcna poziadavka",VLOOKUP(G223,MODULY_CBA!$B$3:$E$23,4,0)*H223/SUMIFS($H$3:$H$168,$G$3:$G$168,G223,$B$3:$B$168,B223),),)</f>
        <v>6</v>
      </c>
      <c r="M223" s="381">
        <f>IFERROR(IF(B223="Funkcna poziadavka",VLOOKUP(G223,MODULY_CBA!$B$3:$E$23,3,0),),)</f>
        <v>0.99499999999999988</v>
      </c>
      <c r="N223" s="381">
        <f>IFERROR(IF(B223="funkcna poziadavka",VLOOKUP(G223,MODULY_CBA!$B$3:$E$23,2,0),),)</f>
        <v>0.99</v>
      </c>
      <c r="O223" s="380">
        <f t="shared" si="23"/>
        <v>10.835549999999998</v>
      </c>
      <c r="P223" s="379">
        <f>IFERROR(O223*VLOOKUP(G223,MODULY_CBA!$B$3:$F$23,5,0),)</f>
        <v>216.71099999999996</v>
      </c>
      <c r="Q223" s="480" t="str">
        <f>IFERROR(VLOOKUP(G223,MODULY_CBA!$B$3:$I$23,6,0),"")</f>
        <v>Inkrement 1</v>
      </c>
      <c r="R223" s="383"/>
      <c r="S223" s="383"/>
      <c r="T223" s="383"/>
      <c r="U223" s="383"/>
      <c r="V223" s="383"/>
      <c r="W223" s="383"/>
      <c r="X223" s="383"/>
      <c r="Y223" s="383"/>
      <c r="Z223" s="383"/>
      <c r="AA223" s="383"/>
      <c r="AB223" s="383"/>
      <c r="AC223" s="383"/>
      <c r="AD223" s="383"/>
      <c r="AE223" s="383"/>
      <c r="AF223" s="376"/>
    </row>
    <row r="224" spans="1:32" ht="25.5">
      <c r="A224" s="682" t="s">
        <v>1345</v>
      </c>
      <c r="B224" s="402" t="s">
        <v>749</v>
      </c>
      <c r="C224" s="532"/>
      <c r="D224" s="532" t="s">
        <v>1421</v>
      </c>
      <c r="E224" s="532" t="s">
        <v>1422</v>
      </c>
      <c r="F224" s="390" t="s">
        <v>806</v>
      </c>
      <c r="G224" s="390" t="s">
        <v>785</v>
      </c>
      <c r="H224" s="381">
        <v>1</v>
      </c>
      <c r="I224" s="381">
        <v>5</v>
      </c>
      <c r="J224" s="381">
        <f t="shared" si="21"/>
        <v>1</v>
      </c>
      <c r="K224" s="381">
        <f t="shared" si="22"/>
        <v>5</v>
      </c>
      <c r="L224" s="644">
        <f>IFERROR(IF(B224="funkcna poziadavka",VLOOKUP(G224,MODULY_CBA!$B$3:$E$23,4,0)*H224/SUMIFS($H$3:$H$168,$G$3:$G$168,G224,$B$3:$B$168,B224),),)</f>
        <v>6</v>
      </c>
      <c r="M224" s="381">
        <f>IFERROR(IF(B224="Funkcna poziadavka",VLOOKUP(G224,MODULY_CBA!$B$3:$E$23,3,0),),)</f>
        <v>0.99499999999999988</v>
      </c>
      <c r="N224" s="381">
        <f>IFERROR(IF(B224="funkcna poziadavka",VLOOKUP(G224,MODULY_CBA!$B$3:$E$23,2,0),),)</f>
        <v>0.99</v>
      </c>
      <c r="O224" s="380">
        <f t="shared" si="23"/>
        <v>10.835549999999998</v>
      </c>
      <c r="P224" s="379">
        <f>IFERROR(O224*VLOOKUP(G224,MODULY_CBA!$B$3:$F$23,5,0),)</f>
        <v>216.71099999999996</v>
      </c>
      <c r="Q224" s="480" t="str">
        <f>IFERROR(VLOOKUP(G224,MODULY_CBA!$B$3:$I$23,6,0),"")</f>
        <v>Inkrement 1</v>
      </c>
      <c r="R224" s="383"/>
      <c r="S224" s="383"/>
      <c r="T224" s="383"/>
      <c r="U224" s="383"/>
      <c r="V224" s="383"/>
      <c r="W224" s="383"/>
      <c r="X224" s="383"/>
      <c r="Y224" s="383"/>
      <c r="Z224" s="383"/>
      <c r="AA224" s="383"/>
      <c r="AB224" s="383"/>
      <c r="AC224" s="383"/>
      <c r="AD224" s="383"/>
      <c r="AE224" s="383"/>
      <c r="AF224" s="376"/>
    </row>
    <row r="225" spans="1:32" ht="38.25">
      <c r="A225" s="682" t="s">
        <v>1348</v>
      </c>
      <c r="B225" s="402" t="s">
        <v>749</v>
      </c>
      <c r="C225" s="532"/>
      <c r="D225" s="532" t="s">
        <v>1424</v>
      </c>
      <c r="E225" s="532" t="s">
        <v>976</v>
      </c>
      <c r="F225" s="390" t="s">
        <v>806</v>
      </c>
      <c r="G225" s="390" t="s">
        <v>785</v>
      </c>
      <c r="H225" s="381">
        <v>1</v>
      </c>
      <c r="I225" s="381">
        <v>10</v>
      </c>
      <c r="J225" s="381">
        <f t="shared" si="21"/>
        <v>1</v>
      </c>
      <c r="K225" s="381">
        <f t="shared" si="22"/>
        <v>10</v>
      </c>
      <c r="L225" s="644">
        <f>IFERROR(IF(B225="funkcna poziadavka",VLOOKUP(G225,MODULY_CBA!$B$3:$E$23,4,0)*H225/SUMIFS($H$3:$H$168,$G$3:$G$168,G225,$B$3:$B$168,B225),),)</f>
        <v>6</v>
      </c>
      <c r="M225" s="381">
        <f>IFERROR(IF(B225="Funkcna poziadavka",VLOOKUP(G225,MODULY_CBA!$B$3:$E$23,3,0),),)</f>
        <v>0.99499999999999988</v>
      </c>
      <c r="N225" s="381">
        <f>IFERROR(IF(B225="funkcna poziadavka",VLOOKUP(G225,MODULY_CBA!$B$3:$E$23,2,0),),)</f>
        <v>0.99</v>
      </c>
      <c r="O225" s="380">
        <f t="shared" si="23"/>
        <v>15.760799999999998</v>
      </c>
      <c r="P225" s="379">
        <f>IFERROR(O225*VLOOKUP(G225,MODULY_CBA!$B$3:$F$23,5,0),)</f>
        <v>315.21599999999995</v>
      </c>
      <c r="Q225" s="480" t="str">
        <f>IFERROR(VLOOKUP(G225,MODULY_CBA!$B$3:$I$23,6,0),"")</f>
        <v>Inkrement 1</v>
      </c>
      <c r="R225" s="383"/>
      <c r="S225" s="383"/>
      <c r="T225" s="383"/>
      <c r="U225" s="383"/>
      <c r="V225" s="383"/>
      <c r="W225" s="383"/>
      <c r="X225" s="383"/>
      <c r="Y225" s="383"/>
      <c r="Z225" s="383"/>
      <c r="AA225" s="383"/>
      <c r="AB225" s="383"/>
      <c r="AC225" s="383"/>
      <c r="AD225" s="383"/>
      <c r="AE225" s="383"/>
      <c r="AF225" s="376"/>
    </row>
    <row r="226" spans="1:32">
      <c r="A226" s="682" t="s">
        <v>1351</v>
      </c>
      <c r="B226" s="402" t="s">
        <v>749</v>
      </c>
      <c r="C226" s="532"/>
      <c r="D226" s="532" t="s">
        <v>1026</v>
      </c>
      <c r="E226" s="532" t="s">
        <v>1027</v>
      </c>
      <c r="F226" s="390" t="s">
        <v>806</v>
      </c>
      <c r="G226" s="390" t="s">
        <v>785</v>
      </c>
      <c r="H226" s="381">
        <v>1</v>
      </c>
      <c r="I226" s="381">
        <v>5</v>
      </c>
      <c r="J226" s="381">
        <f t="shared" si="21"/>
        <v>1</v>
      </c>
      <c r="K226" s="381">
        <f t="shared" si="22"/>
        <v>5</v>
      </c>
      <c r="L226" s="644">
        <f>IFERROR(IF(B226="funkcna poziadavka",VLOOKUP(G226,MODULY_CBA!$B$3:$E$23,4,0)*H226/SUMIFS($H$3:$H$168,$G$3:$G$168,G226,$B$3:$B$168,B226),),)</f>
        <v>6</v>
      </c>
      <c r="M226" s="381">
        <f>IFERROR(IF(B226="Funkcna poziadavka",VLOOKUP(G226,MODULY_CBA!$B$3:$E$23,3,0),),)</f>
        <v>0.99499999999999988</v>
      </c>
      <c r="N226" s="381">
        <f>IFERROR(IF(B226="funkcna poziadavka",VLOOKUP(G226,MODULY_CBA!$B$3:$E$23,2,0),),)</f>
        <v>0.99</v>
      </c>
      <c r="O226" s="380">
        <f t="shared" si="23"/>
        <v>10.835549999999998</v>
      </c>
      <c r="P226" s="379">
        <f>IFERROR(O226*VLOOKUP(G226,MODULY_CBA!$B$3:$F$23,5,0),)</f>
        <v>216.71099999999996</v>
      </c>
      <c r="Q226" s="480" t="str">
        <f>IFERROR(VLOOKUP(G226,MODULY_CBA!$B$3:$I$23,6,0),"")</f>
        <v>Inkrement 1</v>
      </c>
      <c r="R226" s="383"/>
      <c r="S226" s="383"/>
      <c r="T226" s="383"/>
      <c r="U226" s="383"/>
      <c r="V226" s="383"/>
      <c r="W226" s="383"/>
      <c r="X226" s="383"/>
      <c r="Y226" s="383"/>
      <c r="Z226" s="383"/>
      <c r="AA226" s="383"/>
      <c r="AB226" s="383"/>
      <c r="AC226" s="383"/>
      <c r="AD226" s="383"/>
      <c r="AE226" s="383"/>
      <c r="AF226" s="376"/>
    </row>
    <row r="227" spans="1:32" ht="38.25">
      <c r="A227" s="682" t="s">
        <v>1354</v>
      </c>
      <c r="B227" s="402" t="s">
        <v>749</v>
      </c>
      <c r="C227" s="532"/>
      <c r="D227" s="532" t="s">
        <v>1032</v>
      </c>
      <c r="E227" s="532" t="s">
        <v>1033</v>
      </c>
      <c r="F227" s="390" t="s">
        <v>806</v>
      </c>
      <c r="G227" s="390" t="s">
        <v>785</v>
      </c>
      <c r="H227" s="381">
        <v>1</v>
      </c>
      <c r="I227" s="381">
        <v>5</v>
      </c>
      <c r="J227" s="381">
        <f t="shared" si="21"/>
        <v>1</v>
      </c>
      <c r="K227" s="381">
        <f t="shared" si="22"/>
        <v>5</v>
      </c>
      <c r="L227" s="644">
        <f>IFERROR(IF(B227="funkcna poziadavka",VLOOKUP(G227,MODULY_CBA!$B$3:$E$23,4,0)*H227/SUMIFS($H$3:$H$168,$G$3:$G$168,G227,$B$3:$B$168,B227),),)</f>
        <v>6</v>
      </c>
      <c r="M227" s="381">
        <f>IFERROR(IF(B227="Funkcna poziadavka",VLOOKUP(G227,MODULY_CBA!$B$3:$E$23,3,0),),)</f>
        <v>0.99499999999999988</v>
      </c>
      <c r="N227" s="381">
        <f>IFERROR(IF(B227="funkcna poziadavka",VLOOKUP(G227,MODULY_CBA!$B$3:$E$23,2,0),),)</f>
        <v>0.99</v>
      </c>
      <c r="O227" s="380">
        <f t="shared" si="23"/>
        <v>10.835549999999998</v>
      </c>
      <c r="P227" s="379">
        <f>IFERROR(O227*VLOOKUP(G227,MODULY_CBA!$B$3:$F$23,5,0),)</f>
        <v>216.71099999999996</v>
      </c>
      <c r="Q227" s="480" t="str">
        <f>IFERROR(VLOOKUP(G227,MODULY_CBA!$B$3:$I$23,6,0),"")</f>
        <v>Inkrement 1</v>
      </c>
      <c r="R227" s="383"/>
      <c r="S227" s="383"/>
      <c r="T227" s="383"/>
      <c r="U227" s="383"/>
      <c r="V227" s="383"/>
      <c r="W227" s="383"/>
      <c r="X227" s="383"/>
      <c r="Y227" s="383"/>
      <c r="Z227" s="383"/>
      <c r="AA227" s="383"/>
      <c r="AB227" s="383"/>
      <c r="AC227" s="383"/>
      <c r="AD227" s="383"/>
      <c r="AE227" s="383"/>
      <c r="AF227" s="376"/>
    </row>
    <row r="228" spans="1:32">
      <c r="A228" s="682" t="s">
        <v>1357</v>
      </c>
      <c r="B228" s="402" t="s">
        <v>749</v>
      </c>
      <c r="C228" s="532"/>
      <c r="D228" s="532" t="s">
        <v>1035</v>
      </c>
      <c r="E228" s="532" t="s">
        <v>1036</v>
      </c>
      <c r="F228" s="390" t="s">
        <v>806</v>
      </c>
      <c r="G228" s="390" t="s">
        <v>785</v>
      </c>
      <c r="H228" s="381">
        <v>1</v>
      </c>
      <c r="I228" s="381">
        <v>5</v>
      </c>
      <c r="J228" s="381">
        <f t="shared" si="21"/>
        <v>1</v>
      </c>
      <c r="K228" s="381">
        <f t="shared" si="22"/>
        <v>5</v>
      </c>
      <c r="L228" s="644">
        <f>IFERROR(IF(B228="funkcna poziadavka",VLOOKUP(G228,MODULY_CBA!$B$3:$E$23,4,0)*H228/SUMIFS($H$3:$H$168,$G$3:$G$168,G228,$B$3:$B$168,B228),),)</f>
        <v>6</v>
      </c>
      <c r="M228" s="381">
        <f>IFERROR(IF(B228="Funkcna poziadavka",VLOOKUP(G228,MODULY_CBA!$B$3:$E$23,3,0),),)</f>
        <v>0.99499999999999988</v>
      </c>
      <c r="N228" s="381">
        <f>IFERROR(IF(B228="funkcna poziadavka",VLOOKUP(G228,MODULY_CBA!$B$3:$E$23,2,0),),)</f>
        <v>0.99</v>
      </c>
      <c r="O228" s="380">
        <f t="shared" si="23"/>
        <v>10.835549999999998</v>
      </c>
      <c r="P228" s="379">
        <f>IFERROR(O228*VLOOKUP(G228,MODULY_CBA!$B$3:$F$23,5,0),)</f>
        <v>216.71099999999996</v>
      </c>
      <c r="Q228" s="480" t="str">
        <f>IFERROR(VLOOKUP(G228,MODULY_CBA!$B$3:$I$23,6,0),"")</f>
        <v>Inkrement 1</v>
      </c>
      <c r="R228" s="383"/>
      <c r="S228" s="383"/>
      <c r="T228" s="383"/>
      <c r="U228" s="383"/>
      <c r="V228" s="383"/>
      <c r="W228" s="383"/>
      <c r="X228" s="383"/>
      <c r="Y228" s="383"/>
      <c r="Z228" s="383"/>
      <c r="AA228" s="383"/>
      <c r="AB228" s="383"/>
      <c r="AC228" s="383"/>
      <c r="AD228" s="383"/>
      <c r="AE228" s="383"/>
      <c r="AF228" s="376"/>
    </row>
    <row r="229" spans="1:32" ht="25.5">
      <c r="A229" s="682" t="s">
        <v>1359</v>
      </c>
      <c r="B229" s="402" t="s">
        <v>749</v>
      </c>
      <c r="C229" s="532"/>
      <c r="D229" s="390" t="s">
        <v>1038</v>
      </c>
      <c r="E229" s="532" t="s">
        <v>1039</v>
      </c>
      <c r="F229" s="390" t="s">
        <v>806</v>
      </c>
      <c r="G229" s="390" t="s">
        <v>785</v>
      </c>
      <c r="H229" s="381">
        <v>1</v>
      </c>
      <c r="I229" s="381">
        <v>5</v>
      </c>
      <c r="J229" s="381">
        <f t="shared" si="21"/>
        <v>1</v>
      </c>
      <c r="K229" s="381">
        <f t="shared" si="22"/>
        <v>5</v>
      </c>
      <c r="L229" s="644">
        <f>IFERROR(IF(B229="funkcna poziadavka",VLOOKUP(G229,MODULY_CBA!$B$3:$E$23,4,0)*H229/SUMIFS($H$3:$H$168,$G$3:$G$168,G229,$B$3:$B$168,B229),),)</f>
        <v>6</v>
      </c>
      <c r="M229" s="381">
        <f>IFERROR(IF(B229="Funkcna poziadavka",VLOOKUP(G229,MODULY_CBA!$B$3:$E$23,3,0),),)</f>
        <v>0.99499999999999988</v>
      </c>
      <c r="N229" s="381">
        <f>IFERROR(IF(B229="funkcna poziadavka",VLOOKUP(G229,MODULY_CBA!$B$3:$E$23,2,0),),)</f>
        <v>0.99</v>
      </c>
      <c r="O229" s="380">
        <f t="shared" si="23"/>
        <v>10.835549999999998</v>
      </c>
      <c r="P229" s="379">
        <f>IFERROR(O229*VLOOKUP(G229,MODULY_CBA!$B$3:$F$23,5,0),)</f>
        <v>216.71099999999996</v>
      </c>
      <c r="Q229" s="480" t="str">
        <f>IFERROR(VLOOKUP(G229,MODULY_CBA!$B$3:$I$23,6,0),"")</f>
        <v>Inkrement 1</v>
      </c>
      <c r="R229" s="383"/>
      <c r="S229" s="383"/>
      <c r="T229" s="383"/>
      <c r="U229" s="383"/>
      <c r="V229" s="383"/>
      <c r="W229" s="383"/>
      <c r="X229" s="383"/>
      <c r="Y229" s="383"/>
      <c r="Z229" s="383"/>
      <c r="AA229" s="383"/>
      <c r="AB229" s="383"/>
      <c r="AC229" s="383"/>
      <c r="AD229" s="383"/>
      <c r="AE229" s="383"/>
      <c r="AF229" s="376"/>
    </row>
    <row r="230" spans="1:32" ht="38.25">
      <c r="A230" s="682" t="s">
        <v>1361</v>
      </c>
      <c r="B230" s="402" t="s">
        <v>749</v>
      </c>
      <c r="C230" s="532"/>
      <c r="D230" s="533" t="s">
        <v>1041</v>
      </c>
      <c r="E230" s="532" t="s">
        <v>1042</v>
      </c>
      <c r="F230" s="390" t="s">
        <v>806</v>
      </c>
      <c r="G230" s="390" t="s">
        <v>785</v>
      </c>
      <c r="H230" s="381">
        <v>1</v>
      </c>
      <c r="I230" s="381">
        <v>5</v>
      </c>
      <c r="J230" s="381">
        <f t="shared" si="21"/>
        <v>1</v>
      </c>
      <c r="K230" s="381">
        <f t="shared" si="22"/>
        <v>5</v>
      </c>
      <c r="L230" s="644">
        <f>IFERROR(IF(B230="funkcna poziadavka",VLOOKUP(G230,MODULY_CBA!$B$3:$E$23,4,0)*H230/SUMIFS($H$3:$H$168,$G$3:$G$168,G230,$B$3:$B$168,B230),),)</f>
        <v>6</v>
      </c>
      <c r="M230" s="381">
        <f>IFERROR(IF(B230="Funkcna poziadavka",VLOOKUP(G230,MODULY_CBA!$B$3:$E$23,3,0),),)</f>
        <v>0.99499999999999988</v>
      </c>
      <c r="N230" s="381">
        <f>IFERROR(IF(B230="funkcna poziadavka",VLOOKUP(G230,MODULY_CBA!$B$3:$E$23,2,0),),)</f>
        <v>0.99</v>
      </c>
      <c r="O230" s="380">
        <f t="shared" si="23"/>
        <v>10.835549999999998</v>
      </c>
      <c r="P230" s="379">
        <f>IFERROR(O230*VLOOKUP(G230,MODULY_CBA!$B$3:$F$23,5,0),)</f>
        <v>216.71099999999996</v>
      </c>
      <c r="Q230" s="480" t="str">
        <f>IFERROR(VLOOKUP(G230,MODULY_CBA!$B$3:$I$23,6,0),"")</f>
        <v>Inkrement 1</v>
      </c>
      <c r="R230" s="383"/>
      <c r="S230" s="383"/>
      <c r="T230" s="383"/>
      <c r="U230" s="383"/>
      <c r="V230" s="383"/>
      <c r="W230" s="383"/>
      <c r="X230" s="383"/>
      <c r="Y230" s="383"/>
      <c r="Z230" s="383"/>
      <c r="AA230" s="383"/>
      <c r="AB230" s="383"/>
      <c r="AC230" s="383"/>
      <c r="AD230" s="383"/>
      <c r="AE230" s="383"/>
      <c r="AF230" s="376"/>
    </row>
    <row r="231" spans="1:32">
      <c r="A231" s="682" t="s">
        <v>1363</v>
      </c>
      <c r="B231" s="402" t="s">
        <v>749</v>
      </c>
      <c r="C231" s="532"/>
      <c r="D231" s="533" t="s">
        <v>1044</v>
      </c>
      <c r="E231" s="532" t="s">
        <v>1045</v>
      </c>
      <c r="F231" s="390" t="s">
        <v>806</v>
      </c>
      <c r="G231" s="390" t="s">
        <v>785</v>
      </c>
      <c r="H231" s="381">
        <v>1</v>
      </c>
      <c r="I231" s="381">
        <v>5</v>
      </c>
      <c r="J231" s="381">
        <f t="shared" si="21"/>
        <v>1</v>
      </c>
      <c r="K231" s="381">
        <f t="shared" si="22"/>
        <v>5</v>
      </c>
      <c r="L231" s="644">
        <f>IFERROR(IF(B231="funkcna poziadavka",VLOOKUP(G231,MODULY_CBA!$B$3:$E$23,4,0)*H231/SUMIFS($H$3:$H$168,$G$3:$G$168,G231,$B$3:$B$168,B231),),)</f>
        <v>6</v>
      </c>
      <c r="M231" s="381">
        <f>IFERROR(IF(B231="Funkcna poziadavka",VLOOKUP(G231,MODULY_CBA!$B$3:$E$23,3,0),),)</f>
        <v>0.99499999999999988</v>
      </c>
      <c r="N231" s="381">
        <f>IFERROR(IF(B231="funkcna poziadavka",VLOOKUP(G231,MODULY_CBA!$B$3:$E$23,2,0),),)</f>
        <v>0.99</v>
      </c>
      <c r="O231" s="380">
        <f t="shared" si="23"/>
        <v>10.835549999999998</v>
      </c>
      <c r="P231" s="379">
        <f>IFERROR(O231*VLOOKUP(G231,MODULY_CBA!$B$3:$F$23,5,0),)</f>
        <v>216.71099999999996</v>
      </c>
      <c r="Q231" s="480" t="str">
        <f>IFERROR(VLOOKUP(G231,MODULY_CBA!$B$3:$I$23,6,0),"")</f>
        <v>Inkrement 1</v>
      </c>
      <c r="R231" s="383"/>
      <c r="S231" s="383"/>
      <c r="T231" s="383"/>
      <c r="U231" s="383"/>
      <c r="V231" s="383"/>
      <c r="W231" s="383"/>
      <c r="X231" s="383"/>
      <c r="Y231" s="383"/>
      <c r="Z231" s="383"/>
      <c r="AA231" s="383"/>
      <c r="AB231" s="383"/>
      <c r="AC231" s="383"/>
      <c r="AD231" s="383"/>
      <c r="AE231" s="383"/>
      <c r="AF231" s="376"/>
    </row>
    <row r="232" spans="1:32">
      <c r="A232" s="682" t="s">
        <v>1365</v>
      </c>
      <c r="B232" s="402" t="s">
        <v>749</v>
      </c>
      <c r="C232" s="532"/>
      <c r="D232" s="533" t="s">
        <v>1432</v>
      </c>
      <c r="E232" s="532" t="s">
        <v>1179</v>
      </c>
      <c r="F232" s="390" t="s">
        <v>806</v>
      </c>
      <c r="G232" s="390" t="s">
        <v>785</v>
      </c>
      <c r="H232" s="381">
        <v>1</v>
      </c>
      <c r="I232" s="381">
        <v>5</v>
      </c>
      <c r="J232" s="381">
        <f t="shared" si="21"/>
        <v>1</v>
      </c>
      <c r="K232" s="381">
        <f t="shared" si="22"/>
        <v>5</v>
      </c>
      <c r="L232" s="644">
        <f>IFERROR(IF(B232="funkcna poziadavka",VLOOKUP(G232,MODULY_CBA!$B$3:$E$23,4,0)*H232/SUMIFS($H$3:$H$168,$G$3:$G$168,G232,$B$3:$B$168,B232),),)</f>
        <v>6</v>
      </c>
      <c r="M232" s="381">
        <f>IFERROR(IF(B232="Funkcna poziadavka",VLOOKUP(G232,MODULY_CBA!$B$3:$E$23,3,0),),)</f>
        <v>0.99499999999999988</v>
      </c>
      <c r="N232" s="381">
        <f>IFERROR(IF(B232="funkcna poziadavka",VLOOKUP(G232,MODULY_CBA!$B$3:$E$23,2,0),),)</f>
        <v>0.99</v>
      </c>
      <c r="O232" s="380">
        <f t="shared" si="23"/>
        <v>10.835549999999998</v>
      </c>
      <c r="P232" s="379">
        <f>IFERROR(O232*VLOOKUP(G232,MODULY_CBA!$B$3:$F$23,5,0),)</f>
        <v>216.71099999999996</v>
      </c>
      <c r="Q232" s="480" t="str">
        <f>IFERROR(VLOOKUP(G232,MODULY_CBA!$B$3:$I$23,6,0),"")</f>
        <v>Inkrement 1</v>
      </c>
      <c r="R232" s="383"/>
      <c r="S232" s="383"/>
      <c r="T232" s="383"/>
      <c r="U232" s="383"/>
      <c r="V232" s="383"/>
      <c r="W232" s="383"/>
      <c r="X232" s="383"/>
      <c r="Y232" s="383"/>
      <c r="Z232" s="383"/>
      <c r="AA232" s="383"/>
      <c r="AB232" s="383"/>
      <c r="AC232" s="383"/>
      <c r="AD232" s="383"/>
      <c r="AE232" s="383"/>
      <c r="AF232" s="376"/>
    </row>
    <row r="233" spans="1:32">
      <c r="A233" s="682" t="s">
        <v>1368</v>
      </c>
      <c r="B233" s="402" t="s">
        <v>749</v>
      </c>
      <c r="C233" s="532"/>
      <c r="D233" s="533" t="s">
        <v>1050</v>
      </c>
      <c r="E233" s="532" t="s">
        <v>1051</v>
      </c>
      <c r="F233" s="390" t="s">
        <v>806</v>
      </c>
      <c r="G233" s="390" t="s">
        <v>785</v>
      </c>
      <c r="H233" s="381">
        <v>1</v>
      </c>
      <c r="I233" s="381">
        <v>5</v>
      </c>
      <c r="J233" s="381">
        <f t="shared" si="21"/>
        <v>1</v>
      </c>
      <c r="K233" s="381">
        <f t="shared" si="22"/>
        <v>5</v>
      </c>
      <c r="L233" s="644">
        <f>IFERROR(IF(B233="funkcna poziadavka",VLOOKUP(G233,MODULY_CBA!$B$3:$E$23,4,0)*H233/SUMIFS($H$3:$H$168,$G$3:$G$168,G233,$B$3:$B$168,B233),),)</f>
        <v>6</v>
      </c>
      <c r="M233" s="381">
        <f>IFERROR(IF(B233="Funkcna poziadavka",VLOOKUP(G233,MODULY_CBA!$B$3:$E$23,3,0),),)</f>
        <v>0.99499999999999988</v>
      </c>
      <c r="N233" s="381">
        <f>IFERROR(IF(B233="funkcna poziadavka",VLOOKUP(G233,MODULY_CBA!$B$3:$E$23,2,0),),)</f>
        <v>0.99</v>
      </c>
      <c r="O233" s="380">
        <f t="shared" si="23"/>
        <v>10.835549999999998</v>
      </c>
      <c r="P233" s="379">
        <f>IFERROR(O233*VLOOKUP(G233,MODULY_CBA!$B$3:$F$23,5,0),)</f>
        <v>216.71099999999996</v>
      </c>
      <c r="Q233" s="480" t="str">
        <f>IFERROR(VLOOKUP(G233,MODULY_CBA!$B$3:$I$23,6,0),"")</f>
        <v>Inkrement 1</v>
      </c>
      <c r="R233" s="383"/>
      <c r="S233" s="383"/>
      <c r="T233" s="383"/>
      <c r="U233" s="383"/>
      <c r="V233" s="383"/>
      <c r="W233" s="383"/>
      <c r="X233" s="383"/>
      <c r="Y233" s="383"/>
      <c r="Z233" s="383"/>
      <c r="AA233" s="383"/>
      <c r="AB233" s="383"/>
      <c r="AC233" s="383"/>
      <c r="AD233" s="383"/>
      <c r="AE233" s="383"/>
      <c r="AF233" s="376"/>
    </row>
    <row r="234" spans="1:32" ht="25.5">
      <c r="A234" s="682" t="s">
        <v>1371</v>
      </c>
      <c r="B234" s="402" t="s">
        <v>749</v>
      </c>
      <c r="C234" s="532"/>
      <c r="D234" s="533" t="s">
        <v>1053</v>
      </c>
      <c r="E234" s="532" t="s">
        <v>1054</v>
      </c>
      <c r="F234" s="390" t="s">
        <v>806</v>
      </c>
      <c r="G234" s="390" t="s">
        <v>785</v>
      </c>
      <c r="H234" s="381">
        <v>1</v>
      </c>
      <c r="I234" s="381">
        <v>5</v>
      </c>
      <c r="J234" s="381">
        <f t="shared" si="21"/>
        <v>1</v>
      </c>
      <c r="K234" s="381">
        <f t="shared" si="22"/>
        <v>5</v>
      </c>
      <c r="L234" s="644">
        <f>IFERROR(IF(B234="funkcna poziadavka",VLOOKUP(G234,MODULY_CBA!$B$3:$E$23,4,0)*H234/SUMIFS($H$3:$H$168,$G$3:$G$168,G234,$B$3:$B$168,B234),),)</f>
        <v>6</v>
      </c>
      <c r="M234" s="381">
        <f>IFERROR(IF(B234="Funkcna poziadavka",VLOOKUP(G234,MODULY_CBA!$B$3:$E$23,3,0),),)</f>
        <v>0.99499999999999988</v>
      </c>
      <c r="N234" s="381">
        <f>IFERROR(IF(B234="funkcna poziadavka",VLOOKUP(G234,MODULY_CBA!$B$3:$E$23,2,0),),)</f>
        <v>0.99</v>
      </c>
      <c r="O234" s="380">
        <f t="shared" si="23"/>
        <v>10.835549999999998</v>
      </c>
      <c r="P234" s="379">
        <f>IFERROR(O234*VLOOKUP(G234,MODULY_CBA!$B$3:$F$23,5,0),)</f>
        <v>216.71099999999996</v>
      </c>
      <c r="Q234" s="480" t="str">
        <f>IFERROR(VLOOKUP(G234,MODULY_CBA!$B$3:$I$23,6,0),"")</f>
        <v>Inkrement 1</v>
      </c>
      <c r="R234" s="383"/>
      <c r="S234" s="383"/>
      <c r="T234" s="383"/>
      <c r="U234" s="383"/>
      <c r="V234" s="383"/>
      <c r="W234" s="383"/>
      <c r="X234" s="383"/>
      <c r="Y234" s="383"/>
      <c r="Z234" s="383"/>
      <c r="AA234" s="383"/>
      <c r="AB234" s="383"/>
      <c r="AC234" s="383"/>
      <c r="AD234" s="383"/>
      <c r="AE234" s="383"/>
      <c r="AF234" s="376"/>
    </row>
    <row r="235" spans="1:32">
      <c r="A235" s="682" t="s">
        <v>1374</v>
      </c>
      <c r="B235" s="402" t="s">
        <v>749</v>
      </c>
      <c r="C235" s="532"/>
      <c r="D235" s="533" t="s">
        <v>1056</v>
      </c>
      <c r="E235" s="532" t="s">
        <v>1057</v>
      </c>
      <c r="F235" s="390" t="s">
        <v>806</v>
      </c>
      <c r="G235" s="390" t="s">
        <v>785</v>
      </c>
      <c r="H235" s="381">
        <v>1</v>
      </c>
      <c r="I235" s="381">
        <v>5</v>
      </c>
      <c r="J235" s="381">
        <f t="shared" si="21"/>
        <v>1</v>
      </c>
      <c r="K235" s="381">
        <f t="shared" si="22"/>
        <v>5</v>
      </c>
      <c r="L235" s="644">
        <f>IFERROR(IF(B235="funkcna poziadavka",VLOOKUP(G235,MODULY_CBA!$B$3:$E$23,4,0)*H235/SUMIFS($H$3:$H$168,$G$3:$G$168,G235,$B$3:$B$168,B235),),)</f>
        <v>6</v>
      </c>
      <c r="M235" s="381">
        <f>IFERROR(IF(B235="Funkcna poziadavka",VLOOKUP(G235,MODULY_CBA!$B$3:$E$23,3,0),),)</f>
        <v>0.99499999999999988</v>
      </c>
      <c r="N235" s="381">
        <f>IFERROR(IF(B235="funkcna poziadavka",VLOOKUP(G235,MODULY_CBA!$B$3:$E$23,2,0),),)</f>
        <v>0.99</v>
      </c>
      <c r="O235" s="380">
        <f t="shared" si="23"/>
        <v>10.835549999999998</v>
      </c>
      <c r="P235" s="379">
        <f>IFERROR(O235*VLOOKUP(G235,MODULY_CBA!$B$3:$F$23,5,0),)</f>
        <v>216.71099999999996</v>
      </c>
      <c r="Q235" s="480" t="str">
        <f>IFERROR(VLOOKUP(G235,MODULY_CBA!$B$3:$I$23,6,0),"")</f>
        <v>Inkrement 1</v>
      </c>
      <c r="R235" s="383"/>
      <c r="S235" s="383"/>
      <c r="T235" s="383"/>
      <c r="U235" s="383"/>
      <c r="V235" s="383"/>
      <c r="W235" s="383"/>
      <c r="X235" s="383"/>
      <c r="Y235" s="383"/>
      <c r="Z235" s="383"/>
      <c r="AA235" s="383"/>
      <c r="AB235" s="383"/>
      <c r="AC235" s="383"/>
      <c r="AD235" s="383"/>
      <c r="AE235" s="383"/>
      <c r="AF235" s="376"/>
    </row>
    <row r="236" spans="1:32" ht="25.5">
      <c r="A236" s="682" t="s">
        <v>1377</v>
      </c>
      <c r="B236" s="402" t="s">
        <v>749</v>
      </c>
      <c r="C236" s="532"/>
      <c r="D236" s="532" t="s">
        <v>1059</v>
      </c>
      <c r="E236" s="532" t="s">
        <v>1060</v>
      </c>
      <c r="F236" s="390" t="s">
        <v>806</v>
      </c>
      <c r="G236" s="390" t="s">
        <v>785</v>
      </c>
      <c r="H236" s="381">
        <v>1</v>
      </c>
      <c r="I236" s="381">
        <v>5</v>
      </c>
      <c r="J236" s="381">
        <f t="shared" si="21"/>
        <v>1</v>
      </c>
      <c r="K236" s="381">
        <f t="shared" si="22"/>
        <v>5</v>
      </c>
      <c r="L236" s="644">
        <f>IFERROR(IF(B236="funkcna poziadavka",VLOOKUP(G236,MODULY_CBA!$B$3:$E$23,4,0)*H236/SUMIFS($H$3:$H$168,$G$3:$G$168,G236,$B$3:$B$168,B236),),)</f>
        <v>6</v>
      </c>
      <c r="M236" s="381">
        <f>IFERROR(IF(B236="Funkcna poziadavka",VLOOKUP(G236,MODULY_CBA!$B$3:$E$23,3,0),),)</f>
        <v>0.99499999999999988</v>
      </c>
      <c r="N236" s="381">
        <f>IFERROR(IF(B236="funkcna poziadavka",VLOOKUP(G236,MODULY_CBA!$B$3:$E$23,2,0),),)</f>
        <v>0.99</v>
      </c>
      <c r="O236" s="380">
        <f t="shared" si="23"/>
        <v>10.835549999999998</v>
      </c>
      <c r="P236" s="379">
        <f>IFERROR(O236*VLOOKUP(G236,MODULY_CBA!$B$3:$F$23,5,0),)</f>
        <v>216.71099999999996</v>
      </c>
      <c r="Q236" s="480" t="str">
        <f>IFERROR(VLOOKUP(G236,MODULY_CBA!$B$3:$I$23,6,0),"")</f>
        <v>Inkrement 1</v>
      </c>
      <c r="R236" s="383"/>
      <c r="S236" s="383"/>
      <c r="T236" s="383"/>
      <c r="U236" s="383"/>
      <c r="V236" s="383"/>
      <c r="W236" s="383"/>
      <c r="X236" s="383"/>
      <c r="Y236" s="383"/>
      <c r="Z236" s="383"/>
      <c r="AA236" s="383"/>
      <c r="AB236" s="383"/>
      <c r="AC236" s="383"/>
      <c r="AD236" s="383"/>
      <c r="AE236" s="383"/>
      <c r="AF236" s="376"/>
    </row>
    <row r="237" spans="1:32" ht="38.25">
      <c r="A237" s="682" t="s">
        <v>1380</v>
      </c>
      <c r="B237" s="402" t="s">
        <v>749</v>
      </c>
      <c r="C237" s="532"/>
      <c r="D237" s="532" t="s">
        <v>1062</v>
      </c>
      <c r="E237" s="532" t="s">
        <v>1063</v>
      </c>
      <c r="F237" s="390" t="s">
        <v>806</v>
      </c>
      <c r="G237" s="390" t="s">
        <v>785</v>
      </c>
      <c r="H237" s="381">
        <v>1</v>
      </c>
      <c r="I237" s="381">
        <v>5</v>
      </c>
      <c r="J237" s="381">
        <f t="shared" si="21"/>
        <v>1</v>
      </c>
      <c r="K237" s="381">
        <f t="shared" si="22"/>
        <v>5</v>
      </c>
      <c r="L237" s="644">
        <f>IFERROR(IF(B237="funkcna poziadavka",VLOOKUP(G237,MODULY_CBA!$B$3:$E$23,4,0)*H237/SUMIFS($H$3:$H$168,$G$3:$G$168,G237,$B$3:$B$168,B237),),)</f>
        <v>6</v>
      </c>
      <c r="M237" s="381">
        <f>IFERROR(IF(B237="Funkcna poziadavka",VLOOKUP(G237,MODULY_CBA!$B$3:$E$23,3,0),),)</f>
        <v>0.99499999999999988</v>
      </c>
      <c r="N237" s="381">
        <f>IFERROR(IF(B237="funkcna poziadavka",VLOOKUP(G237,MODULY_CBA!$B$3:$E$23,2,0),),)</f>
        <v>0.99</v>
      </c>
      <c r="O237" s="380">
        <f t="shared" si="23"/>
        <v>10.835549999999998</v>
      </c>
      <c r="P237" s="379">
        <f>IFERROR(O237*VLOOKUP(G237,MODULY_CBA!$B$3:$F$23,5,0),)</f>
        <v>216.71099999999996</v>
      </c>
      <c r="Q237" s="480" t="str">
        <f>IFERROR(VLOOKUP(G237,MODULY_CBA!$B$3:$I$23,6,0),"")</f>
        <v>Inkrement 1</v>
      </c>
      <c r="R237" s="383"/>
      <c r="S237" s="383"/>
      <c r="T237" s="383"/>
      <c r="U237" s="383"/>
      <c r="V237" s="383"/>
      <c r="W237" s="383"/>
      <c r="X237" s="383"/>
      <c r="Y237" s="383"/>
      <c r="Z237" s="383"/>
      <c r="AA237" s="383"/>
      <c r="AB237" s="383"/>
      <c r="AC237" s="383"/>
      <c r="AD237" s="383"/>
      <c r="AE237" s="383"/>
      <c r="AF237" s="376"/>
    </row>
    <row r="238" spans="1:32">
      <c r="A238" s="682" t="s">
        <v>1383</v>
      </c>
      <c r="B238" s="402" t="s">
        <v>749</v>
      </c>
      <c r="C238" s="532"/>
      <c r="D238" s="532" t="s">
        <v>1068</v>
      </c>
      <c r="E238" s="532" t="s">
        <v>1069</v>
      </c>
      <c r="F238" s="390" t="s">
        <v>806</v>
      </c>
      <c r="G238" s="390" t="s">
        <v>785</v>
      </c>
      <c r="H238" s="381">
        <v>1</v>
      </c>
      <c r="I238" s="381">
        <v>5</v>
      </c>
      <c r="J238" s="381">
        <f t="shared" si="21"/>
        <v>1</v>
      </c>
      <c r="K238" s="381">
        <f t="shared" si="22"/>
        <v>5</v>
      </c>
      <c r="L238" s="644">
        <f>IFERROR(IF(B238="funkcna poziadavka",VLOOKUP(G238,MODULY_CBA!$B$3:$E$23,4,0)*H238/SUMIFS($H$3:$H$168,$G$3:$G$168,G238,$B$3:$B$168,B238),),)</f>
        <v>6</v>
      </c>
      <c r="M238" s="381">
        <f>IFERROR(IF(B238="Funkcna poziadavka",VLOOKUP(G238,MODULY_CBA!$B$3:$E$23,3,0),),)</f>
        <v>0.99499999999999988</v>
      </c>
      <c r="N238" s="381">
        <f>IFERROR(IF(B238="funkcna poziadavka",VLOOKUP(G238,MODULY_CBA!$B$3:$E$23,2,0),),)</f>
        <v>0.99</v>
      </c>
      <c r="O238" s="380">
        <f t="shared" si="23"/>
        <v>10.835549999999998</v>
      </c>
      <c r="P238" s="379">
        <f>IFERROR(O238*VLOOKUP(G238,MODULY_CBA!$B$3:$F$23,5,0),)</f>
        <v>216.71099999999996</v>
      </c>
      <c r="Q238" s="480" t="str">
        <f>IFERROR(VLOOKUP(G238,MODULY_CBA!$B$3:$I$23,6,0),"")</f>
        <v>Inkrement 1</v>
      </c>
      <c r="R238" s="383"/>
      <c r="S238" s="383"/>
      <c r="T238" s="383"/>
      <c r="U238" s="383"/>
      <c r="V238" s="383"/>
      <c r="W238" s="383"/>
      <c r="X238" s="383"/>
      <c r="Y238" s="383"/>
      <c r="Z238" s="383"/>
      <c r="AA238" s="383"/>
      <c r="AB238" s="383"/>
      <c r="AC238" s="383"/>
      <c r="AD238" s="383"/>
      <c r="AE238" s="383"/>
      <c r="AF238" s="376"/>
    </row>
    <row r="239" spans="1:32">
      <c r="A239" s="682" t="s">
        <v>1386</v>
      </c>
      <c r="B239" s="402" t="s">
        <v>749</v>
      </c>
      <c r="C239" s="532"/>
      <c r="D239" s="532" t="s">
        <v>1071</v>
      </c>
      <c r="E239" s="532" t="s">
        <v>1072</v>
      </c>
      <c r="F239" s="390" t="s">
        <v>806</v>
      </c>
      <c r="G239" s="390" t="s">
        <v>785</v>
      </c>
      <c r="H239" s="381">
        <v>1</v>
      </c>
      <c r="I239" s="381">
        <v>5</v>
      </c>
      <c r="J239" s="381">
        <f t="shared" si="21"/>
        <v>1</v>
      </c>
      <c r="K239" s="381">
        <f t="shared" si="22"/>
        <v>5</v>
      </c>
      <c r="L239" s="644">
        <f>IFERROR(IF(B239="funkcna poziadavka",VLOOKUP(G239,MODULY_CBA!$B$3:$E$23,4,0)*H239/SUMIFS($H$3:$H$168,$G$3:$G$168,G239,$B$3:$B$168,B239),),)</f>
        <v>6</v>
      </c>
      <c r="M239" s="381">
        <f>IFERROR(IF(B239="Funkcna poziadavka",VLOOKUP(G239,MODULY_CBA!$B$3:$E$23,3,0),),)</f>
        <v>0.99499999999999988</v>
      </c>
      <c r="N239" s="381">
        <f>IFERROR(IF(B239="funkcna poziadavka",VLOOKUP(G239,MODULY_CBA!$B$3:$E$23,2,0),),)</f>
        <v>0.99</v>
      </c>
      <c r="O239" s="380">
        <f t="shared" si="23"/>
        <v>10.835549999999998</v>
      </c>
      <c r="P239" s="379">
        <f>IFERROR(O239*VLOOKUP(G239,MODULY_CBA!$B$3:$F$23,5,0),)</f>
        <v>216.71099999999996</v>
      </c>
      <c r="Q239" s="480" t="str">
        <f>IFERROR(VLOOKUP(G239,MODULY_CBA!$B$3:$I$23,6,0),"")</f>
        <v>Inkrement 1</v>
      </c>
      <c r="R239" s="383"/>
      <c r="S239" s="383"/>
      <c r="T239" s="383"/>
      <c r="U239" s="383"/>
      <c r="V239" s="383"/>
      <c r="W239" s="383"/>
      <c r="X239" s="383"/>
      <c r="Y239" s="383"/>
      <c r="Z239" s="383"/>
      <c r="AA239" s="383"/>
      <c r="AB239" s="383"/>
      <c r="AC239" s="383"/>
      <c r="AD239" s="383"/>
      <c r="AE239" s="383"/>
      <c r="AF239" s="376"/>
    </row>
    <row r="240" spans="1:32">
      <c r="A240" s="682" t="s">
        <v>1389</v>
      </c>
      <c r="B240" s="402" t="s">
        <v>749</v>
      </c>
      <c r="C240" s="532"/>
      <c r="D240" s="532" t="s">
        <v>1074</v>
      </c>
      <c r="E240" s="532" t="s">
        <v>1075</v>
      </c>
      <c r="F240" s="390" t="s">
        <v>806</v>
      </c>
      <c r="G240" s="390" t="s">
        <v>785</v>
      </c>
      <c r="H240" s="381">
        <v>1</v>
      </c>
      <c r="I240" s="381">
        <v>5</v>
      </c>
      <c r="J240" s="381">
        <f t="shared" si="21"/>
        <v>1</v>
      </c>
      <c r="K240" s="381">
        <f t="shared" si="22"/>
        <v>5</v>
      </c>
      <c r="L240" s="644">
        <f>IFERROR(IF(B240="funkcna poziadavka",VLOOKUP(G240,MODULY_CBA!$B$3:$E$23,4,0)*H240/SUMIFS($H$3:$H$168,$G$3:$G$168,G240,$B$3:$B$168,B240),),)</f>
        <v>6</v>
      </c>
      <c r="M240" s="381">
        <f>IFERROR(IF(B240="Funkcna poziadavka",VLOOKUP(G240,MODULY_CBA!$B$3:$E$23,3,0),),)</f>
        <v>0.99499999999999988</v>
      </c>
      <c r="N240" s="381">
        <f>IFERROR(IF(B240="funkcna poziadavka",VLOOKUP(G240,MODULY_CBA!$B$3:$E$23,2,0),),)</f>
        <v>0.99</v>
      </c>
      <c r="O240" s="380">
        <f t="shared" si="23"/>
        <v>10.835549999999998</v>
      </c>
      <c r="P240" s="379">
        <f>IFERROR(O240*VLOOKUP(G240,MODULY_CBA!$B$3:$F$23,5,0),)</f>
        <v>216.71099999999996</v>
      </c>
      <c r="Q240" s="480" t="str">
        <f>IFERROR(VLOOKUP(G240,MODULY_CBA!$B$3:$I$23,6,0),"")</f>
        <v>Inkrement 1</v>
      </c>
      <c r="R240" s="383"/>
      <c r="S240" s="383"/>
      <c r="T240" s="383"/>
      <c r="U240" s="383"/>
      <c r="V240" s="383"/>
      <c r="W240" s="383"/>
      <c r="X240" s="383"/>
      <c r="Y240" s="383"/>
      <c r="Z240" s="383"/>
      <c r="AA240" s="383"/>
      <c r="AB240" s="383"/>
      <c r="AC240" s="383"/>
      <c r="AD240" s="383"/>
      <c r="AE240" s="383"/>
      <c r="AF240" s="376"/>
    </row>
    <row r="241" spans="1:32" ht="25.5">
      <c r="A241" s="682" t="s">
        <v>1392</v>
      </c>
      <c r="B241" s="402" t="s">
        <v>749</v>
      </c>
      <c r="C241" s="532"/>
      <c r="D241" s="532" t="s">
        <v>1077</v>
      </c>
      <c r="E241" s="532" t="s">
        <v>1078</v>
      </c>
      <c r="F241" s="390" t="s">
        <v>806</v>
      </c>
      <c r="G241" s="390" t="s">
        <v>785</v>
      </c>
      <c r="H241" s="381">
        <v>1</v>
      </c>
      <c r="I241" s="381">
        <v>5</v>
      </c>
      <c r="J241" s="381">
        <f t="shared" si="21"/>
        <v>1</v>
      </c>
      <c r="K241" s="381">
        <f t="shared" si="22"/>
        <v>5</v>
      </c>
      <c r="L241" s="644">
        <f>IFERROR(IF(B241="funkcna poziadavka",VLOOKUP(G241,MODULY_CBA!$B$3:$E$23,4,0)*H241/SUMIFS($H$3:$H$168,$G$3:$G$168,G241,$B$3:$B$168,B241),),)</f>
        <v>6</v>
      </c>
      <c r="M241" s="381">
        <f>IFERROR(IF(B241="Funkcna poziadavka",VLOOKUP(G241,MODULY_CBA!$B$3:$E$23,3,0),),)</f>
        <v>0.99499999999999988</v>
      </c>
      <c r="N241" s="381">
        <f>IFERROR(IF(B241="funkcna poziadavka",VLOOKUP(G241,MODULY_CBA!$B$3:$E$23,2,0),),)</f>
        <v>0.99</v>
      </c>
      <c r="O241" s="380">
        <f t="shared" si="23"/>
        <v>10.835549999999998</v>
      </c>
      <c r="P241" s="379">
        <f>IFERROR(O241*VLOOKUP(G241,MODULY_CBA!$B$3:$F$23,5,0),)</f>
        <v>216.71099999999996</v>
      </c>
      <c r="Q241" s="480" t="str">
        <f>IFERROR(VLOOKUP(G241,MODULY_CBA!$B$3:$I$23,6,0),"")</f>
        <v>Inkrement 1</v>
      </c>
      <c r="R241" s="383"/>
      <c r="S241" s="383"/>
      <c r="T241" s="383"/>
      <c r="U241" s="383"/>
      <c r="V241" s="383"/>
      <c r="W241" s="383"/>
      <c r="X241" s="383"/>
      <c r="Y241" s="383"/>
      <c r="Z241" s="383"/>
      <c r="AA241" s="383"/>
      <c r="AB241" s="383"/>
      <c r="AC241" s="383"/>
      <c r="AD241" s="383"/>
      <c r="AE241" s="383"/>
      <c r="AF241" s="376"/>
    </row>
    <row r="242" spans="1:32" ht="25.5">
      <c r="A242" s="682" t="s">
        <v>1395</v>
      </c>
      <c r="B242" s="402" t="s">
        <v>749</v>
      </c>
      <c r="C242" s="532"/>
      <c r="D242" s="532" t="s">
        <v>1080</v>
      </c>
      <c r="E242" s="532" t="s">
        <v>1081</v>
      </c>
      <c r="F242" s="390" t="s">
        <v>806</v>
      </c>
      <c r="G242" s="390" t="s">
        <v>785</v>
      </c>
      <c r="H242" s="381">
        <v>1</v>
      </c>
      <c r="I242" s="381">
        <v>5</v>
      </c>
      <c r="J242" s="381">
        <f t="shared" si="21"/>
        <v>1</v>
      </c>
      <c r="K242" s="381">
        <f t="shared" si="22"/>
        <v>5</v>
      </c>
      <c r="L242" s="644">
        <f>IFERROR(IF(B242="funkcna poziadavka",VLOOKUP(G242,MODULY_CBA!$B$3:$E$23,4,0)*H242/SUMIFS($H$3:$H$168,$G$3:$G$168,G242,$B$3:$B$168,B242),),)</f>
        <v>6</v>
      </c>
      <c r="M242" s="381">
        <f>IFERROR(IF(B242="Funkcna poziadavka",VLOOKUP(G242,MODULY_CBA!$B$3:$E$23,3,0),),)</f>
        <v>0.99499999999999988</v>
      </c>
      <c r="N242" s="381">
        <f>IFERROR(IF(B242="funkcna poziadavka",VLOOKUP(G242,MODULY_CBA!$B$3:$E$23,2,0),),)</f>
        <v>0.99</v>
      </c>
      <c r="O242" s="380">
        <f t="shared" si="23"/>
        <v>10.835549999999998</v>
      </c>
      <c r="P242" s="379">
        <f>IFERROR(O242*VLOOKUP(G242,MODULY_CBA!$B$3:$F$23,5,0),)</f>
        <v>216.71099999999996</v>
      </c>
      <c r="Q242" s="480" t="str">
        <f>IFERROR(VLOOKUP(G242,MODULY_CBA!$B$3:$I$23,6,0),"")</f>
        <v>Inkrement 1</v>
      </c>
      <c r="R242" s="383"/>
      <c r="S242" s="383"/>
      <c r="T242" s="383"/>
      <c r="U242" s="383"/>
      <c r="V242" s="383"/>
      <c r="W242" s="383"/>
      <c r="X242" s="383"/>
      <c r="Y242" s="383"/>
      <c r="Z242" s="383"/>
      <c r="AA242" s="383"/>
      <c r="AB242" s="383"/>
      <c r="AC242" s="383"/>
      <c r="AD242" s="383"/>
      <c r="AE242" s="383"/>
      <c r="AF242" s="376"/>
    </row>
    <row r="243" spans="1:32" ht="25.5">
      <c r="A243" s="682" t="s">
        <v>1397</v>
      </c>
      <c r="B243" s="402" t="s">
        <v>749</v>
      </c>
      <c r="C243" s="532"/>
      <c r="D243" s="532" t="s">
        <v>1083</v>
      </c>
      <c r="E243" s="532" t="s">
        <v>1084</v>
      </c>
      <c r="F243" s="390" t="s">
        <v>806</v>
      </c>
      <c r="G243" s="390" t="s">
        <v>785</v>
      </c>
      <c r="H243" s="381">
        <v>1</v>
      </c>
      <c r="I243" s="381">
        <v>10</v>
      </c>
      <c r="J243" s="381">
        <f t="shared" si="21"/>
        <v>1</v>
      </c>
      <c r="K243" s="381">
        <f t="shared" si="22"/>
        <v>10</v>
      </c>
      <c r="L243" s="644">
        <f>IFERROR(IF(B243="funkcna poziadavka",VLOOKUP(G243,MODULY_CBA!$B$3:$E$23,4,0)*H243/SUMIFS($H$3:$H$168,$G$3:$G$168,G243,$B$3:$B$168,B243),),)</f>
        <v>6</v>
      </c>
      <c r="M243" s="381">
        <f>IFERROR(IF(B243="Funkcna poziadavka",VLOOKUP(G243,MODULY_CBA!$B$3:$E$23,3,0),),)</f>
        <v>0.99499999999999988</v>
      </c>
      <c r="N243" s="381">
        <f>IFERROR(IF(B243="funkcna poziadavka",VLOOKUP(G243,MODULY_CBA!$B$3:$E$23,2,0),),)</f>
        <v>0.99</v>
      </c>
      <c r="O243" s="380">
        <f t="shared" si="23"/>
        <v>15.760799999999998</v>
      </c>
      <c r="P243" s="379">
        <f>IFERROR(O243*VLOOKUP(G243,MODULY_CBA!$B$3:$F$23,5,0),)</f>
        <v>315.21599999999995</v>
      </c>
      <c r="Q243" s="480" t="str">
        <f>IFERROR(VLOOKUP(G243,MODULY_CBA!$B$3:$I$23,6,0),"")</f>
        <v>Inkrement 1</v>
      </c>
      <c r="R243" s="383"/>
      <c r="S243" s="383"/>
      <c r="T243" s="383"/>
      <c r="U243" s="383"/>
      <c r="V243" s="383"/>
      <c r="W243" s="383"/>
      <c r="X243" s="383"/>
      <c r="Y243" s="383"/>
      <c r="Z243" s="383"/>
      <c r="AA243" s="383"/>
      <c r="AB243" s="383"/>
      <c r="AC243" s="383"/>
      <c r="AD243" s="383"/>
      <c r="AE243" s="383"/>
      <c r="AF243" s="376"/>
    </row>
    <row r="244" spans="1:32" ht="25.5">
      <c r="A244" s="682" t="s">
        <v>1398</v>
      </c>
      <c r="B244" s="402" t="s">
        <v>749</v>
      </c>
      <c r="C244" s="532"/>
      <c r="D244" s="532" t="s">
        <v>1086</v>
      </c>
      <c r="E244" s="532" t="s">
        <v>1087</v>
      </c>
      <c r="F244" s="390" t="s">
        <v>806</v>
      </c>
      <c r="G244" s="390" t="s">
        <v>785</v>
      </c>
      <c r="H244" s="381">
        <v>1</v>
      </c>
      <c r="I244" s="381">
        <v>5</v>
      </c>
      <c r="J244" s="381">
        <f t="shared" si="21"/>
        <v>1</v>
      </c>
      <c r="K244" s="381">
        <f t="shared" si="22"/>
        <v>5</v>
      </c>
      <c r="L244" s="644">
        <f>IFERROR(IF(B244="funkcna poziadavka",VLOOKUP(G244,MODULY_CBA!$B$3:$E$23,4,0)*H244/SUMIFS($H$3:$H$168,$G$3:$G$168,G244,$B$3:$B$168,B244),),)</f>
        <v>6</v>
      </c>
      <c r="M244" s="381">
        <f>IFERROR(IF(B244="Funkcna poziadavka",VLOOKUP(G244,MODULY_CBA!$B$3:$E$23,3,0),),)</f>
        <v>0.99499999999999988</v>
      </c>
      <c r="N244" s="381">
        <f>IFERROR(IF(B244="funkcna poziadavka",VLOOKUP(G244,MODULY_CBA!$B$3:$E$23,2,0),),)</f>
        <v>0.99</v>
      </c>
      <c r="O244" s="380">
        <f t="shared" si="23"/>
        <v>10.835549999999998</v>
      </c>
      <c r="P244" s="379">
        <f>IFERROR(O244*VLOOKUP(G244,MODULY_CBA!$B$3:$F$23,5,0),)</f>
        <v>216.71099999999996</v>
      </c>
      <c r="Q244" s="480" t="str">
        <f>IFERROR(VLOOKUP(G244,MODULY_CBA!$B$3:$I$23,6,0),"")</f>
        <v>Inkrement 1</v>
      </c>
      <c r="R244" s="383"/>
      <c r="S244" s="383"/>
      <c r="T244" s="383"/>
      <c r="U244" s="383"/>
      <c r="V244" s="383"/>
      <c r="W244" s="383"/>
      <c r="X244" s="383"/>
      <c r="Y244" s="383"/>
      <c r="Z244" s="383"/>
      <c r="AA244" s="383"/>
      <c r="AB244" s="383"/>
      <c r="AC244" s="383"/>
      <c r="AD244" s="383"/>
      <c r="AE244" s="383"/>
      <c r="AF244" s="376"/>
    </row>
    <row r="245" spans="1:32">
      <c r="A245" s="682" t="s">
        <v>1399</v>
      </c>
      <c r="B245" s="402" t="s">
        <v>749</v>
      </c>
      <c r="C245" s="532"/>
      <c r="D245" s="532" t="s">
        <v>1089</v>
      </c>
      <c r="E245" s="532" t="s">
        <v>1090</v>
      </c>
      <c r="F245" s="390" t="s">
        <v>806</v>
      </c>
      <c r="G245" s="390" t="s">
        <v>785</v>
      </c>
      <c r="H245" s="381">
        <v>1</v>
      </c>
      <c r="I245" s="381">
        <v>5</v>
      </c>
      <c r="J245" s="381">
        <f t="shared" si="21"/>
        <v>1</v>
      </c>
      <c r="K245" s="381">
        <f t="shared" si="22"/>
        <v>5</v>
      </c>
      <c r="L245" s="644">
        <f>IFERROR(IF(B245="funkcna poziadavka",VLOOKUP(G245,MODULY_CBA!$B$3:$E$23,4,0)*H245/SUMIFS($H$3:$H$168,$G$3:$G$168,G245,$B$3:$B$168,B245),),)</f>
        <v>6</v>
      </c>
      <c r="M245" s="381">
        <f>IFERROR(IF(B245="Funkcna poziadavka",VLOOKUP(G245,MODULY_CBA!$B$3:$E$23,3,0),),)</f>
        <v>0.99499999999999988</v>
      </c>
      <c r="N245" s="381">
        <f>IFERROR(IF(B245="funkcna poziadavka",VLOOKUP(G245,MODULY_CBA!$B$3:$E$23,2,0),),)</f>
        <v>0.99</v>
      </c>
      <c r="O245" s="380">
        <f t="shared" si="23"/>
        <v>10.835549999999998</v>
      </c>
      <c r="P245" s="379">
        <f>IFERROR(O245*VLOOKUP(G245,MODULY_CBA!$B$3:$F$23,5,0),)</f>
        <v>216.71099999999996</v>
      </c>
      <c r="Q245" s="480" t="str">
        <f>IFERROR(VLOOKUP(G245,MODULY_CBA!$B$3:$I$23,6,0),"")</f>
        <v>Inkrement 1</v>
      </c>
      <c r="R245" s="383"/>
      <c r="S245" s="383"/>
      <c r="T245" s="383"/>
      <c r="U245" s="383"/>
      <c r="V245" s="383"/>
      <c r="W245" s="383"/>
      <c r="X245" s="383"/>
      <c r="Y245" s="383"/>
      <c r="Z245" s="383"/>
      <c r="AA245" s="383"/>
      <c r="AB245" s="383"/>
      <c r="AC245" s="383"/>
      <c r="AD245" s="383"/>
      <c r="AE245" s="383"/>
      <c r="AF245" s="376"/>
    </row>
    <row r="246" spans="1:32">
      <c r="A246" s="682" t="s">
        <v>1401</v>
      </c>
      <c r="B246" s="402" t="s">
        <v>749</v>
      </c>
      <c r="C246" s="532"/>
      <c r="D246" s="532" t="s">
        <v>1092</v>
      </c>
      <c r="E246" s="532" t="s">
        <v>1093</v>
      </c>
      <c r="F246" s="390" t="s">
        <v>806</v>
      </c>
      <c r="G246" s="390" t="s">
        <v>785</v>
      </c>
      <c r="H246" s="381">
        <v>1</v>
      </c>
      <c r="I246" s="381">
        <v>5</v>
      </c>
      <c r="J246" s="381">
        <f t="shared" si="21"/>
        <v>1</v>
      </c>
      <c r="K246" s="381">
        <f t="shared" si="22"/>
        <v>5</v>
      </c>
      <c r="L246" s="644">
        <f>IFERROR(IF(B246="funkcna poziadavka",VLOOKUP(G246,MODULY_CBA!$B$3:$E$23,4,0)*H246/SUMIFS($H$3:$H$168,$G$3:$G$168,G246,$B$3:$B$168,B246),),)</f>
        <v>6</v>
      </c>
      <c r="M246" s="381">
        <f>IFERROR(IF(B246="Funkcna poziadavka",VLOOKUP(G246,MODULY_CBA!$B$3:$E$23,3,0),),)</f>
        <v>0.99499999999999988</v>
      </c>
      <c r="N246" s="381">
        <f>IFERROR(IF(B246="funkcna poziadavka",VLOOKUP(G246,MODULY_CBA!$B$3:$E$23,2,0),),)</f>
        <v>0.99</v>
      </c>
      <c r="O246" s="380">
        <f t="shared" si="23"/>
        <v>10.835549999999998</v>
      </c>
      <c r="P246" s="379">
        <f>IFERROR(O246*VLOOKUP(G246,MODULY_CBA!$B$3:$F$23,5,0),)</f>
        <v>216.71099999999996</v>
      </c>
      <c r="Q246" s="480" t="str">
        <f>IFERROR(VLOOKUP(G246,MODULY_CBA!$B$3:$I$23,6,0),"")</f>
        <v>Inkrement 1</v>
      </c>
      <c r="R246" s="383"/>
      <c r="S246" s="383"/>
      <c r="T246" s="383"/>
      <c r="U246" s="383"/>
      <c r="V246" s="383"/>
      <c r="W246" s="383"/>
      <c r="X246" s="383"/>
      <c r="Y246" s="383"/>
      <c r="Z246" s="383"/>
      <c r="AA246" s="383"/>
      <c r="AB246" s="383"/>
      <c r="AC246" s="383"/>
      <c r="AD246" s="383"/>
      <c r="AE246" s="383"/>
      <c r="AF246" s="376"/>
    </row>
    <row r="247" spans="1:32" hidden="1">
      <c r="A247" s="402" t="s">
        <v>1402</v>
      </c>
      <c r="B247" s="402" t="s">
        <v>1095</v>
      </c>
      <c r="C247" s="532"/>
      <c r="D247" s="532" t="s">
        <v>1099</v>
      </c>
      <c r="E247" s="532" t="s">
        <v>1097</v>
      </c>
      <c r="F247" s="390" t="s">
        <v>806</v>
      </c>
      <c r="G247" s="390" t="s">
        <v>785</v>
      </c>
      <c r="H247" s="381"/>
      <c r="I247" s="381"/>
      <c r="J247" s="381">
        <f t="shared" si="21"/>
        <v>0</v>
      </c>
      <c r="K247" s="381">
        <f t="shared" si="22"/>
        <v>0</v>
      </c>
      <c r="L247" s="644">
        <f>IFERROR(IF(B247="funkcna poziadavka",VLOOKUP(G247,MODULY_CBA!$B$3:$E$23,4,0)*H247/SUMIFS($H$3:$H$168,$G$3:$G$168,G247,$B$3:$B$168,B247),),)</f>
        <v>0</v>
      </c>
      <c r="M247" s="381">
        <f>IFERROR(IF(B247="Funkcna poziadavka",VLOOKUP(G247,MODULY_CBA!$B$3:$E$23,3,0),),)</f>
        <v>0</v>
      </c>
      <c r="N247" s="381">
        <f>IFERROR(IF(B247="funkcna poziadavka",VLOOKUP(G247,MODULY_CBA!$B$3:$E$23,2,0),),)</f>
        <v>0</v>
      </c>
      <c r="O247" s="380">
        <f t="shared" si="23"/>
        <v>0</v>
      </c>
      <c r="P247" s="379">
        <f>IFERROR(O247*VLOOKUP(G247,MODULY_CBA!$B$3:$F$23,5,0),)</f>
        <v>0</v>
      </c>
      <c r="Q247" s="480" t="str">
        <f>IFERROR(VLOOKUP(G247,MODULY_CBA!$B$3:$I$23,6,0),"")</f>
        <v>Inkrement 1</v>
      </c>
      <c r="R247" s="383"/>
      <c r="S247" s="383"/>
      <c r="T247" s="383"/>
      <c r="U247" s="383"/>
      <c r="V247" s="383"/>
      <c r="W247" s="383"/>
      <c r="X247" s="383"/>
      <c r="Y247" s="383"/>
      <c r="Z247" s="383"/>
      <c r="AA247" s="383"/>
      <c r="AB247" s="383"/>
      <c r="AC247" s="383"/>
      <c r="AD247" s="383"/>
      <c r="AE247" s="383"/>
      <c r="AF247" s="376"/>
    </row>
    <row r="248" spans="1:32" ht="25.5">
      <c r="A248" s="682" t="s">
        <v>1403</v>
      </c>
      <c r="B248" s="402" t="s">
        <v>749</v>
      </c>
      <c r="C248" s="532"/>
      <c r="D248" s="532" t="s">
        <v>1449</v>
      </c>
      <c r="E248" s="532" t="s">
        <v>1100</v>
      </c>
      <c r="F248" s="390" t="s">
        <v>806</v>
      </c>
      <c r="G248" s="390" t="s">
        <v>785</v>
      </c>
      <c r="H248" s="381">
        <v>1</v>
      </c>
      <c r="I248" s="381">
        <v>5</v>
      </c>
      <c r="J248" s="381">
        <f t="shared" si="21"/>
        <v>1</v>
      </c>
      <c r="K248" s="381">
        <f t="shared" si="22"/>
        <v>5</v>
      </c>
      <c r="L248" s="644">
        <f>IFERROR(IF(B248="funkcna poziadavka",VLOOKUP(G248,MODULY_CBA!$B$3:$E$23,4,0)*H248/SUMIFS($H$3:$H$168,$G$3:$G$168,G248,$B$3:$B$168,B248),),)</f>
        <v>6</v>
      </c>
      <c r="M248" s="381">
        <f>IFERROR(IF(B248="Funkcna poziadavka",VLOOKUP(G248,MODULY_CBA!$B$3:$E$23,3,0),),)</f>
        <v>0.99499999999999988</v>
      </c>
      <c r="N248" s="381">
        <f>IFERROR(IF(B248="funkcna poziadavka",VLOOKUP(G248,MODULY_CBA!$B$3:$E$23,2,0),),)</f>
        <v>0.99</v>
      </c>
      <c r="O248" s="380">
        <f t="shared" si="23"/>
        <v>10.835549999999998</v>
      </c>
      <c r="P248" s="379">
        <f>IFERROR(O248*VLOOKUP(G248,MODULY_CBA!$B$3:$F$23,5,0),)</f>
        <v>216.71099999999996</v>
      </c>
      <c r="Q248" s="480" t="str">
        <f>IFERROR(VLOOKUP(G248,MODULY_CBA!$B$3:$I$23,6,0),"")</f>
        <v>Inkrement 1</v>
      </c>
      <c r="R248" s="383"/>
      <c r="S248" s="383"/>
      <c r="T248" s="383"/>
      <c r="U248" s="383"/>
      <c r="V248" s="383"/>
      <c r="W248" s="383"/>
      <c r="X248" s="383"/>
      <c r="Y248" s="383"/>
      <c r="Z248" s="383"/>
      <c r="AA248" s="383"/>
      <c r="AB248" s="383"/>
      <c r="AC248" s="383"/>
      <c r="AD248" s="383"/>
      <c r="AE248" s="383"/>
      <c r="AF248" s="376"/>
    </row>
    <row r="249" spans="1:32">
      <c r="A249" s="682" t="s">
        <v>1406</v>
      </c>
      <c r="B249" s="402" t="s">
        <v>749</v>
      </c>
      <c r="C249" s="532"/>
      <c r="D249" s="532" t="s">
        <v>1102</v>
      </c>
      <c r="E249" s="532" t="s">
        <v>1103</v>
      </c>
      <c r="F249" s="390" t="s">
        <v>806</v>
      </c>
      <c r="G249" s="390" t="s">
        <v>785</v>
      </c>
      <c r="H249" s="381">
        <v>1</v>
      </c>
      <c r="I249" s="381">
        <v>5</v>
      </c>
      <c r="J249" s="381">
        <f t="shared" si="21"/>
        <v>1</v>
      </c>
      <c r="K249" s="381">
        <f t="shared" si="22"/>
        <v>5</v>
      </c>
      <c r="L249" s="644">
        <f>IFERROR(IF(B249="funkcna poziadavka",VLOOKUP(G249,MODULY_CBA!$B$3:$E$23,4,0)*H249/SUMIFS($H$3:$H$168,$G$3:$G$168,G249,$B$3:$B$168,B249),),)</f>
        <v>6</v>
      </c>
      <c r="M249" s="381">
        <f>IFERROR(IF(B249="Funkcna poziadavka",VLOOKUP(G249,MODULY_CBA!$B$3:$E$23,3,0),),)</f>
        <v>0.99499999999999988</v>
      </c>
      <c r="N249" s="381">
        <f>IFERROR(IF(B249="funkcna poziadavka",VLOOKUP(G249,MODULY_CBA!$B$3:$E$23,2,0),),)</f>
        <v>0.99</v>
      </c>
      <c r="O249" s="380">
        <f t="shared" si="23"/>
        <v>10.835549999999998</v>
      </c>
      <c r="P249" s="379">
        <f>IFERROR(O249*VLOOKUP(G249,MODULY_CBA!$B$3:$F$23,5,0),)</f>
        <v>216.71099999999996</v>
      </c>
      <c r="Q249" s="480" t="str">
        <f>IFERROR(VLOOKUP(G249,MODULY_CBA!$B$3:$I$23,6,0),"")</f>
        <v>Inkrement 1</v>
      </c>
      <c r="R249" s="383"/>
      <c r="S249" s="383"/>
      <c r="T249" s="383"/>
      <c r="U249" s="383"/>
      <c r="V249" s="383"/>
      <c r="W249" s="383"/>
      <c r="X249" s="383"/>
      <c r="Y249" s="383"/>
      <c r="Z249" s="383"/>
      <c r="AA249" s="383"/>
      <c r="AB249" s="383"/>
      <c r="AC249" s="383"/>
      <c r="AD249" s="383"/>
      <c r="AE249" s="383"/>
      <c r="AF249" s="376"/>
    </row>
    <row r="250" spans="1:32">
      <c r="A250" s="682" t="s">
        <v>1409</v>
      </c>
      <c r="B250" s="402" t="s">
        <v>749</v>
      </c>
      <c r="C250" s="532"/>
      <c r="D250" s="532" t="s">
        <v>1105</v>
      </c>
      <c r="E250" s="532" t="s">
        <v>1106</v>
      </c>
      <c r="F250" s="390" t="s">
        <v>806</v>
      </c>
      <c r="G250" s="390" t="s">
        <v>785</v>
      </c>
      <c r="H250" s="381">
        <v>1</v>
      </c>
      <c r="I250" s="381">
        <v>5</v>
      </c>
      <c r="J250" s="381">
        <f t="shared" si="21"/>
        <v>1</v>
      </c>
      <c r="K250" s="381">
        <f t="shared" si="22"/>
        <v>5</v>
      </c>
      <c r="L250" s="644">
        <f>IFERROR(IF(B250="funkcna poziadavka",VLOOKUP(G250,MODULY_CBA!$B$3:$E$23,4,0)*H250/SUMIFS($H$3:$H$168,$G$3:$G$168,G250,$B$3:$B$168,B250),),)</f>
        <v>6</v>
      </c>
      <c r="M250" s="381">
        <f>IFERROR(IF(B250="Funkcna poziadavka",VLOOKUP(G250,MODULY_CBA!$B$3:$E$23,3,0),),)</f>
        <v>0.99499999999999988</v>
      </c>
      <c r="N250" s="381">
        <f>IFERROR(IF(B250="funkcna poziadavka",VLOOKUP(G250,MODULY_CBA!$B$3:$E$23,2,0),),)</f>
        <v>0.99</v>
      </c>
      <c r="O250" s="380">
        <f t="shared" si="23"/>
        <v>10.835549999999998</v>
      </c>
      <c r="P250" s="379">
        <f>IFERROR(O250*VLOOKUP(G250,MODULY_CBA!$B$3:$F$23,5,0),)</f>
        <v>216.71099999999996</v>
      </c>
      <c r="Q250" s="480" t="str">
        <f>IFERROR(VLOOKUP(G250,MODULY_CBA!$B$3:$I$23,6,0),"")</f>
        <v>Inkrement 1</v>
      </c>
      <c r="R250" s="383"/>
      <c r="S250" s="383"/>
      <c r="T250" s="383"/>
      <c r="U250" s="383"/>
      <c r="V250" s="383"/>
      <c r="W250" s="383"/>
      <c r="X250" s="383"/>
      <c r="Y250" s="383"/>
      <c r="Z250" s="383"/>
      <c r="AA250" s="383"/>
      <c r="AB250" s="383"/>
      <c r="AC250" s="383"/>
      <c r="AD250" s="383"/>
      <c r="AE250" s="383"/>
      <c r="AF250" s="376"/>
    </row>
    <row r="251" spans="1:32" ht="25.5">
      <c r="A251" s="682" t="s">
        <v>1412</v>
      </c>
      <c r="B251" s="402" t="s">
        <v>749</v>
      </c>
      <c r="C251" s="532"/>
      <c r="D251" s="532" t="s">
        <v>1108</v>
      </c>
      <c r="E251" s="532" t="s">
        <v>1109</v>
      </c>
      <c r="F251" s="390" t="s">
        <v>806</v>
      </c>
      <c r="G251" s="390" t="s">
        <v>785</v>
      </c>
      <c r="H251" s="381">
        <v>1</v>
      </c>
      <c r="I251" s="381">
        <v>5</v>
      </c>
      <c r="J251" s="381">
        <f t="shared" si="21"/>
        <v>1</v>
      </c>
      <c r="K251" s="381">
        <f t="shared" si="22"/>
        <v>5</v>
      </c>
      <c r="L251" s="644">
        <f>IFERROR(IF(B251="funkcna poziadavka",VLOOKUP(G251,MODULY_CBA!$B$3:$E$23,4,0)*H251/SUMIFS($H$3:$H$168,$G$3:$G$168,G251,$B$3:$B$168,B251),),)</f>
        <v>6</v>
      </c>
      <c r="M251" s="381">
        <f>IFERROR(IF(B251="Funkcna poziadavka",VLOOKUP(G251,MODULY_CBA!$B$3:$E$23,3,0),),)</f>
        <v>0.99499999999999988</v>
      </c>
      <c r="N251" s="381">
        <f>IFERROR(IF(B251="funkcna poziadavka",VLOOKUP(G251,MODULY_CBA!$B$3:$E$23,2,0),),)</f>
        <v>0.99</v>
      </c>
      <c r="O251" s="380">
        <f t="shared" si="23"/>
        <v>10.835549999999998</v>
      </c>
      <c r="P251" s="379">
        <f>IFERROR(O251*VLOOKUP(G251,MODULY_CBA!$B$3:$F$23,5,0),)</f>
        <v>216.71099999999996</v>
      </c>
      <c r="Q251" s="480" t="str">
        <f>IFERROR(VLOOKUP(G251,MODULY_CBA!$B$3:$I$23,6,0),"")</f>
        <v>Inkrement 1</v>
      </c>
      <c r="R251" s="383"/>
      <c r="S251" s="383"/>
      <c r="T251" s="383"/>
      <c r="U251" s="383"/>
      <c r="V251" s="383"/>
      <c r="W251" s="383"/>
      <c r="X251" s="383"/>
      <c r="Y251" s="383"/>
      <c r="Z251" s="383"/>
      <c r="AA251" s="383"/>
      <c r="AB251" s="383"/>
      <c r="AC251" s="383"/>
      <c r="AD251" s="383"/>
      <c r="AE251" s="383"/>
      <c r="AF251" s="376"/>
    </row>
    <row r="252" spans="1:32" ht="25.5">
      <c r="A252" s="682" t="s">
        <v>1415</v>
      </c>
      <c r="B252" s="402" t="s">
        <v>749</v>
      </c>
      <c r="C252" s="532"/>
      <c r="D252" s="532" t="s">
        <v>1111</v>
      </c>
      <c r="E252" s="532" t="s">
        <v>1454</v>
      </c>
      <c r="F252" s="390" t="s">
        <v>806</v>
      </c>
      <c r="G252" s="390" t="s">
        <v>785</v>
      </c>
      <c r="H252" s="381">
        <v>1</v>
      </c>
      <c r="I252" s="381">
        <v>5</v>
      </c>
      <c r="J252" s="381">
        <f t="shared" si="21"/>
        <v>1</v>
      </c>
      <c r="K252" s="381">
        <f t="shared" si="22"/>
        <v>5</v>
      </c>
      <c r="L252" s="644">
        <f>IFERROR(IF(B252="funkcna poziadavka",VLOOKUP(G252,MODULY_CBA!$B$3:$E$23,4,0)*H252/SUMIFS($H$3:$H$168,$G$3:$G$168,G252,$B$3:$B$168,B252),),)</f>
        <v>6</v>
      </c>
      <c r="M252" s="381">
        <f>IFERROR(IF(B252="Funkcna poziadavka",VLOOKUP(G252,MODULY_CBA!$B$3:$E$23,3,0),),)</f>
        <v>0.99499999999999988</v>
      </c>
      <c r="N252" s="381">
        <f>IFERROR(IF(B252="funkcna poziadavka",VLOOKUP(G252,MODULY_CBA!$B$3:$E$23,2,0),),)</f>
        <v>0.99</v>
      </c>
      <c r="O252" s="380">
        <f t="shared" si="23"/>
        <v>10.835549999999998</v>
      </c>
      <c r="P252" s="379">
        <f>IFERROR(O252*VLOOKUP(G252,MODULY_CBA!$B$3:$F$23,5,0),)</f>
        <v>216.71099999999996</v>
      </c>
      <c r="Q252" s="480" t="str">
        <f>IFERROR(VLOOKUP(G252,MODULY_CBA!$B$3:$I$23,6,0),"")</f>
        <v>Inkrement 1</v>
      </c>
      <c r="R252" s="383"/>
      <c r="S252" s="383"/>
      <c r="T252" s="383"/>
      <c r="U252" s="383"/>
      <c r="V252" s="383"/>
      <c r="W252" s="383"/>
      <c r="X252" s="383"/>
      <c r="Y252" s="383"/>
      <c r="Z252" s="383"/>
      <c r="AA252" s="383"/>
      <c r="AB252" s="383"/>
      <c r="AC252" s="383"/>
      <c r="AD252" s="383"/>
      <c r="AE252" s="383"/>
      <c r="AF252" s="376"/>
    </row>
    <row r="253" spans="1:32">
      <c r="A253" s="682" t="s">
        <v>1417</v>
      </c>
      <c r="B253" s="402" t="s">
        <v>749</v>
      </c>
      <c r="C253" s="532"/>
      <c r="D253" s="532" t="s">
        <v>1456</v>
      </c>
      <c r="E253" s="532" t="s">
        <v>1457</v>
      </c>
      <c r="F253" s="390" t="s">
        <v>806</v>
      </c>
      <c r="G253" s="390" t="s">
        <v>785</v>
      </c>
      <c r="H253" s="381">
        <v>1</v>
      </c>
      <c r="I253" s="381">
        <v>5</v>
      </c>
      <c r="J253" s="381">
        <f t="shared" si="21"/>
        <v>1</v>
      </c>
      <c r="K253" s="381">
        <f t="shared" si="22"/>
        <v>5</v>
      </c>
      <c r="L253" s="644">
        <f>IFERROR(IF(B253="funkcna poziadavka",VLOOKUP(G253,MODULY_CBA!$B$3:$E$23,4,0)*H253/SUMIFS($H$3:$H$168,$G$3:$G$168,G253,$B$3:$B$168,B253),),)</f>
        <v>6</v>
      </c>
      <c r="M253" s="381">
        <f>IFERROR(IF(B253="Funkcna poziadavka",VLOOKUP(G253,MODULY_CBA!$B$3:$E$23,3,0),),)</f>
        <v>0.99499999999999988</v>
      </c>
      <c r="N253" s="381">
        <f>IFERROR(IF(B253="funkcna poziadavka",VLOOKUP(G253,MODULY_CBA!$B$3:$E$23,2,0),),)</f>
        <v>0.99</v>
      </c>
      <c r="O253" s="380">
        <f t="shared" si="23"/>
        <v>10.835549999999998</v>
      </c>
      <c r="P253" s="379">
        <f>IFERROR(O253*VLOOKUP(G253,MODULY_CBA!$B$3:$F$23,5,0),)</f>
        <v>216.71099999999996</v>
      </c>
      <c r="Q253" s="480" t="str">
        <f>IFERROR(VLOOKUP(G253,MODULY_CBA!$B$3:$I$23,6,0),"")</f>
        <v>Inkrement 1</v>
      </c>
      <c r="R253" s="383"/>
      <c r="S253" s="383"/>
      <c r="T253" s="383"/>
      <c r="U253" s="383"/>
      <c r="V253" s="383"/>
      <c r="W253" s="383"/>
      <c r="X253" s="383"/>
      <c r="Y253" s="383"/>
      <c r="Z253" s="383"/>
      <c r="AA253" s="383"/>
      <c r="AB253" s="383"/>
      <c r="AC253" s="383"/>
      <c r="AD253" s="383"/>
      <c r="AE253" s="383"/>
      <c r="AF253" s="376"/>
    </row>
    <row r="254" spans="1:32" ht="25.5">
      <c r="A254" s="682" t="s">
        <v>1419</v>
      </c>
      <c r="B254" s="402" t="s">
        <v>749</v>
      </c>
      <c r="C254" s="532"/>
      <c r="D254" s="532" t="s">
        <v>1117</v>
      </c>
      <c r="E254" s="532" t="s">
        <v>1118</v>
      </c>
      <c r="F254" s="390" t="s">
        <v>806</v>
      </c>
      <c r="G254" s="390" t="s">
        <v>785</v>
      </c>
      <c r="H254" s="381">
        <v>1</v>
      </c>
      <c r="I254" s="381">
        <v>5</v>
      </c>
      <c r="J254" s="381">
        <f t="shared" si="21"/>
        <v>1</v>
      </c>
      <c r="K254" s="381">
        <f t="shared" si="22"/>
        <v>5</v>
      </c>
      <c r="L254" s="644">
        <f>IFERROR(IF(B254="funkcna poziadavka",VLOOKUP(G254,MODULY_CBA!$B$3:$E$23,4,0)*H254/SUMIFS($H$3:$H$168,$G$3:$G$168,G254,$B$3:$B$168,B254),),)</f>
        <v>6</v>
      </c>
      <c r="M254" s="381">
        <f>IFERROR(IF(B254="Funkcna poziadavka",VLOOKUP(G254,MODULY_CBA!$B$3:$E$23,3,0),),)</f>
        <v>0.99499999999999988</v>
      </c>
      <c r="N254" s="381">
        <f>IFERROR(IF(B254="funkcna poziadavka",VLOOKUP(G254,MODULY_CBA!$B$3:$E$23,2,0),),)</f>
        <v>0.99</v>
      </c>
      <c r="O254" s="380">
        <f t="shared" si="23"/>
        <v>10.835549999999998</v>
      </c>
      <c r="P254" s="379">
        <f>IFERROR(O254*VLOOKUP(G254,MODULY_CBA!$B$3:$F$23,5,0),)</f>
        <v>216.71099999999996</v>
      </c>
      <c r="Q254" s="480" t="str">
        <f>IFERROR(VLOOKUP(G254,MODULY_CBA!$B$3:$I$23,6,0),"")</f>
        <v>Inkrement 1</v>
      </c>
      <c r="R254" s="383"/>
      <c r="S254" s="383"/>
      <c r="T254" s="383"/>
      <c r="U254" s="383"/>
      <c r="V254" s="383"/>
      <c r="W254" s="383"/>
      <c r="X254" s="383"/>
      <c r="Y254" s="383"/>
      <c r="Z254" s="383"/>
      <c r="AA254" s="383"/>
      <c r="AB254" s="383"/>
      <c r="AC254" s="383"/>
      <c r="AD254" s="383"/>
      <c r="AE254" s="383"/>
      <c r="AF254" s="376"/>
    </row>
    <row r="255" spans="1:32">
      <c r="A255" s="682" t="s">
        <v>1420</v>
      </c>
      <c r="B255" s="402" t="s">
        <v>749</v>
      </c>
      <c r="C255" s="532"/>
      <c r="D255" s="532" t="s">
        <v>1120</v>
      </c>
      <c r="E255" s="532" t="s">
        <v>1121</v>
      </c>
      <c r="F255" s="390" t="s">
        <v>806</v>
      </c>
      <c r="G255" s="390" t="s">
        <v>785</v>
      </c>
      <c r="H255" s="381">
        <v>1</v>
      </c>
      <c r="I255" s="381">
        <v>5</v>
      </c>
      <c r="J255" s="381">
        <f t="shared" si="21"/>
        <v>1</v>
      </c>
      <c r="K255" s="381">
        <f t="shared" si="22"/>
        <v>5</v>
      </c>
      <c r="L255" s="644">
        <f>IFERROR(IF(B255="funkcna poziadavka",VLOOKUP(G255,MODULY_CBA!$B$3:$E$23,4,0)*H255/SUMIFS($H$3:$H$168,$G$3:$G$168,G255,$B$3:$B$168,B255),),)</f>
        <v>6</v>
      </c>
      <c r="M255" s="381">
        <f>IFERROR(IF(B255="Funkcna poziadavka",VLOOKUP(G255,MODULY_CBA!$B$3:$E$23,3,0),),)</f>
        <v>0.99499999999999988</v>
      </c>
      <c r="N255" s="381">
        <f>IFERROR(IF(B255="funkcna poziadavka",VLOOKUP(G255,MODULY_CBA!$B$3:$E$23,2,0),),)</f>
        <v>0.99</v>
      </c>
      <c r="O255" s="380">
        <f t="shared" si="23"/>
        <v>10.835549999999998</v>
      </c>
      <c r="P255" s="379">
        <f>IFERROR(O255*VLOOKUP(G255,MODULY_CBA!$B$3:$F$23,5,0),)</f>
        <v>216.71099999999996</v>
      </c>
      <c r="Q255" s="480" t="str">
        <f>IFERROR(VLOOKUP(G255,MODULY_CBA!$B$3:$I$23,6,0),"")</f>
        <v>Inkrement 1</v>
      </c>
      <c r="R255" s="383"/>
      <c r="S255" s="383"/>
      <c r="T255" s="383"/>
      <c r="U255" s="383"/>
      <c r="V255" s="383"/>
      <c r="W255" s="383"/>
      <c r="X255" s="383"/>
      <c r="Y255" s="383"/>
      <c r="Z255" s="383"/>
      <c r="AA255" s="383"/>
      <c r="AB255" s="383"/>
      <c r="AC255" s="383"/>
      <c r="AD255" s="383"/>
      <c r="AE255" s="383"/>
      <c r="AF255" s="376"/>
    </row>
    <row r="256" spans="1:32" ht="38.25">
      <c r="A256" s="682" t="s">
        <v>1423</v>
      </c>
      <c r="B256" s="402" t="s">
        <v>749</v>
      </c>
      <c r="C256" s="532"/>
      <c r="D256" s="532" t="s">
        <v>1123</v>
      </c>
      <c r="E256" s="532" t="s">
        <v>1124</v>
      </c>
      <c r="F256" s="390" t="s">
        <v>806</v>
      </c>
      <c r="G256" s="390" t="s">
        <v>785</v>
      </c>
      <c r="H256" s="381">
        <v>1</v>
      </c>
      <c r="I256" s="381">
        <v>5</v>
      </c>
      <c r="J256" s="381">
        <f t="shared" si="21"/>
        <v>1</v>
      </c>
      <c r="K256" s="381">
        <f t="shared" si="22"/>
        <v>5</v>
      </c>
      <c r="L256" s="644">
        <f>IFERROR(IF(B256="funkcna poziadavka",VLOOKUP(G256,MODULY_CBA!$B$3:$E$23,4,0)*H256/SUMIFS($H$3:$H$168,$G$3:$G$168,G256,$B$3:$B$168,B256),),)</f>
        <v>6</v>
      </c>
      <c r="M256" s="381">
        <f>IFERROR(IF(B256="Funkcna poziadavka",VLOOKUP(G256,MODULY_CBA!$B$3:$E$23,3,0),),)</f>
        <v>0.99499999999999988</v>
      </c>
      <c r="N256" s="381">
        <f>IFERROR(IF(B256="funkcna poziadavka",VLOOKUP(G256,MODULY_CBA!$B$3:$E$23,2,0),),)</f>
        <v>0.99</v>
      </c>
      <c r="O256" s="380">
        <f t="shared" si="23"/>
        <v>10.835549999999998</v>
      </c>
      <c r="P256" s="379">
        <f>IFERROR(O256*VLOOKUP(G256,MODULY_CBA!$B$3:$F$23,5,0),)</f>
        <v>216.71099999999996</v>
      </c>
      <c r="Q256" s="480" t="str">
        <f>IFERROR(VLOOKUP(G256,MODULY_CBA!$B$3:$I$23,6,0),"")</f>
        <v>Inkrement 1</v>
      </c>
      <c r="R256" s="383"/>
      <c r="S256" s="383"/>
      <c r="T256" s="383"/>
      <c r="U256" s="383"/>
      <c r="V256" s="383"/>
      <c r="W256" s="383"/>
      <c r="X256" s="383"/>
      <c r="Y256" s="383"/>
      <c r="Z256" s="383"/>
      <c r="AA256" s="383"/>
      <c r="AB256" s="383"/>
      <c r="AC256" s="383"/>
      <c r="AD256" s="383"/>
      <c r="AE256" s="383"/>
      <c r="AF256" s="376"/>
    </row>
    <row r="257" spans="1:32">
      <c r="A257" s="682" t="s">
        <v>1425</v>
      </c>
      <c r="B257" s="402" t="s">
        <v>749</v>
      </c>
      <c r="C257" s="532"/>
      <c r="D257" s="532" t="s">
        <v>1462</v>
      </c>
      <c r="E257" s="532" t="s">
        <v>1463</v>
      </c>
      <c r="F257" s="390" t="s">
        <v>806</v>
      </c>
      <c r="G257" s="390" t="s">
        <v>785</v>
      </c>
      <c r="H257" s="381">
        <v>1</v>
      </c>
      <c r="I257" s="381">
        <v>5</v>
      </c>
      <c r="J257" s="381">
        <f t="shared" si="21"/>
        <v>1</v>
      </c>
      <c r="K257" s="381">
        <f t="shared" si="22"/>
        <v>5</v>
      </c>
      <c r="L257" s="644">
        <f>IFERROR(IF(B257="funkcna poziadavka",VLOOKUP(G257,MODULY_CBA!$B$3:$E$23,4,0)*H257/SUMIFS($H$3:$H$168,$G$3:$G$168,G257,$B$3:$B$168,B257),),)</f>
        <v>6</v>
      </c>
      <c r="M257" s="381">
        <f>IFERROR(IF(B257="Funkcna poziadavka",VLOOKUP(G257,MODULY_CBA!$B$3:$E$23,3,0),),)</f>
        <v>0.99499999999999988</v>
      </c>
      <c r="N257" s="381">
        <f>IFERROR(IF(B257="funkcna poziadavka",VLOOKUP(G257,MODULY_CBA!$B$3:$E$23,2,0),),)</f>
        <v>0.99</v>
      </c>
      <c r="O257" s="380">
        <f t="shared" si="23"/>
        <v>10.835549999999998</v>
      </c>
      <c r="P257" s="379">
        <f>IFERROR(O257*VLOOKUP(G257,MODULY_CBA!$B$3:$F$23,5,0),)</f>
        <v>216.71099999999996</v>
      </c>
      <c r="Q257" s="480" t="str">
        <f>IFERROR(VLOOKUP(G257,MODULY_CBA!$B$3:$I$23,6,0),"")</f>
        <v>Inkrement 1</v>
      </c>
      <c r="R257" s="383"/>
      <c r="S257" s="383"/>
      <c r="T257" s="383"/>
      <c r="U257" s="383"/>
      <c r="V257" s="383"/>
      <c r="W257" s="383"/>
      <c r="X257" s="383"/>
      <c r="Y257" s="383"/>
      <c r="Z257" s="383"/>
      <c r="AA257" s="383"/>
      <c r="AB257" s="383"/>
      <c r="AC257" s="383"/>
      <c r="AD257" s="383"/>
      <c r="AE257" s="383"/>
      <c r="AF257" s="376"/>
    </row>
    <row r="258" spans="1:32">
      <c r="A258" s="682" t="s">
        <v>1426</v>
      </c>
      <c r="B258" s="402" t="s">
        <v>749</v>
      </c>
      <c r="C258" s="532"/>
      <c r="D258" s="532" t="s">
        <v>1135</v>
      </c>
      <c r="E258" s="532" t="s">
        <v>1136</v>
      </c>
      <c r="F258" s="390" t="s">
        <v>806</v>
      </c>
      <c r="G258" s="390" t="s">
        <v>785</v>
      </c>
      <c r="H258" s="381">
        <v>1</v>
      </c>
      <c r="I258" s="381">
        <v>5</v>
      </c>
      <c r="J258" s="381">
        <f t="shared" si="21"/>
        <v>1</v>
      </c>
      <c r="K258" s="381">
        <f t="shared" si="22"/>
        <v>5</v>
      </c>
      <c r="L258" s="644">
        <f>IFERROR(IF(B258="funkcna poziadavka",VLOOKUP(G258,MODULY_CBA!$B$3:$E$23,4,0)*H258/SUMIFS($H$3:$H$168,$G$3:$G$168,G258,$B$3:$B$168,B258),),)</f>
        <v>6</v>
      </c>
      <c r="M258" s="381">
        <f>IFERROR(IF(B258="Funkcna poziadavka",VLOOKUP(G258,MODULY_CBA!$B$3:$E$23,3,0),),)</f>
        <v>0.99499999999999988</v>
      </c>
      <c r="N258" s="381">
        <f>IFERROR(IF(B258="funkcna poziadavka",VLOOKUP(G258,MODULY_CBA!$B$3:$E$23,2,0),),)</f>
        <v>0.99</v>
      </c>
      <c r="O258" s="380">
        <f t="shared" si="23"/>
        <v>10.835549999999998</v>
      </c>
      <c r="P258" s="379">
        <f>IFERROR(O258*VLOOKUP(G258,MODULY_CBA!$B$3:$F$23,5,0),)</f>
        <v>216.71099999999996</v>
      </c>
      <c r="Q258" s="480" t="str">
        <f>IFERROR(VLOOKUP(G258,MODULY_CBA!$B$3:$I$23,6,0),"")</f>
        <v>Inkrement 1</v>
      </c>
      <c r="R258" s="383"/>
      <c r="S258" s="383"/>
      <c r="T258" s="383"/>
      <c r="U258" s="383"/>
      <c r="V258" s="383"/>
      <c r="W258" s="383"/>
      <c r="X258" s="383"/>
      <c r="Y258" s="383"/>
      <c r="Z258" s="383"/>
      <c r="AA258" s="383"/>
      <c r="AB258" s="383"/>
      <c r="AC258" s="383"/>
      <c r="AD258" s="383"/>
      <c r="AE258" s="383"/>
      <c r="AF258" s="376"/>
    </row>
    <row r="259" spans="1:32" ht="25.5">
      <c r="A259" s="682" t="s">
        <v>1427</v>
      </c>
      <c r="B259" s="402" t="s">
        <v>749</v>
      </c>
      <c r="C259" s="532"/>
      <c r="D259" s="532" t="s">
        <v>1165</v>
      </c>
      <c r="E259" s="532" t="s">
        <v>1166</v>
      </c>
      <c r="F259" s="390" t="s">
        <v>806</v>
      </c>
      <c r="G259" s="390" t="s">
        <v>785</v>
      </c>
      <c r="H259" s="381">
        <v>1</v>
      </c>
      <c r="I259" s="381">
        <v>5</v>
      </c>
      <c r="J259" s="381">
        <f t="shared" si="21"/>
        <v>1</v>
      </c>
      <c r="K259" s="381">
        <f t="shared" si="22"/>
        <v>5</v>
      </c>
      <c r="L259" s="644">
        <f>IFERROR(IF(B259="funkcna poziadavka",VLOOKUP(G259,MODULY_CBA!$B$3:$E$23,4,0)*H259/SUMIFS($H$3:$H$168,$G$3:$G$168,G259,$B$3:$B$168,B259),),)</f>
        <v>6</v>
      </c>
      <c r="M259" s="381">
        <f>IFERROR(IF(B259="Funkcna poziadavka",VLOOKUP(G259,MODULY_CBA!$B$3:$E$23,3,0),),)</f>
        <v>0.99499999999999988</v>
      </c>
      <c r="N259" s="381">
        <f>IFERROR(IF(B259="funkcna poziadavka",VLOOKUP(G259,MODULY_CBA!$B$3:$E$23,2,0),),)</f>
        <v>0.99</v>
      </c>
      <c r="O259" s="380">
        <f t="shared" si="23"/>
        <v>10.835549999999998</v>
      </c>
      <c r="P259" s="379">
        <f>IFERROR(O259*VLOOKUP(G259,MODULY_CBA!$B$3:$F$23,5,0),)</f>
        <v>216.71099999999996</v>
      </c>
      <c r="Q259" s="480" t="str">
        <f>IFERROR(VLOOKUP(G259,MODULY_CBA!$B$3:$I$23,6,0),"")</f>
        <v>Inkrement 1</v>
      </c>
      <c r="R259" s="383"/>
      <c r="S259" s="383"/>
      <c r="T259" s="383"/>
      <c r="U259" s="383"/>
      <c r="V259" s="383"/>
      <c r="W259" s="383"/>
      <c r="X259" s="383"/>
      <c r="Y259" s="383"/>
      <c r="Z259" s="383"/>
      <c r="AA259" s="383"/>
      <c r="AB259" s="383"/>
      <c r="AC259" s="383"/>
      <c r="AD259" s="383"/>
      <c r="AE259" s="383"/>
      <c r="AF259" s="376"/>
    </row>
    <row r="260" spans="1:32" ht="25.5">
      <c r="A260" s="682" t="s">
        <v>1428</v>
      </c>
      <c r="B260" s="402" t="s">
        <v>749</v>
      </c>
      <c r="C260" s="532"/>
      <c r="D260" s="532" t="s">
        <v>1168</v>
      </c>
      <c r="E260" s="532" t="s">
        <v>1169</v>
      </c>
      <c r="F260" s="390" t="s">
        <v>806</v>
      </c>
      <c r="G260" s="390" t="s">
        <v>785</v>
      </c>
      <c r="H260" s="381">
        <v>1</v>
      </c>
      <c r="I260" s="381">
        <v>5</v>
      </c>
      <c r="J260" s="381">
        <f t="shared" si="21"/>
        <v>1</v>
      </c>
      <c r="K260" s="381">
        <f t="shared" si="22"/>
        <v>5</v>
      </c>
      <c r="L260" s="644">
        <f>IFERROR(IF(B260="funkcna poziadavka",VLOOKUP(G260,MODULY_CBA!$B$3:$E$23,4,0)*H260/SUMIFS($H$3:$H$168,$G$3:$G$168,G260,$B$3:$B$168,B260),),)</f>
        <v>6</v>
      </c>
      <c r="M260" s="381">
        <f>IFERROR(IF(B260="Funkcna poziadavka",VLOOKUP(G260,MODULY_CBA!$B$3:$E$23,3,0),),)</f>
        <v>0.99499999999999988</v>
      </c>
      <c r="N260" s="381">
        <f>IFERROR(IF(B260="funkcna poziadavka",VLOOKUP(G260,MODULY_CBA!$B$3:$E$23,2,0),),)</f>
        <v>0.99</v>
      </c>
      <c r="O260" s="380">
        <f t="shared" si="23"/>
        <v>10.835549999999998</v>
      </c>
      <c r="P260" s="379">
        <f>IFERROR(O260*VLOOKUP(G260,MODULY_CBA!$B$3:$F$23,5,0),)</f>
        <v>216.71099999999996</v>
      </c>
      <c r="Q260" s="480" t="str">
        <f>IFERROR(VLOOKUP(G260,MODULY_CBA!$B$3:$I$23,6,0),"")</f>
        <v>Inkrement 1</v>
      </c>
      <c r="R260" s="383"/>
      <c r="S260" s="383"/>
      <c r="T260" s="383"/>
      <c r="U260" s="383"/>
      <c r="V260" s="383"/>
      <c r="W260" s="383"/>
      <c r="X260" s="383"/>
      <c r="Y260" s="383"/>
      <c r="Z260" s="383"/>
      <c r="AA260" s="383"/>
      <c r="AB260" s="383"/>
      <c r="AC260" s="383"/>
      <c r="AD260" s="383"/>
      <c r="AE260" s="383"/>
      <c r="AF260" s="376"/>
    </row>
    <row r="261" spans="1:32" ht="25.5">
      <c r="A261" s="682" t="s">
        <v>1429</v>
      </c>
      <c r="B261" s="402" t="s">
        <v>749</v>
      </c>
      <c r="C261" s="532"/>
      <c r="D261" s="532" t="s">
        <v>1171</v>
      </c>
      <c r="E261" s="532" t="s">
        <v>1172</v>
      </c>
      <c r="F261" s="390" t="s">
        <v>806</v>
      </c>
      <c r="G261" s="390" t="s">
        <v>785</v>
      </c>
      <c r="H261" s="381">
        <v>1</v>
      </c>
      <c r="I261" s="381">
        <v>5</v>
      </c>
      <c r="J261" s="381">
        <f t="shared" si="21"/>
        <v>1</v>
      </c>
      <c r="K261" s="381">
        <f t="shared" si="22"/>
        <v>5</v>
      </c>
      <c r="L261" s="644">
        <f>IFERROR(IF(B261="funkcna poziadavka",VLOOKUP(G261,MODULY_CBA!$B$3:$E$23,4,0)*H261/SUMIFS($H$3:$H$168,$G$3:$G$168,G261,$B$3:$B$168,B261),),)</f>
        <v>6</v>
      </c>
      <c r="M261" s="381">
        <f>IFERROR(IF(B261="Funkcna poziadavka",VLOOKUP(G261,MODULY_CBA!$B$3:$E$23,3,0),),)</f>
        <v>0.99499999999999988</v>
      </c>
      <c r="N261" s="381">
        <f>IFERROR(IF(B261="funkcna poziadavka",VLOOKUP(G261,MODULY_CBA!$B$3:$E$23,2,0),),)</f>
        <v>0.99</v>
      </c>
      <c r="O261" s="380">
        <f t="shared" si="23"/>
        <v>10.835549999999998</v>
      </c>
      <c r="P261" s="379">
        <f>IFERROR(O261*VLOOKUP(G261,MODULY_CBA!$B$3:$F$23,5,0),)</f>
        <v>216.71099999999996</v>
      </c>
      <c r="Q261" s="480" t="str">
        <f>IFERROR(VLOOKUP(G261,MODULY_CBA!$B$3:$I$23,6,0),"")</f>
        <v>Inkrement 1</v>
      </c>
      <c r="R261" s="383"/>
      <c r="S261" s="383"/>
      <c r="T261" s="383"/>
      <c r="U261" s="383"/>
      <c r="V261" s="383"/>
      <c r="W261" s="383"/>
      <c r="X261" s="383"/>
      <c r="Y261" s="383"/>
      <c r="Z261" s="383"/>
      <c r="AA261" s="383"/>
      <c r="AB261" s="383"/>
      <c r="AC261" s="383"/>
      <c r="AD261" s="383"/>
      <c r="AE261" s="383"/>
      <c r="AF261" s="376"/>
    </row>
    <row r="262" spans="1:32">
      <c r="A262" s="682" t="s">
        <v>1430</v>
      </c>
      <c r="B262" s="402" t="s">
        <v>749</v>
      </c>
      <c r="C262" s="532"/>
      <c r="D262" s="532" t="s">
        <v>1175</v>
      </c>
      <c r="E262" s="532" t="s">
        <v>1176</v>
      </c>
      <c r="F262" s="390" t="s">
        <v>806</v>
      </c>
      <c r="G262" s="390" t="s">
        <v>785</v>
      </c>
      <c r="H262" s="381">
        <v>1</v>
      </c>
      <c r="I262" s="381">
        <v>5</v>
      </c>
      <c r="J262" s="381">
        <f t="shared" si="21"/>
        <v>1</v>
      </c>
      <c r="K262" s="381">
        <f t="shared" si="22"/>
        <v>5</v>
      </c>
      <c r="L262" s="644">
        <f>IFERROR(IF(B262="funkcna poziadavka",VLOOKUP(G262,MODULY_CBA!$B$3:$E$23,4,0)*H262/SUMIFS($H$3:$H$168,$G$3:$G$168,G262,$B$3:$B$168,B262),),)</f>
        <v>6</v>
      </c>
      <c r="M262" s="381">
        <f>IFERROR(IF(B262="Funkcna poziadavka",VLOOKUP(G262,MODULY_CBA!$B$3:$E$23,3,0),),)</f>
        <v>0.99499999999999988</v>
      </c>
      <c r="N262" s="381">
        <f>IFERROR(IF(B262="funkcna poziadavka",VLOOKUP(G262,MODULY_CBA!$B$3:$E$23,2,0),),)</f>
        <v>0.99</v>
      </c>
      <c r="O262" s="380">
        <f t="shared" si="23"/>
        <v>10.835549999999998</v>
      </c>
      <c r="P262" s="379">
        <f>IFERROR(O262*VLOOKUP(G262,MODULY_CBA!$B$3:$F$23,5,0),)</f>
        <v>216.71099999999996</v>
      </c>
      <c r="Q262" s="480" t="str">
        <f>IFERROR(VLOOKUP(G262,MODULY_CBA!$B$3:$I$23,6,0),"")</f>
        <v>Inkrement 1</v>
      </c>
      <c r="R262" s="383"/>
      <c r="S262" s="383"/>
      <c r="T262" s="383"/>
      <c r="U262" s="383"/>
      <c r="V262" s="383"/>
      <c r="W262" s="383"/>
      <c r="X262" s="383"/>
      <c r="Y262" s="383"/>
      <c r="Z262" s="383"/>
      <c r="AA262" s="383"/>
      <c r="AB262" s="383"/>
      <c r="AC262" s="383"/>
      <c r="AD262" s="383"/>
      <c r="AE262" s="383"/>
      <c r="AF262" s="376"/>
    </row>
    <row r="263" spans="1:32">
      <c r="A263" s="682" t="s">
        <v>1431</v>
      </c>
      <c r="B263" s="402" t="s">
        <v>749</v>
      </c>
      <c r="C263" s="532"/>
      <c r="D263" s="532" t="s">
        <v>1481</v>
      </c>
      <c r="E263" s="532" t="s">
        <v>1482</v>
      </c>
      <c r="F263" s="390" t="s">
        <v>806</v>
      </c>
      <c r="G263" s="390" t="s">
        <v>785</v>
      </c>
      <c r="H263" s="381">
        <v>1</v>
      </c>
      <c r="I263" s="381">
        <v>10</v>
      </c>
      <c r="K263" s="381">
        <f t="shared" ref="K263:K322" si="24">H263*I263</f>
        <v>10</v>
      </c>
      <c r="L263" s="644">
        <f>IFERROR(IF(B263="funkcna poziadavka",VLOOKUP(G263,MODULY_CBA!$B$3:$E$23,4,0)*H263/SUMIFS($H$3:$H$168,$G$3:$G$168,G263,$B$3:$B$168,B263),),)</f>
        <v>6</v>
      </c>
      <c r="M263" s="381">
        <f>IFERROR(IF(B263="Funkcna poziadavka",VLOOKUP(G263,MODULY_CBA!$B$3:$E$23,3,0),),)</f>
        <v>0.99499999999999988</v>
      </c>
      <c r="N263" s="381">
        <f>IFERROR(IF(B263="funkcna poziadavka",VLOOKUP(G263,MODULY_CBA!$B$3:$E$23,2,0),),)</f>
        <v>0.99</v>
      </c>
      <c r="O263" s="380">
        <f t="shared" ref="O263:O322" si="25">(K263+L263)*M263*N263</f>
        <v>15.760799999999998</v>
      </c>
      <c r="P263" s="379">
        <f>IFERROR(O263*VLOOKUP(G263,MODULY_CBA!$B$3:$F$23,5,0),)</f>
        <v>315.21599999999995</v>
      </c>
      <c r="Q263" s="480" t="str">
        <f>IFERROR(VLOOKUP(G263,MODULY_CBA!$B$3:$I$23,6,0),"")</f>
        <v>Inkrement 1</v>
      </c>
    </row>
    <row r="264" spans="1:32">
      <c r="A264" s="682" t="s">
        <v>1433</v>
      </c>
      <c r="B264" s="402" t="s">
        <v>749</v>
      </c>
      <c r="C264" s="532"/>
      <c r="D264" s="532" t="s">
        <v>1484</v>
      </c>
      <c r="E264" s="532" t="s">
        <v>1485</v>
      </c>
      <c r="F264" s="390" t="s">
        <v>806</v>
      </c>
      <c r="G264" s="390" t="s">
        <v>785</v>
      </c>
      <c r="H264" s="381">
        <v>1</v>
      </c>
      <c r="I264" s="381">
        <v>5</v>
      </c>
      <c r="K264" s="381">
        <f t="shared" si="24"/>
        <v>5</v>
      </c>
      <c r="L264" s="644">
        <f>IFERROR(IF(B264="funkcna poziadavka",VLOOKUP(G264,MODULY_CBA!$B$3:$E$23,4,0)*H264/SUMIFS($H$3:$H$168,$G$3:$G$168,G264,$B$3:$B$168,B264),),)</f>
        <v>6</v>
      </c>
      <c r="M264" s="381">
        <f>IFERROR(IF(B264="Funkcna poziadavka",VLOOKUP(G264,MODULY_CBA!$B$3:$E$23,3,0),),)</f>
        <v>0.99499999999999988</v>
      </c>
      <c r="N264" s="381">
        <f>IFERROR(IF(B264="funkcna poziadavka",VLOOKUP(G264,MODULY_CBA!$B$3:$E$23,2,0),),)</f>
        <v>0.99</v>
      </c>
      <c r="O264" s="380">
        <f t="shared" si="25"/>
        <v>10.835549999999998</v>
      </c>
      <c r="P264" s="379">
        <f>IFERROR(O264*VLOOKUP(G264,MODULY_CBA!$B$3:$F$23,5,0),)</f>
        <v>216.71099999999996</v>
      </c>
      <c r="Q264" s="480" t="str">
        <f>IFERROR(VLOOKUP(G264,MODULY_CBA!$B$3:$I$23,6,0),"")</f>
        <v>Inkrement 1</v>
      </c>
    </row>
    <row r="265" spans="1:32">
      <c r="A265" s="682" t="s">
        <v>1434</v>
      </c>
      <c r="B265" s="402" t="s">
        <v>749</v>
      </c>
      <c r="C265" s="532"/>
      <c r="D265" s="532" t="s">
        <v>1487</v>
      </c>
      <c r="E265" s="532" t="s">
        <v>1488</v>
      </c>
      <c r="F265" s="390" t="s">
        <v>806</v>
      </c>
      <c r="G265" s="390" t="s">
        <v>785</v>
      </c>
      <c r="H265" s="381">
        <v>1</v>
      </c>
      <c r="I265" s="381">
        <v>5</v>
      </c>
      <c r="K265" s="381">
        <f t="shared" si="24"/>
        <v>5</v>
      </c>
      <c r="L265" s="644">
        <f>IFERROR(IF(B265="funkcna poziadavka",VLOOKUP(G265,MODULY_CBA!$B$3:$E$23,4,0)*H265/SUMIFS($H$3:$H$168,$G$3:$G$168,G265,$B$3:$B$168,B265),),)</f>
        <v>6</v>
      </c>
      <c r="M265" s="381">
        <f>IFERROR(IF(B265="Funkcna poziadavka",VLOOKUP(G265,MODULY_CBA!$B$3:$E$23,3,0),),)</f>
        <v>0.99499999999999988</v>
      </c>
      <c r="N265" s="381">
        <f>IFERROR(IF(B265="funkcna poziadavka",VLOOKUP(G265,MODULY_CBA!$B$3:$E$23,2,0),),)</f>
        <v>0.99</v>
      </c>
      <c r="O265" s="380">
        <f t="shared" si="25"/>
        <v>10.835549999999998</v>
      </c>
      <c r="P265" s="379">
        <f>IFERROR(O265*VLOOKUP(G265,MODULY_CBA!$B$3:$F$23,5,0),)</f>
        <v>216.71099999999996</v>
      </c>
      <c r="Q265" s="480" t="str">
        <f>IFERROR(VLOOKUP(G265,MODULY_CBA!$B$3:$I$23,6,0),"")</f>
        <v>Inkrement 1</v>
      </c>
    </row>
    <row r="266" spans="1:32" ht="25.5">
      <c r="A266" s="682" t="s">
        <v>1435</v>
      </c>
      <c r="B266" s="402" t="s">
        <v>749</v>
      </c>
      <c r="C266" s="532"/>
      <c r="D266" s="532" t="s">
        <v>1490</v>
      </c>
      <c r="E266" s="532" t="s">
        <v>1491</v>
      </c>
      <c r="F266" s="390" t="s">
        <v>806</v>
      </c>
      <c r="G266" s="390" t="s">
        <v>785</v>
      </c>
      <c r="H266" s="381">
        <v>1</v>
      </c>
      <c r="I266" s="381">
        <v>5</v>
      </c>
      <c r="K266" s="381">
        <f t="shared" si="24"/>
        <v>5</v>
      </c>
      <c r="L266" s="644">
        <f>IFERROR(IF(B266="funkcna poziadavka",VLOOKUP(G266,MODULY_CBA!$B$3:$E$23,4,0)*H266/SUMIFS($H$3:$H$168,$G$3:$G$168,G266,$B$3:$B$168,B266),),)</f>
        <v>6</v>
      </c>
      <c r="M266" s="381">
        <f>IFERROR(IF(B266="Funkcna poziadavka",VLOOKUP(G266,MODULY_CBA!$B$3:$E$23,3,0),),)</f>
        <v>0.99499999999999988</v>
      </c>
      <c r="N266" s="381">
        <f>IFERROR(IF(B266="funkcna poziadavka",VLOOKUP(G266,MODULY_CBA!$B$3:$E$23,2,0),),)</f>
        <v>0.99</v>
      </c>
      <c r="O266" s="380">
        <f t="shared" si="25"/>
        <v>10.835549999999998</v>
      </c>
      <c r="P266" s="379">
        <f>IFERROR(O266*VLOOKUP(G266,MODULY_CBA!$B$3:$F$23,5,0),)</f>
        <v>216.71099999999996</v>
      </c>
      <c r="Q266" s="480" t="str">
        <f>IFERROR(VLOOKUP(G266,MODULY_CBA!$B$3:$I$23,6,0),"")</f>
        <v>Inkrement 1</v>
      </c>
    </row>
    <row r="267" spans="1:32">
      <c r="A267" s="682" t="s">
        <v>1436</v>
      </c>
      <c r="B267" s="402" t="s">
        <v>749</v>
      </c>
      <c r="C267" s="532"/>
      <c r="D267" s="532" t="s">
        <v>1493</v>
      </c>
      <c r="E267" s="532" t="s">
        <v>1494</v>
      </c>
      <c r="F267" s="390" t="s">
        <v>806</v>
      </c>
      <c r="G267" s="390" t="s">
        <v>785</v>
      </c>
      <c r="H267" s="381">
        <v>1</v>
      </c>
      <c r="I267" s="381">
        <v>5</v>
      </c>
      <c r="K267" s="381">
        <f t="shared" si="24"/>
        <v>5</v>
      </c>
      <c r="L267" s="644">
        <f>IFERROR(IF(B267="funkcna poziadavka",VLOOKUP(G267,MODULY_CBA!$B$3:$E$23,4,0)*H267/SUMIFS($H$3:$H$168,$G$3:$G$168,G267,$B$3:$B$168,B267),),)</f>
        <v>6</v>
      </c>
      <c r="M267" s="381">
        <f>IFERROR(IF(B267="Funkcna poziadavka",VLOOKUP(G267,MODULY_CBA!$B$3:$E$23,3,0),),)</f>
        <v>0.99499999999999988</v>
      </c>
      <c r="N267" s="381">
        <f>IFERROR(IF(B267="funkcna poziadavka",VLOOKUP(G267,MODULY_CBA!$B$3:$E$23,2,0),),)</f>
        <v>0.99</v>
      </c>
      <c r="O267" s="380">
        <f t="shared" si="25"/>
        <v>10.835549999999998</v>
      </c>
      <c r="P267" s="379">
        <f>IFERROR(O267*VLOOKUP(G267,MODULY_CBA!$B$3:$F$23,5,0),)</f>
        <v>216.71099999999996</v>
      </c>
      <c r="Q267" s="480" t="str">
        <f>IFERROR(VLOOKUP(G267,MODULY_CBA!$B$3:$I$23,6,0),"")</f>
        <v>Inkrement 1</v>
      </c>
    </row>
    <row r="268" spans="1:32">
      <c r="A268" s="682" t="s">
        <v>1437</v>
      </c>
      <c r="B268" s="402" t="s">
        <v>749</v>
      </c>
      <c r="C268" s="532"/>
      <c r="D268" s="532" t="s">
        <v>1496</v>
      </c>
      <c r="E268" s="532" t="s">
        <v>1497</v>
      </c>
      <c r="F268" s="390" t="s">
        <v>806</v>
      </c>
      <c r="G268" s="390" t="s">
        <v>785</v>
      </c>
      <c r="H268" s="381">
        <v>1</v>
      </c>
      <c r="I268" s="381">
        <v>5</v>
      </c>
      <c r="K268" s="381">
        <f t="shared" si="24"/>
        <v>5</v>
      </c>
      <c r="L268" s="644">
        <f>IFERROR(IF(B268="funkcna poziadavka",VLOOKUP(G268,MODULY_CBA!$B$3:$E$23,4,0)*H268/SUMIFS($H$3:$H$168,$G$3:$G$168,G268,$B$3:$B$168,B268),),)</f>
        <v>6</v>
      </c>
      <c r="M268" s="381">
        <f>IFERROR(IF(B268="Funkcna poziadavka",VLOOKUP(G268,MODULY_CBA!$B$3:$E$23,3,0),),)</f>
        <v>0.99499999999999988</v>
      </c>
      <c r="N268" s="381">
        <f>IFERROR(IF(B268="funkcna poziadavka",VLOOKUP(G268,MODULY_CBA!$B$3:$E$23,2,0),),)</f>
        <v>0.99</v>
      </c>
      <c r="O268" s="380">
        <f t="shared" si="25"/>
        <v>10.835549999999998</v>
      </c>
      <c r="P268" s="379">
        <f>IFERROR(O268*VLOOKUP(G268,MODULY_CBA!$B$3:$F$23,5,0),)</f>
        <v>216.71099999999996</v>
      </c>
      <c r="Q268" s="480" t="str">
        <f>IFERROR(VLOOKUP(G268,MODULY_CBA!$B$3:$I$23,6,0),"")</f>
        <v>Inkrement 1</v>
      </c>
    </row>
    <row r="269" spans="1:32">
      <c r="A269" s="682" t="s">
        <v>1438</v>
      </c>
      <c r="B269" s="402" t="s">
        <v>749</v>
      </c>
      <c r="C269" s="532"/>
      <c r="D269" s="532" t="s">
        <v>1499</v>
      </c>
      <c r="E269" s="532" t="s">
        <v>1500</v>
      </c>
      <c r="F269" s="390" t="s">
        <v>806</v>
      </c>
      <c r="G269" s="390" t="s">
        <v>785</v>
      </c>
      <c r="H269" s="381">
        <v>1</v>
      </c>
      <c r="I269" s="381">
        <v>5</v>
      </c>
      <c r="K269" s="381">
        <f t="shared" si="24"/>
        <v>5</v>
      </c>
      <c r="L269" s="644">
        <f>IFERROR(IF(B269="funkcna poziadavka",VLOOKUP(G269,MODULY_CBA!$B$3:$E$23,4,0)*H269/SUMIFS($H$3:$H$168,$G$3:$G$168,G269,$B$3:$B$168,B269),),)</f>
        <v>6</v>
      </c>
      <c r="M269" s="381">
        <f>IFERROR(IF(B269="Funkcna poziadavka",VLOOKUP(G269,MODULY_CBA!$B$3:$E$23,3,0),),)</f>
        <v>0.99499999999999988</v>
      </c>
      <c r="N269" s="381">
        <f>IFERROR(IF(B269="funkcna poziadavka",VLOOKUP(G269,MODULY_CBA!$B$3:$E$23,2,0),),)</f>
        <v>0.99</v>
      </c>
      <c r="O269" s="380">
        <f t="shared" si="25"/>
        <v>10.835549999999998</v>
      </c>
      <c r="P269" s="379">
        <f>IFERROR(O269*VLOOKUP(G269,MODULY_CBA!$B$3:$F$23,5,0),)</f>
        <v>216.71099999999996</v>
      </c>
      <c r="Q269" s="480" t="str">
        <f>IFERROR(VLOOKUP(G269,MODULY_CBA!$B$3:$I$23,6,0),"")</f>
        <v>Inkrement 1</v>
      </c>
    </row>
    <row r="270" spans="1:32">
      <c r="A270" s="682" t="s">
        <v>1439</v>
      </c>
      <c r="B270" s="402" t="s">
        <v>749</v>
      </c>
      <c r="C270" s="532"/>
      <c r="D270" s="532" t="s">
        <v>1502</v>
      </c>
      <c r="E270" s="532" t="s">
        <v>1503</v>
      </c>
      <c r="F270" s="390" t="s">
        <v>806</v>
      </c>
      <c r="G270" s="390" t="s">
        <v>785</v>
      </c>
      <c r="H270" s="381">
        <v>1</v>
      </c>
      <c r="I270" s="381">
        <v>5</v>
      </c>
      <c r="K270" s="381">
        <f t="shared" si="24"/>
        <v>5</v>
      </c>
      <c r="L270" s="644">
        <f>IFERROR(IF(B270="funkcna poziadavka",VLOOKUP(G270,MODULY_CBA!$B$3:$E$23,4,0)*H270/SUMIFS($H$3:$H$168,$G$3:$G$168,G270,$B$3:$B$168,B270),),)</f>
        <v>6</v>
      </c>
      <c r="M270" s="381">
        <f>IFERROR(IF(B270="Funkcna poziadavka",VLOOKUP(G270,MODULY_CBA!$B$3:$E$23,3,0),),)</f>
        <v>0.99499999999999988</v>
      </c>
      <c r="N270" s="381">
        <f>IFERROR(IF(B270="funkcna poziadavka",VLOOKUP(G270,MODULY_CBA!$B$3:$E$23,2,0),),)</f>
        <v>0.99</v>
      </c>
      <c r="O270" s="380">
        <f t="shared" si="25"/>
        <v>10.835549999999998</v>
      </c>
      <c r="P270" s="379">
        <f>IFERROR(O270*VLOOKUP(G270,MODULY_CBA!$B$3:$F$23,5,0),)</f>
        <v>216.71099999999996</v>
      </c>
      <c r="Q270" s="480" t="str">
        <f>IFERROR(VLOOKUP(G270,MODULY_CBA!$B$3:$I$23,6,0),"")</f>
        <v>Inkrement 1</v>
      </c>
    </row>
    <row r="271" spans="1:32">
      <c r="A271" s="682" t="s">
        <v>1440</v>
      </c>
      <c r="B271" s="402" t="s">
        <v>749</v>
      </c>
      <c r="C271" s="532"/>
      <c r="D271" s="532" t="s">
        <v>1505</v>
      </c>
      <c r="E271" s="532" t="s">
        <v>1506</v>
      </c>
      <c r="F271" s="390" t="s">
        <v>806</v>
      </c>
      <c r="G271" s="390" t="s">
        <v>785</v>
      </c>
      <c r="H271" s="381">
        <v>1</v>
      </c>
      <c r="I271" s="381">
        <v>5</v>
      </c>
      <c r="K271" s="381">
        <f t="shared" si="24"/>
        <v>5</v>
      </c>
      <c r="L271" s="644">
        <f>IFERROR(IF(B271="funkcna poziadavka",VLOOKUP(G271,MODULY_CBA!$B$3:$E$23,4,0)*H271/SUMIFS($H$3:$H$168,$G$3:$G$168,G271,$B$3:$B$168,B271),),)</f>
        <v>6</v>
      </c>
      <c r="M271" s="381">
        <f>IFERROR(IF(B271="Funkcna poziadavka",VLOOKUP(G271,MODULY_CBA!$B$3:$E$23,3,0),),)</f>
        <v>0.99499999999999988</v>
      </c>
      <c r="N271" s="381">
        <f>IFERROR(IF(B271="funkcna poziadavka",VLOOKUP(G271,MODULY_CBA!$B$3:$E$23,2,0),),)</f>
        <v>0.99</v>
      </c>
      <c r="O271" s="380">
        <f t="shared" si="25"/>
        <v>10.835549999999998</v>
      </c>
      <c r="P271" s="379">
        <f>IFERROR(O271*VLOOKUP(G271,MODULY_CBA!$B$3:$F$23,5,0),)</f>
        <v>216.71099999999996</v>
      </c>
      <c r="Q271" s="480" t="str">
        <f>IFERROR(VLOOKUP(G271,MODULY_CBA!$B$3:$I$23,6,0),"")</f>
        <v>Inkrement 1</v>
      </c>
    </row>
    <row r="272" spans="1:32" ht="25.5">
      <c r="A272" s="682" t="s">
        <v>1441</v>
      </c>
      <c r="B272" s="402" t="s">
        <v>749</v>
      </c>
      <c r="C272" s="532"/>
      <c r="D272" s="532" t="s">
        <v>1508</v>
      </c>
      <c r="E272" s="532" t="s">
        <v>1509</v>
      </c>
      <c r="F272" s="390" t="s">
        <v>806</v>
      </c>
      <c r="G272" s="390" t="s">
        <v>785</v>
      </c>
      <c r="H272" s="381">
        <v>1</v>
      </c>
      <c r="I272" s="381">
        <v>5</v>
      </c>
      <c r="K272" s="381">
        <f t="shared" si="24"/>
        <v>5</v>
      </c>
      <c r="L272" s="644">
        <f>IFERROR(IF(B272="funkcna poziadavka",VLOOKUP(G272,MODULY_CBA!$B$3:$E$23,4,0)*H272/SUMIFS($H$3:$H$168,$G$3:$G$168,G272,$B$3:$B$168,B272),),)</f>
        <v>6</v>
      </c>
      <c r="M272" s="381">
        <f>IFERROR(IF(B272="Funkcna poziadavka",VLOOKUP(G272,MODULY_CBA!$B$3:$E$23,3,0),),)</f>
        <v>0.99499999999999988</v>
      </c>
      <c r="N272" s="381">
        <f>IFERROR(IF(B272="funkcna poziadavka",VLOOKUP(G272,MODULY_CBA!$B$3:$E$23,2,0),),)</f>
        <v>0.99</v>
      </c>
      <c r="O272" s="380">
        <f t="shared" si="25"/>
        <v>10.835549999999998</v>
      </c>
      <c r="P272" s="379">
        <f>IFERROR(O272*VLOOKUP(G272,MODULY_CBA!$B$3:$F$23,5,0),)</f>
        <v>216.71099999999996</v>
      </c>
      <c r="Q272" s="480" t="str">
        <f>IFERROR(VLOOKUP(G272,MODULY_CBA!$B$3:$I$23,6,0),"")</f>
        <v>Inkrement 1</v>
      </c>
    </row>
    <row r="273" spans="1:17" ht="25.5">
      <c r="A273" s="682" t="s">
        <v>1442</v>
      </c>
      <c r="B273" s="402" t="s">
        <v>749</v>
      </c>
      <c r="C273" s="532"/>
      <c r="D273" s="532" t="s">
        <v>1511</v>
      </c>
      <c r="E273" s="532" t="s">
        <v>1512</v>
      </c>
      <c r="F273" s="390" t="s">
        <v>806</v>
      </c>
      <c r="G273" s="390" t="s">
        <v>785</v>
      </c>
      <c r="H273" s="381">
        <v>1</v>
      </c>
      <c r="I273" s="381">
        <v>5</v>
      </c>
      <c r="K273" s="381">
        <f t="shared" si="24"/>
        <v>5</v>
      </c>
      <c r="L273" s="644">
        <f>IFERROR(IF(B273="funkcna poziadavka",VLOOKUP(G273,MODULY_CBA!$B$3:$E$23,4,0)*H273/SUMIFS($H$3:$H$168,$G$3:$G$168,G273,$B$3:$B$168,B273),),)</f>
        <v>6</v>
      </c>
      <c r="M273" s="381">
        <f>IFERROR(IF(B273="Funkcna poziadavka",VLOOKUP(G273,MODULY_CBA!$B$3:$E$23,3,0),),)</f>
        <v>0.99499999999999988</v>
      </c>
      <c r="N273" s="381">
        <f>IFERROR(IF(B273="funkcna poziadavka",VLOOKUP(G273,MODULY_CBA!$B$3:$E$23,2,0),),)</f>
        <v>0.99</v>
      </c>
      <c r="O273" s="380">
        <f t="shared" si="25"/>
        <v>10.835549999999998</v>
      </c>
      <c r="P273" s="379">
        <f>IFERROR(O273*VLOOKUP(G273,MODULY_CBA!$B$3:$F$23,5,0),)</f>
        <v>216.71099999999996</v>
      </c>
      <c r="Q273" s="480" t="str">
        <f>IFERROR(VLOOKUP(G273,MODULY_CBA!$B$3:$I$23,6,0),"")</f>
        <v>Inkrement 1</v>
      </c>
    </row>
    <row r="274" spans="1:17">
      <c r="A274" s="682" t="s">
        <v>1443</v>
      </c>
      <c r="B274" s="402" t="s">
        <v>749</v>
      </c>
      <c r="C274" s="532"/>
      <c r="D274" s="532" t="s">
        <v>1514</v>
      </c>
      <c r="E274" s="532" t="s">
        <v>1515</v>
      </c>
      <c r="F274" s="390" t="s">
        <v>806</v>
      </c>
      <c r="G274" s="390" t="s">
        <v>785</v>
      </c>
      <c r="H274" s="381">
        <v>1</v>
      </c>
      <c r="I274" s="381">
        <v>5</v>
      </c>
      <c r="K274" s="381">
        <f t="shared" si="24"/>
        <v>5</v>
      </c>
      <c r="L274" s="644">
        <f>IFERROR(IF(B274="funkcna poziadavka",VLOOKUP(G274,MODULY_CBA!$B$3:$E$23,4,0)*H274/SUMIFS($H$3:$H$168,$G$3:$G$168,G274,$B$3:$B$168,B274),),)</f>
        <v>6</v>
      </c>
      <c r="M274" s="381">
        <f>IFERROR(IF(B274="Funkcna poziadavka",VLOOKUP(G274,MODULY_CBA!$B$3:$E$23,3,0),),)</f>
        <v>0.99499999999999988</v>
      </c>
      <c r="N274" s="381">
        <f>IFERROR(IF(B274="funkcna poziadavka",VLOOKUP(G274,MODULY_CBA!$B$3:$E$23,2,0),),)</f>
        <v>0.99</v>
      </c>
      <c r="O274" s="380">
        <f t="shared" si="25"/>
        <v>10.835549999999998</v>
      </c>
      <c r="P274" s="379">
        <f>IFERROR(O274*VLOOKUP(G274,MODULY_CBA!$B$3:$F$23,5,0),)</f>
        <v>216.71099999999996</v>
      </c>
      <c r="Q274" s="480" t="str">
        <f>IFERROR(VLOOKUP(G274,MODULY_CBA!$B$3:$I$23,6,0),"")</f>
        <v>Inkrement 1</v>
      </c>
    </row>
    <row r="275" spans="1:17" ht="25.5">
      <c r="A275" s="682" t="s">
        <v>1444</v>
      </c>
      <c r="B275" s="402" t="s">
        <v>749</v>
      </c>
      <c r="C275" s="532"/>
      <c r="D275" s="532" t="s">
        <v>1517</v>
      </c>
      <c r="E275" s="532" t="s">
        <v>1518</v>
      </c>
      <c r="F275" s="390" t="s">
        <v>806</v>
      </c>
      <c r="G275" s="390" t="s">
        <v>785</v>
      </c>
      <c r="H275" s="381">
        <v>1</v>
      </c>
      <c r="I275" s="381">
        <v>5</v>
      </c>
      <c r="K275" s="381">
        <f t="shared" si="24"/>
        <v>5</v>
      </c>
      <c r="L275" s="644">
        <f>IFERROR(IF(B275="funkcna poziadavka",VLOOKUP(G275,MODULY_CBA!$B$3:$E$23,4,0)*H275/SUMIFS($H$3:$H$168,$G$3:$G$168,G275,$B$3:$B$168,B275),),)</f>
        <v>6</v>
      </c>
      <c r="M275" s="381">
        <f>IFERROR(IF(B275="Funkcna poziadavka",VLOOKUP(G275,MODULY_CBA!$B$3:$E$23,3,0),),)</f>
        <v>0.99499999999999988</v>
      </c>
      <c r="N275" s="381">
        <f>IFERROR(IF(B275="funkcna poziadavka",VLOOKUP(G275,MODULY_CBA!$B$3:$E$23,2,0),),)</f>
        <v>0.99</v>
      </c>
      <c r="O275" s="380">
        <f t="shared" si="25"/>
        <v>10.835549999999998</v>
      </c>
      <c r="P275" s="379">
        <f>IFERROR(O275*VLOOKUP(G275,MODULY_CBA!$B$3:$F$23,5,0),)</f>
        <v>216.71099999999996</v>
      </c>
      <c r="Q275" s="480" t="str">
        <f>IFERROR(VLOOKUP(G275,MODULY_CBA!$B$3:$I$23,6,0),"")</f>
        <v>Inkrement 1</v>
      </c>
    </row>
    <row r="276" spans="1:17">
      <c r="A276" s="682" t="s">
        <v>1445</v>
      </c>
      <c r="B276" s="402" t="s">
        <v>749</v>
      </c>
      <c r="C276" s="532"/>
      <c r="D276" s="532" t="s">
        <v>1520</v>
      </c>
      <c r="E276" s="532" t="s">
        <v>1521</v>
      </c>
      <c r="F276" s="390" t="s">
        <v>806</v>
      </c>
      <c r="G276" s="390" t="s">
        <v>785</v>
      </c>
      <c r="H276" s="381">
        <v>1</v>
      </c>
      <c r="I276" s="381">
        <v>5</v>
      </c>
      <c r="K276" s="381">
        <f t="shared" si="24"/>
        <v>5</v>
      </c>
      <c r="L276" s="644">
        <f>IFERROR(IF(B276="funkcna poziadavka",VLOOKUP(G276,MODULY_CBA!$B$3:$E$23,4,0)*H276/SUMIFS($H$3:$H$168,$G$3:$G$168,G276,$B$3:$B$168,B276),),)</f>
        <v>6</v>
      </c>
      <c r="M276" s="381">
        <f>IFERROR(IF(B276="Funkcna poziadavka",VLOOKUP(G276,MODULY_CBA!$B$3:$E$23,3,0),),)</f>
        <v>0.99499999999999988</v>
      </c>
      <c r="N276" s="381">
        <f>IFERROR(IF(B276="funkcna poziadavka",VLOOKUP(G276,MODULY_CBA!$B$3:$E$23,2,0),),)</f>
        <v>0.99</v>
      </c>
      <c r="O276" s="380">
        <f t="shared" si="25"/>
        <v>10.835549999999998</v>
      </c>
      <c r="P276" s="379">
        <f>IFERROR(O276*VLOOKUP(G276,MODULY_CBA!$B$3:$F$23,5,0),)</f>
        <v>216.71099999999996</v>
      </c>
      <c r="Q276" s="480" t="str">
        <f>IFERROR(VLOOKUP(G276,MODULY_CBA!$B$3:$I$23,6,0),"")</f>
        <v>Inkrement 1</v>
      </c>
    </row>
    <row r="277" spans="1:17" ht="25.5">
      <c r="A277" s="682" t="s">
        <v>1446</v>
      </c>
      <c r="B277" s="402" t="s">
        <v>749</v>
      </c>
      <c r="C277" s="532"/>
      <c r="D277" s="532" t="s">
        <v>1523</v>
      </c>
      <c r="E277" s="532" t="s">
        <v>1524</v>
      </c>
      <c r="F277" s="390" t="s">
        <v>806</v>
      </c>
      <c r="G277" s="390" t="s">
        <v>785</v>
      </c>
      <c r="H277" s="381">
        <v>1</v>
      </c>
      <c r="I277" s="381">
        <v>5</v>
      </c>
      <c r="K277" s="381">
        <f t="shared" si="24"/>
        <v>5</v>
      </c>
      <c r="L277" s="644">
        <f>IFERROR(IF(B277="funkcna poziadavka",VLOOKUP(G277,MODULY_CBA!$B$3:$E$23,4,0)*H277/SUMIFS($H$3:$H$168,$G$3:$G$168,G277,$B$3:$B$168,B277),),)</f>
        <v>6</v>
      </c>
      <c r="M277" s="381">
        <f>IFERROR(IF(B277="Funkcna poziadavka",VLOOKUP(G277,MODULY_CBA!$B$3:$E$23,3,0),),)</f>
        <v>0.99499999999999988</v>
      </c>
      <c r="N277" s="381">
        <f>IFERROR(IF(B277="funkcna poziadavka",VLOOKUP(G277,MODULY_CBA!$B$3:$E$23,2,0),),)</f>
        <v>0.99</v>
      </c>
      <c r="O277" s="380">
        <f t="shared" si="25"/>
        <v>10.835549999999998</v>
      </c>
      <c r="P277" s="379">
        <f>IFERROR(O277*VLOOKUP(G277,MODULY_CBA!$B$3:$F$23,5,0),)</f>
        <v>216.71099999999996</v>
      </c>
      <c r="Q277" s="480" t="str">
        <f>IFERROR(VLOOKUP(G277,MODULY_CBA!$B$3:$I$23,6,0),"")</f>
        <v>Inkrement 1</v>
      </c>
    </row>
    <row r="278" spans="1:17" ht="25.5">
      <c r="A278" s="682" t="s">
        <v>1447</v>
      </c>
      <c r="B278" s="402" t="s">
        <v>749</v>
      </c>
      <c r="C278" s="532"/>
      <c r="D278" s="532" t="s">
        <v>1526</v>
      </c>
      <c r="E278" s="532" t="s">
        <v>1527</v>
      </c>
      <c r="F278" s="390" t="s">
        <v>806</v>
      </c>
      <c r="G278" s="390" t="s">
        <v>785</v>
      </c>
      <c r="H278" s="381">
        <v>1</v>
      </c>
      <c r="I278" s="381">
        <v>5</v>
      </c>
      <c r="K278" s="381">
        <f t="shared" si="24"/>
        <v>5</v>
      </c>
      <c r="L278" s="644">
        <f>IFERROR(IF(B278="funkcna poziadavka",VLOOKUP(G278,MODULY_CBA!$B$3:$E$23,4,0)*H278/SUMIFS($H$3:$H$168,$G$3:$G$168,G278,$B$3:$B$168,B278),),)</f>
        <v>6</v>
      </c>
      <c r="M278" s="381">
        <f>IFERROR(IF(B278="Funkcna poziadavka",VLOOKUP(G278,MODULY_CBA!$B$3:$E$23,3,0),),)</f>
        <v>0.99499999999999988</v>
      </c>
      <c r="N278" s="381">
        <f>IFERROR(IF(B278="funkcna poziadavka",VLOOKUP(G278,MODULY_CBA!$B$3:$E$23,2,0),),)</f>
        <v>0.99</v>
      </c>
      <c r="O278" s="380">
        <f t="shared" si="25"/>
        <v>10.835549999999998</v>
      </c>
      <c r="P278" s="379">
        <f>IFERROR(O278*VLOOKUP(G278,MODULY_CBA!$B$3:$F$23,5,0),)</f>
        <v>216.71099999999996</v>
      </c>
      <c r="Q278" s="480" t="str">
        <f>IFERROR(VLOOKUP(G278,MODULY_CBA!$B$3:$I$23,6,0),"")</f>
        <v>Inkrement 1</v>
      </c>
    </row>
    <row r="279" spans="1:17">
      <c r="A279" s="682" t="s">
        <v>1448</v>
      </c>
      <c r="B279" s="402" t="s">
        <v>749</v>
      </c>
      <c r="C279" s="532"/>
      <c r="D279" s="532" t="s">
        <v>1529</v>
      </c>
      <c r="E279" s="532" t="s">
        <v>1530</v>
      </c>
      <c r="F279" s="390" t="s">
        <v>806</v>
      </c>
      <c r="G279" s="390" t="s">
        <v>785</v>
      </c>
      <c r="H279" s="381">
        <v>1</v>
      </c>
      <c r="I279" s="381">
        <v>5</v>
      </c>
      <c r="K279" s="381">
        <f t="shared" si="24"/>
        <v>5</v>
      </c>
      <c r="L279" s="644">
        <f>IFERROR(IF(B279="funkcna poziadavka",VLOOKUP(G279,MODULY_CBA!$B$3:$E$23,4,0)*H279/SUMIFS($H$3:$H$168,$G$3:$G$168,G279,$B$3:$B$168,B279),),)</f>
        <v>6</v>
      </c>
      <c r="M279" s="381">
        <f>IFERROR(IF(B279="Funkcna poziadavka",VLOOKUP(G279,MODULY_CBA!$B$3:$E$23,3,0),),)</f>
        <v>0.99499999999999988</v>
      </c>
      <c r="N279" s="381">
        <f>IFERROR(IF(B279="funkcna poziadavka",VLOOKUP(G279,MODULY_CBA!$B$3:$E$23,2,0),),)</f>
        <v>0.99</v>
      </c>
      <c r="O279" s="380">
        <f t="shared" si="25"/>
        <v>10.835549999999998</v>
      </c>
      <c r="P279" s="379">
        <f>IFERROR(O279*VLOOKUP(G279,MODULY_CBA!$B$3:$F$23,5,0),)</f>
        <v>216.71099999999996</v>
      </c>
      <c r="Q279" s="480" t="str">
        <f>IFERROR(VLOOKUP(G279,MODULY_CBA!$B$3:$I$23,6,0),"")</f>
        <v>Inkrement 1</v>
      </c>
    </row>
    <row r="280" spans="1:17" ht="25.5">
      <c r="A280" s="682" t="s">
        <v>1450</v>
      </c>
      <c r="B280" s="402" t="s">
        <v>749</v>
      </c>
      <c r="C280" s="532"/>
      <c r="D280" s="532" t="s">
        <v>1532</v>
      </c>
      <c r="E280" s="532" t="s">
        <v>1533</v>
      </c>
      <c r="F280" s="390" t="s">
        <v>806</v>
      </c>
      <c r="G280" s="390" t="s">
        <v>785</v>
      </c>
      <c r="H280" s="381">
        <v>1</v>
      </c>
      <c r="I280" s="381">
        <v>10</v>
      </c>
      <c r="K280" s="381">
        <f t="shared" si="24"/>
        <v>10</v>
      </c>
      <c r="L280" s="644">
        <f>IFERROR(IF(B280="funkcna poziadavka",VLOOKUP(G280,MODULY_CBA!$B$3:$E$23,4,0)*H280/SUMIFS($H$3:$H$168,$G$3:$G$168,G280,$B$3:$B$168,B280),),)</f>
        <v>6</v>
      </c>
      <c r="M280" s="381">
        <f>IFERROR(IF(B280="Funkcna poziadavka",VLOOKUP(G280,MODULY_CBA!$B$3:$E$23,3,0),),)</f>
        <v>0.99499999999999988</v>
      </c>
      <c r="N280" s="381">
        <f>IFERROR(IF(B280="funkcna poziadavka",VLOOKUP(G280,MODULY_CBA!$B$3:$E$23,2,0),),)</f>
        <v>0.99</v>
      </c>
      <c r="O280" s="380">
        <f t="shared" si="25"/>
        <v>15.760799999999998</v>
      </c>
      <c r="P280" s="379">
        <f>IFERROR(O280*VLOOKUP(G280,MODULY_CBA!$B$3:$F$23,5,0),)</f>
        <v>315.21599999999995</v>
      </c>
      <c r="Q280" s="480" t="str">
        <f>IFERROR(VLOOKUP(G280,MODULY_CBA!$B$3:$I$23,6,0),"")</f>
        <v>Inkrement 1</v>
      </c>
    </row>
    <row r="281" spans="1:17" ht="25.5">
      <c r="A281" s="682" t="s">
        <v>1451</v>
      </c>
      <c r="B281" s="402" t="s">
        <v>749</v>
      </c>
      <c r="C281" s="532"/>
      <c r="D281" s="532" t="s">
        <v>1535</v>
      </c>
      <c r="E281" s="532" t="s">
        <v>1536</v>
      </c>
      <c r="F281" s="390" t="s">
        <v>806</v>
      </c>
      <c r="G281" s="390" t="s">
        <v>785</v>
      </c>
      <c r="H281" s="381">
        <v>1</v>
      </c>
      <c r="I281" s="381">
        <v>5</v>
      </c>
      <c r="K281" s="381">
        <f t="shared" si="24"/>
        <v>5</v>
      </c>
      <c r="L281" s="644">
        <f>IFERROR(IF(B281="funkcna poziadavka",VLOOKUP(G281,MODULY_CBA!$B$3:$E$23,4,0)*H281/SUMIFS($H$3:$H$168,$G$3:$G$168,G281,$B$3:$B$168,B281),),)</f>
        <v>6</v>
      </c>
      <c r="M281" s="381">
        <f>IFERROR(IF(B281="Funkcna poziadavka",VLOOKUP(G281,MODULY_CBA!$B$3:$E$23,3,0),),)</f>
        <v>0.99499999999999988</v>
      </c>
      <c r="N281" s="381">
        <f>IFERROR(IF(B281="funkcna poziadavka",VLOOKUP(G281,MODULY_CBA!$B$3:$E$23,2,0),),)</f>
        <v>0.99</v>
      </c>
      <c r="O281" s="380">
        <f t="shared" si="25"/>
        <v>10.835549999999998</v>
      </c>
      <c r="P281" s="379">
        <f>IFERROR(O281*VLOOKUP(G281,MODULY_CBA!$B$3:$F$23,5,0),)</f>
        <v>216.71099999999996</v>
      </c>
      <c r="Q281" s="480" t="str">
        <f>IFERROR(VLOOKUP(G281,MODULY_CBA!$B$3:$I$23,6,0),"")</f>
        <v>Inkrement 1</v>
      </c>
    </row>
    <row r="282" spans="1:17" ht="25.5">
      <c r="A282" s="682" t="s">
        <v>1452</v>
      </c>
      <c r="B282" s="402" t="s">
        <v>749</v>
      </c>
      <c r="C282" s="532"/>
      <c r="D282" s="532" t="s">
        <v>1538</v>
      </c>
      <c r="E282" s="532" t="s">
        <v>1539</v>
      </c>
      <c r="F282" s="390" t="s">
        <v>806</v>
      </c>
      <c r="G282" s="390" t="s">
        <v>785</v>
      </c>
      <c r="H282" s="381">
        <v>1</v>
      </c>
      <c r="I282" s="381">
        <v>10</v>
      </c>
      <c r="K282" s="381">
        <f t="shared" si="24"/>
        <v>10</v>
      </c>
      <c r="L282" s="644">
        <f>IFERROR(IF(B282="funkcna poziadavka",VLOOKUP(G282,MODULY_CBA!$B$3:$E$23,4,0)*H282/SUMIFS($H$3:$H$168,$G$3:$G$168,G282,$B$3:$B$168,B282),),)</f>
        <v>6</v>
      </c>
      <c r="M282" s="381">
        <f>IFERROR(IF(B282="Funkcna poziadavka",VLOOKUP(G282,MODULY_CBA!$B$3:$E$23,3,0),),)</f>
        <v>0.99499999999999988</v>
      </c>
      <c r="N282" s="381">
        <f>IFERROR(IF(B282="funkcna poziadavka",VLOOKUP(G282,MODULY_CBA!$B$3:$E$23,2,0),),)</f>
        <v>0.99</v>
      </c>
      <c r="O282" s="380">
        <f t="shared" si="25"/>
        <v>15.760799999999998</v>
      </c>
      <c r="P282" s="379">
        <f>IFERROR(O282*VLOOKUP(G282,MODULY_CBA!$B$3:$F$23,5,0),)</f>
        <v>315.21599999999995</v>
      </c>
      <c r="Q282" s="480" t="str">
        <f>IFERROR(VLOOKUP(G282,MODULY_CBA!$B$3:$I$23,6,0),"")</f>
        <v>Inkrement 1</v>
      </c>
    </row>
    <row r="283" spans="1:17" ht="25.5">
      <c r="A283" s="682" t="s">
        <v>1453</v>
      </c>
      <c r="B283" s="402" t="s">
        <v>749</v>
      </c>
      <c r="C283" s="532"/>
      <c r="D283" s="532" t="s">
        <v>1541</v>
      </c>
      <c r="E283" s="532" t="s">
        <v>1542</v>
      </c>
      <c r="F283" s="390" t="s">
        <v>806</v>
      </c>
      <c r="G283" s="390" t="s">
        <v>801</v>
      </c>
      <c r="H283" s="381">
        <v>1</v>
      </c>
      <c r="I283" s="381">
        <v>10</v>
      </c>
      <c r="K283" s="381">
        <f t="shared" si="24"/>
        <v>10</v>
      </c>
      <c r="L283" s="644">
        <f>IFERROR(IF(B283="funkcna poziadavka",VLOOKUP(G283,MODULY_CBA!$B$3:$E$23,4,0)*H283/SUMIFS($H$3:$H$168,$G$3:$G$168,G283,$B$3:$B$168,B283),),)</f>
        <v>2</v>
      </c>
      <c r="M283" s="381">
        <f>IFERROR(IF(B283="Funkcna poziadavka",VLOOKUP(G283,MODULY_CBA!$B$3:$E$23,3,0),),)</f>
        <v>0.99499999999999988</v>
      </c>
      <c r="N283" s="381">
        <f>IFERROR(IF(B283="funkcna poziadavka",VLOOKUP(G283,MODULY_CBA!$B$3:$E$23,2,0),),)</f>
        <v>0.99</v>
      </c>
      <c r="O283" s="380">
        <f t="shared" si="25"/>
        <v>11.820599999999997</v>
      </c>
      <c r="P283" s="379">
        <f>IFERROR(O283*VLOOKUP(G283,MODULY_CBA!$B$3:$F$23,5,0),)</f>
        <v>177.30899999999997</v>
      </c>
      <c r="Q283" s="480" t="str">
        <f>IFERROR(VLOOKUP(G283,MODULY_CBA!$B$3:$I$23,6,0),"")</f>
        <v>Inkrement 1</v>
      </c>
    </row>
    <row r="284" spans="1:17" ht="25.5">
      <c r="A284" s="682" t="s">
        <v>1455</v>
      </c>
      <c r="B284" s="402" t="s">
        <v>749</v>
      </c>
      <c r="C284" s="532"/>
      <c r="D284" s="532" t="s">
        <v>1544</v>
      </c>
      <c r="E284" s="532" t="s">
        <v>1545</v>
      </c>
      <c r="F284" s="390" t="s">
        <v>806</v>
      </c>
      <c r="G284" s="390" t="s">
        <v>801</v>
      </c>
      <c r="H284" s="381">
        <v>1</v>
      </c>
      <c r="I284" s="381">
        <v>5</v>
      </c>
      <c r="K284" s="381">
        <f t="shared" si="24"/>
        <v>5</v>
      </c>
      <c r="L284" s="644">
        <f>IFERROR(IF(B284="funkcna poziadavka",VLOOKUP(G284,MODULY_CBA!$B$3:$E$23,4,0)*H284/SUMIFS($H$3:$H$168,$G$3:$G$168,G284,$B$3:$B$168,B284),),)</f>
        <v>2</v>
      </c>
      <c r="M284" s="381">
        <f>IFERROR(IF(B284="Funkcna poziadavka",VLOOKUP(G284,MODULY_CBA!$B$3:$E$23,3,0),),)</f>
        <v>0.99499999999999988</v>
      </c>
      <c r="N284" s="381">
        <f>IFERROR(IF(B284="funkcna poziadavka",VLOOKUP(G284,MODULY_CBA!$B$3:$E$23,2,0),),)</f>
        <v>0.99</v>
      </c>
      <c r="O284" s="380">
        <f t="shared" si="25"/>
        <v>6.8953499999999988</v>
      </c>
      <c r="P284" s="379">
        <f>IFERROR(O284*VLOOKUP(G284,MODULY_CBA!$B$3:$F$23,5,0),)</f>
        <v>103.43024999999999</v>
      </c>
      <c r="Q284" s="480" t="str">
        <f>IFERROR(VLOOKUP(G284,MODULY_CBA!$B$3:$I$23,6,0),"")</f>
        <v>Inkrement 1</v>
      </c>
    </row>
    <row r="285" spans="1:17" ht="25.5">
      <c r="A285" s="682" t="s">
        <v>1458</v>
      </c>
      <c r="B285" s="402" t="s">
        <v>749</v>
      </c>
      <c r="C285" s="532"/>
      <c r="D285" s="532" t="s">
        <v>1547</v>
      </c>
      <c r="E285" s="532" t="s">
        <v>1548</v>
      </c>
      <c r="F285" s="390" t="s">
        <v>806</v>
      </c>
      <c r="G285" s="390" t="s">
        <v>801</v>
      </c>
      <c r="H285" s="381">
        <v>1</v>
      </c>
      <c r="I285" s="381">
        <v>5</v>
      </c>
      <c r="K285" s="381">
        <f t="shared" si="24"/>
        <v>5</v>
      </c>
      <c r="L285" s="644">
        <f>IFERROR(IF(B285="funkcna poziadavka",VLOOKUP(G285,MODULY_CBA!$B$3:$E$23,4,0)*H285/SUMIFS($H$3:$H$168,$G$3:$G$168,G285,$B$3:$B$168,B285),),)</f>
        <v>2</v>
      </c>
      <c r="M285" s="381">
        <f>IFERROR(IF(B285="Funkcna poziadavka",VLOOKUP(G285,MODULY_CBA!$B$3:$E$23,3,0),),)</f>
        <v>0.99499999999999988</v>
      </c>
      <c r="N285" s="381">
        <f>IFERROR(IF(B285="funkcna poziadavka",VLOOKUP(G285,MODULY_CBA!$B$3:$E$23,2,0),),)</f>
        <v>0.99</v>
      </c>
      <c r="O285" s="380">
        <f t="shared" si="25"/>
        <v>6.8953499999999988</v>
      </c>
      <c r="P285" s="379">
        <f>IFERROR(O285*VLOOKUP(G285,MODULY_CBA!$B$3:$F$23,5,0),)</f>
        <v>103.43024999999999</v>
      </c>
      <c r="Q285" s="480" t="str">
        <f>IFERROR(VLOOKUP(G285,MODULY_CBA!$B$3:$I$23,6,0),"")</f>
        <v>Inkrement 1</v>
      </c>
    </row>
    <row r="286" spans="1:17">
      <c r="A286" s="682" t="s">
        <v>1459</v>
      </c>
      <c r="B286" s="402" t="s">
        <v>749</v>
      </c>
      <c r="C286" s="532"/>
      <c r="D286" s="532" t="s">
        <v>1550</v>
      </c>
      <c r="E286" s="532" t="s">
        <v>1551</v>
      </c>
      <c r="F286" s="390" t="s">
        <v>806</v>
      </c>
      <c r="G286" s="390" t="s">
        <v>801</v>
      </c>
      <c r="H286" s="381">
        <v>1</v>
      </c>
      <c r="I286" s="381">
        <v>5</v>
      </c>
      <c r="K286" s="381">
        <f t="shared" si="24"/>
        <v>5</v>
      </c>
      <c r="L286" s="644">
        <f>IFERROR(IF(B286="funkcna poziadavka",VLOOKUP(G286,MODULY_CBA!$B$3:$E$23,4,0)*H286/SUMIFS($H$3:$H$168,$G$3:$G$168,G286,$B$3:$B$168,B286),),)</f>
        <v>2</v>
      </c>
      <c r="M286" s="381">
        <f>IFERROR(IF(B286="Funkcna poziadavka",VLOOKUP(G286,MODULY_CBA!$B$3:$E$23,3,0),),)</f>
        <v>0.99499999999999988</v>
      </c>
      <c r="N286" s="381">
        <f>IFERROR(IF(B286="funkcna poziadavka",VLOOKUP(G286,MODULY_CBA!$B$3:$E$23,2,0),),)</f>
        <v>0.99</v>
      </c>
      <c r="O286" s="380">
        <f t="shared" si="25"/>
        <v>6.8953499999999988</v>
      </c>
      <c r="P286" s="379">
        <f>IFERROR(O286*VLOOKUP(G286,MODULY_CBA!$B$3:$F$23,5,0),)</f>
        <v>103.43024999999999</v>
      </c>
      <c r="Q286" s="480" t="str">
        <f>IFERROR(VLOOKUP(G286,MODULY_CBA!$B$3:$I$23,6,0),"")</f>
        <v>Inkrement 1</v>
      </c>
    </row>
    <row r="287" spans="1:17">
      <c r="A287" s="682" t="s">
        <v>1460</v>
      </c>
      <c r="B287" s="402" t="s">
        <v>749</v>
      </c>
      <c r="C287" s="532"/>
      <c r="D287" s="532" t="s">
        <v>1553</v>
      </c>
      <c r="E287" s="532" t="s">
        <v>1554</v>
      </c>
      <c r="F287" s="390" t="s">
        <v>806</v>
      </c>
      <c r="G287" s="390" t="s">
        <v>801</v>
      </c>
      <c r="H287" s="381">
        <v>1</v>
      </c>
      <c r="I287" s="381">
        <v>5</v>
      </c>
      <c r="K287" s="381">
        <f t="shared" si="24"/>
        <v>5</v>
      </c>
      <c r="L287" s="644">
        <f>IFERROR(IF(B287="funkcna poziadavka",VLOOKUP(G287,MODULY_CBA!$B$3:$E$23,4,0)*H287/SUMIFS($H$3:$H$168,$G$3:$G$168,G287,$B$3:$B$168,B287),),)</f>
        <v>2</v>
      </c>
      <c r="M287" s="381">
        <f>IFERROR(IF(B287="Funkcna poziadavka",VLOOKUP(G287,MODULY_CBA!$B$3:$E$23,3,0),),)</f>
        <v>0.99499999999999988</v>
      </c>
      <c r="N287" s="381">
        <f>IFERROR(IF(B287="funkcna poziadavka",VLOOKUP(G287,MODULY_CBA!$B$3:$E$23,2,0),),)</f>
        <v>0.99</v>
      </c>
      <c r="O287" s="380">
        <f t="shared" si="25"/>
        <v>6.8953499999999988</v>
      </c>
      <c r="P287" s="379">
        <f>IFERROR(O287*VLOOKUP(G287,MODULY_CBA!$B$3:$F$23,5,0),)</f>
        <v>103.43024999999999</v>
      </c>
      <c r="Q287" s="480" t="str">
        <f>IFERROR(VLOOKUP(G287,MODULY_CBA!$B$3:$I$23,6,0),"")</f>
        <v>Inkrement 1</v>
      </c>
    </row>
    <row r="288" spans="1:17">
      <c r="A288" s="682" t="s">
        <v>1461</v>
      </c>
      <c r="B288" s="402" t="s">
        <v>749</v>
      </c>
      <c r="C288" s="532"/>
      <c r="D288" s="532" t="s">
        <v>1556</v>
      </c>
      <c r="E288" s="532" t="s">
        <v>1557</v>
      </c>
      <c r="F288" s="390" t="s">
        <v>806</v>
      </c>
      <c r="G288" s="390" t="s">
        <v>801</v>
      </c>
      <c r="H288" s="381">
        <v>1</v>
      </c>
      <c r="I288" s="381">
        <v>5</v>
      </c>
      <c r="K288" s="381">
        <f t="shared" si="24"/>
        <v>5</v>
      </c>
      <c r="L288" s="644">
        <f>IFERROR(IF(B288="funkcna poziadavka",VLOOKUP(G288,MODULY_CBA!$B$3:$E$23,4,0)*H288/SUMIFS($H$3:$H$168,$G$3:$G$168,G288,$B$3:$B$168,B288),),)</f>
        <v>2</v>
      </c>
      <c r="M288" s="381">
        <f>IFERROR(IF(B288="Funkcna poziadavka",VLOOKUP(G288,MODULY_CBA!$B$3:$E$23,3,0),),)</f>
        <v>0.99499999999999988</v>
      </c>
      <c r="N288" s="381">
        <f>IFERROR(IF(B288="funkcna poziadavka",VLOOKUP(G288,MODULY_CBA!$B$3:$E$23,2,0),),)</f>
        <v>0.99</v>
      </c>
      <c r="O288" s="380">
        <f t="shared" si="25"/>
        <v>6.8953499999999988</v>
      </c>
      <c r="P288" s="379">
        <f>IFERROR(O288*VLOOKUP(G288,MODULY_CBA!$B$3:$F$23,5,0),)</f>
        <v>103.43024999999999</v>
      </c>
      <c r="Q288" s="480" t="str">
        <f>IFERROR(VLOOKUP(G288,MODULY_CBA!$B$3:$I$23,6,0),"")</f>
        <v>Inkrement 1</v>
      </c>
    </row>
    <row r="289" spans="1:17" ht="25.5">
      <c r="A289" s="682" t="s">
        <v>1464</v>
      </c>
      <c r="B289" s="402" t="s">
        <v>749</v>
      </c>
      <c r="C289" s="532"/>
      <c r="D289" s="532" t="s">
        <v>1559</v>
      </c>
      <c r="E289" s="532" t="s">
        <v>1560</v>
      </c>
      <c r="F289" s="390" t="s">
        <v>806</v>
      </c>
      <c r="G289" s="390" t="s">
        <v>801</v>
      </c>
      <c r="H289" s="381">
        <v>1</v>
      </c>
      <c r="I289" s="381">
        <v>5</v>
      </c>
      <c r="K289" s="381">
        <f t="shared" si="24"/>
        <v>5</v>
      </c>
      <c r="L289" s="644">
        <f>IFERROR(IF(B289="funkcna poziadavka",VLOOKUP(G289,MODULY_CBA!$B$3:$E$23,4,0)*H289/SUMIFS($H$3:$H$168,$G$3:$G$168,G289,$B$3:$B$168,B289),),)</f>
        <v>2</v>
      </c>
      <c r="M289" s="381">
        <f>IFERROR(IF(B289="Funkcna poziadavka",VLOOKUP(G289,MODULY_CBA!$B$3:$E$23,3,0),),)</f>
        <v>0.99499999999999988</v>
      </c>
      <c r="N289" s="381">
        <f>IFERROR(IF(B289="funkcna poziadavka",VLOOKUP(G289,MODULY_CBA!$B$3:$E$23,2,0),),)</f>
        <v>0.99</v>
      </c>
      <c r="O289" s="380">
        <f t="shared" si="25"/>
        <v>6.8953499999999988</v>
      </c>
      <c r="P289" s="379">
        <f>IFERROR(O289*VLOOKUP(G289,MODULY_CBA!$B$3:$F$23,5,0),)</f>
        <v>103.43024999999999</v>
      </c>
      <c r="Q289" s="480" t="str">
        <f>IFERROR(VLOOKUP(G289,MODULY_CBA!$B$3:$I$23,6,0),"")</f>
        <v>Inkrement 1</v>
      </c>
    </row>
    <row r="290" spans="1:17" ht="25.5">
      <c r="A290" s="682" t="s">
        <v>1465</v>
      </c>
      <c r="B290" s="402" t="s">
        <v>749</v>
      </c>
      <c r="C290" s="532"/>
      <c r="D290" s="532" t="s">
        <v>1562</v>
      </c>
      <c r="E290" s="532" t="s">
        <v>1563</v>
      </c>
      <c r="F290" s="390" t="s">
        <v>806</v>
      </c>
      <c r="G290" s="390" t="s">
        <v>801</v>
      </c>
      <c r="H290" s="381">
        <v>1</v>
      </c>
      <c r="I290" s="381">
        <v>5</v>
      </c>
      <c r="K290" s="381">
        <f t="shared" si="24"/>
        <v>5</v>
      </c>
      <c r="L290" s="644">
        <f>IFERROR(IF(B290="funkcna poziadavka",VLOOKUP(G290,MODULY_CBA!$B$3:$E$23,4,0)*H290/SUMIFS($H$3:$H$168,$G$3:$G$168,G290,$B$3:$B$168,B290),),)</f>
        <v>2</v>
      </c>
      <c r="M290" s="381">
        <f>IFERROR(IF(B290="Funkcna poziadavka",VLOOKUP(G290,MODULY_CBA!$B$3:$E$23,3,0),),)</f>
        <v>0.99499999999999988</v>
      </c>
      <c r="N290" s="381">
        <f>IFERROR(IF(B290="funkcna poziadavka",VLOOKUP(G290,MODULY_CBA!$B$3:$E$23,2,0),),)</f>
        <v>0.99</v>
      </c>
      <c r="O290" s="380">
        <f t="shared" si="25"/>
        <v>6.8953499999999988</v>
      </c>
      <c r="P290" s="379">
        <f>IFERROR(O290*VLOOKUP(G290,MODULY_CBA!$B$3:$F$23,5,0),)</f>
        <v>103.43024999999999</v>
      </c>
      <c r="Q290" s="480" t="str">
        <f>IFERROR(VLOOKUP(G290,MODULY_CBA!$B$3:$I$23,6,0),"")</f>
        <v>Inkrement 1</v>
      </c>
    </row>
    <row r="291" spans="1:17">
      <c r="A291" s="682" t="s">
        <v>1466</v>
      </c>
      <c r="B291" s="402" t="s">
        <v>749</v>
      </c>
      <c r="C291" s="532"/>
      <c r="D291" s="532" t="s">
        <v>1565</v>
      </c>
      <c r="E291" s="532" t="s">
        <v>1566</v>
      </c>
      <c r="F291" s="390" t="s">
        <v>806</v>
      </c>
      <c r="G291" s="390" t="s">
        <v>801</v>
      </c>
      <c r="H291" s="381">
        <v>1</v>
      </c>
      <c r="I291" s="381">
        <v>5</v>
      </c>
      <c r="K291" s="381">
        <f t="shared" si="24"/>
        <v>5</v>
      </c>
      <c r="L291" s="644">
        <f>IFERROR(IF(B291="funkcna poziadavka",VLOOKUP(G291,MODULY_CBA!$B$3:$E$23,4,0)*H291/SUMIFS($H$3:$H$168,$G$3:$G$168,G291,$B$3:$B$168,B291),),)</f>
        <v>2</v>
      </c>
      <c r="M291" s="381">
        <f>IFERROR(IF(B291="Funkcna poziadavka",VLOOKUP(G291,MODULY_CBA!$B$3:$E$23,3,0),),)</f>
        <v>0.99499999999999988</v>
      </c>
      <c r="N291" s="381">
        <f>IFERROR(IF(B291="funkcna poziadavka",VLOOKUP(G291,MODULY_CBA!$B$3:$E$23,2,0),),)</f>
        <v>0.99</v>
      </c>
      <c r="O291" s="380">
        <f t="shared" si="25"/>
        <v>6.8953499999999988</v>
      </c>
      <c r="P291" s="379">
        <f>IFERROR(O291*VLOOKUP(G291,MODULY_CBA!$B$3:$F$23,5,0),)</f>
        <v>103.43024999999999</v>
      </c>
      <c r="Q291" s="480" t="str">
        <f>IFERROR(VLOOKUP(G291,MODULY_CBA!$B$3:$I$23,6,0),"")</f>
        <v>Inkrement 1</v>
      </c>
    </row>
    <row r="292" spans="1:17">
      <c r="A292" s="682" t="s">
        <v>1467</v>
      </c>
      <c r="B292" s="402" t="s">
        <v>749</v>
      </c>
      <c r="C292" s="532"/>
      <c r="D292" s="532" t="s">
        <v>1568</v>
      </c>
      <c r="E292" s="532" t="s">
        <v>1569</v>
      </c>
      <c r="F292" s="390" t="s">
        <v>806</v>
      </c>
      <c r="G292" s="390" t="s">
        <v>801</v>
      </c>
      <c r="H292" s="381">
        <v>1</v>
      </c>
      <c r="I292" s="381">
        <v>5</v>
      </c>
      <c r="K292" s="381">
        <f t="shared" si="24"/>
        <v>5</v>
      </c>
      <c r="L292" s="644">
        <f>IFERROR(IF(B292="funkcna poziadavka",VLOOKUP(G292,MODULY_CBA!$B$3:$E$23,4,0)*H292/SUMIFS($H$3:$H$168,$G$3:$G$168,G292,$B$3:$B$168,B292),),)</f>
        <v>2</v>
      </c>
      <c r="M292" s="381">
        <f>IFERROR(IF(B292="Funkcna poziadavka",VLOOKUP(G292,MODULY_CBA!$B$3:$E$23,3,0),),)</f>
        <v>0.99499999999999988</v>
      </c>
      <c r="N292" s="381">
        <f>IFERROR(IF(B292="funkcna poziadavka",VLOOKUP(G292,MODULY_CBA!$B$3:$E$23,2,0),),)</f>
        <v>0.99</v>
      </c>
      <c r="O292" s="380">
        <f t="shared" si="25"/>
        <v>6.8953499999999988</v>
      </c>
      <c r="P292" s="379">
        <f>IFERROR(O292*VLOOKUP(G292,MODULY_CBA!$B$3:$F$23,5,0),)</f>
        <v>103.43024999999999</v>
      </c>
      <c r="Q292" s="480" t="str">
        <f>IFERROR(VLOOKUP(G292,MODULY_CBA!$B$3:$I$23,6,0),"")</f>
        <v>Inkrement 1</v>
      </c>
    </row>
    <row r="293" spans="1:17">
      <c r="A293" s="682" t="s">
        <v>1468</v>
      </c>
      <c r="B293" s="402" t="s">
        <v>749</v>
      </c>
      <c r="C293" s="532"/>
      <c r="D293" s="532" t="s">
        <v>1571</v>
      </c>
      <c r="E293" s="532" t="s">
        <v>1572</v>
      </c>
      <c r="F293" s="390" t="s">
        <v>806</v>
      </c>
      <c r="G293" s="390" t="s">
        <v>801</v>
      </c>
      <c r="H293" s="381">
        <v>1</v>
      </c>
      <c r="I293" s="381">
        <v>5</v>
      </c>
      <c r="K293" s="381">
        <f t="shared" si="24"/>
        <v>5</v>
      </c>
      <c r="L293" s="644">
        <f>IFERROR(IF(B293="funkcna poziadavka",VLOOKUP(G293,MODULY_CBA!$B$3:$E$23,4,0)*H293/SUMIFS($H$3:$H$168,$G$3:$G$168,G293,$B$3:$B$168,B293),),)</f>
        <v>2</v>
      </c>
      <c r="M293" s="381">
        <f>IFERROR(IF(B293="Funkcna poziadavka",VLOOKUP(G293,MODULY_CBA!$B$3:$E$23,3,0),),)</f>
        <v>0.99499999999999988</v>
      </c>
      <c r="N293" s="381">
        <f>IFERROR(IF(B293="funkcna poziadavka",VLOOKUP(G293,MODULY_CBA!$B$3:$E$23,2,0),),)</f>
        <v>0.99</v>
      </c>
      <c r="O293" s="380">
        <f t="shared" si="25"/>
        <v>6.8953499999999988</v>
      </c>
      <c r="P293" s="379">
        <f>IFERROR(O293*VLOOKUP(G293,MODULY_CBA!$B$3:$F$23,5,0),)</f>
        <v>103.43024999999999</v>
      </c>
      <c r="Q293" s="480" t="str">
        <f>IFERROR(VLOOKUP(G293,MODULY_CBA!$B$3:$I$23,6,0),"")</f>
        <v>Inkrement 1</v>
      </c>
    </row>
    <row r="294" spans="1:17" ht="25.5">
      <c r="A294" s="682" t="s">
        <v>1469</v>
      </c>
      <c r="B294" s="402" t="s">
        <v>749</v>
      </c>
      <c r="C294" s="532"/>
      <c r="D294" s="532" t="s">
        <v>1574</v>
      </c>
      <c r="E294" s="532" t="s">
        <v>1575</v>
      </c>
      <c r="F294" s="390" t="s">
        <v>806</v>
      </c>
      <c r="G294" s="390" t="s">
        <v>801</v>
      </c>
      <c r="H294" s="381">
        <v>1</v>
      </c>
      <c r="I294" s="381">
        <v>10</v>
      </c>
      <c r="K294" s="381">
        <f t="shared" si="24"/>
        <v>10</v>
      </c>
      <c r="L294" s="644">
        <f>IFERROR(IF(B294="funkcna poziadavka",VLOOKUP(G294,MODULY_CBA!$B$3:$E$23,4,0)*H294/SUMIFS($H$3:$H$168,$G$3:$G$168,G294,$B$3:$B$168,B294),),)</f>
        <v>2</v>
      </c>
      <c r="M294" s="381">
        <f>IFERROR(IF(B294="Funkcna poziadavka",VLOOKUP(G294,MODULY_CBA!$B$3:$E$23,3,0),),)</f>
        <v>0.99499999999999988</v>
      </c>
      <c r="N294" s="381">
        <f>IFERROR(IF(B294="funkcna poziadavka",VLOOKUP(G294,MODULY_CBA!$B$3:$E$23,2,0),),)</f>
        <v>0.99</v>
      </c>
      <c r="O294" s="380">
        <f t="shared" si="25"/>
        <v>11.820599999999997</v>
      </c>
      <c r="P294" s="379">
        <f>IFERROR(O294*VLOOKUP(G294,MODULY_CBA!$B$3:$F$23,5,0),)</f>
        <v>177.30899999999997</v>
      </c>
      <c r="Q294" s="480" t="str">
        <f>IFERROR(VLOOKUP(G294,MODULY_CBA!$B$3:$I$23,6,0),"")</f>
        <v>Inkrement 1</v>
      </c>
    </row>
    <row r="295" spans="1:17" ht="38.25">
      <c r="A295" s="682" t="s">
        <v>1470</v>
      </c>
      <c r="B295" s="402" t="s">
        <v>749</v>
      </c>
      <c r="C295" s="532"/>
      <c r="D295" s="532" t="s">
        <v>1577</v>
      </c>
      <c r="E295" s="532" t="s">
        <v>1578</v>
      </c>
      <c r="F295" s="390" t="s">
        <v>806</v>
      </c>
      <c r="G295" s="390" t="s">
        <v>801</v>
      </c>
      <c r="H295" s="381">
        <v>1</v>
      </c>
      <c r="I295" s="381">
        <v>15</v>
      </c>
      <c r="K295" s="381">
        <f t="shared" si="24"/>
        <v>15</v>
      </c>
      <c r="L295" s="644">
        <f>IFERROR(IF(B295="funkcna poziadavka",VLOOKUP(G295,MODULY_CBA!$B$3:$E$23,4,0)*H295/SUMIFS($H$3:$H$168,$G$3:$G$168,G295,$B$3:$B$168,B295),),)</f>
        <v>2</v>
      </c>
      <c r="M295" s="381">
        <f>IFERROR(IF(B295="Funkcna poziadavka",VLOOKUP(G295,MODULY_CBA!$B$3:$E$23,3,0),),)</f>
        <v>0.99499999999999988</v>
      </c>
      <c r="N295" s="381">
        <f>IFERROR(IF(B295="funkcna poziadavka",VLOOKUP(G295,MODULY_CBA!$B$3:$E$23,2,0),),)</f>
        <v>0.99</v>
      </c>
      <c r="O295" s="380">
        <f t="shared" si="25"/>
        <v>16.745849999999997</v>
      </c>
      <c r="P295" s="379">
        <f>IFERROR(O295*VLOOKUP(G295,MODULY_CBA!$B$3:$F$23,5,0),)</f>
        <v>251.18774999999997</v>
      </c>
      <c r="Q295" s="480" t="str">
        <f>IFERROR(VLOOKUP(G295,MODULY_CBA!$B$3:$I$23,6,0),"")</f>
        <v>Inkrement 1</v>
      </c>
    </row>
    <row r="296" spans="1:17" ht="51">
      <c r="A296" s="682" t="s">
        <v>1471</v>
      </c>
      <c r="B296" s="402" t="s">
        <v>749</v>
      </c>
      <c r="C296" s="532"/>
      <c r="D296" s="532" t="s">
        <v>1580</v>
      </c>
      <c r="E296" s="532" t="s">
        <v>1581</v>
      </c>
      <c r="F296" s="390" t="s">
        <v>806</v>
      </c>
      <c r="G296" s="390" t="s">
        <v>801</v>
      </c>
      <c r="H296" s="381">
        <v>1</v>
      </c>
      <c r="I296" s="381">
        <v>5</v>
      </c>
      <c r="K296" s="381">
        <f t="shared" si="24"/>
        <v>5</v>
      </c>
      <c r="L296" s="644">
        <f>IFERROR(IF(B296="funkcna poziadavka",VLOOKUP(G296,MODULY_CBA!$B$3:$E$23,4,0)*H296/SUMIFS($H$3:$H$168,$G$3:$G$168,G296,$B$3:$B$168,B296),),)</f>
        <v>2</v>
      </c>
      <c r="M296" s="381">
        <f>IFERROR(IF(B296="Funkcna poziadavka",VLOOKUP(G296,MODULY_CBA!$B$3:$E$23,3,0),),)</f>
        <v>0.99499999999999988</v>
      </c>
      <c r="N296" s="381">
        <f>IFERROR(IF(B296="funkcna poziadavka",VLOOKUP(G296,MODULY_CBA!$B$3:$E$23,2,0),),)</f>
        <v>0.99</v>
      </c>
      <c r="O296" s="380">
        <f t="shared" si="25"/>
        <v>6.8953499999999988</v>
      </c>
      <c r="P296" s="379">
        <f>IFERROR(O296*VLOOKUP(G296,MODULY_CBA!$B$3:$F$23,5,0),)</f>
        <v>103.43024999999999</v>
      </c>
      <c r="Q296" s="480" t="str">
        <f>IFERROR(VLOOKUP(G296,MODULY_CBA!$B$3:$I$23,6,0),"")</f>
        <v>Inkrement 1</v>
      </c>
    </row>
    <row r="297" spans="1:17" ht="25.5">
      <c r="A297" s="682" t="s">
        <v>1472</v>
      </c>
      <c r="B297" s="402" t="s">
        <v>749</v>
      </c>
      <c r="C297" s="532"/>
      <c r="D297" s="532" t="s">
        <v>1583</v>
      </c>
      <c r="E297" s="532" t="s">
        <v>1584</v>
      </c>
      <c r="F297" s="390" t="s">
        <v>806</v>
      </c>
      <c r="G297" s="390" t="s">
        <v>801</v>
      </c>
      <c r="H297" s="381">
        <v>1</v>
      </c>
      <c r="I297" s="381">
        <v>5</v>
      </c>
      <c r="K297" s="381">
        <f t="shared" si="24"/>
        <v>5</v>
      </c>
      <c r="L297" s="644">
        <f>IFERROR(IF(B297="funkcna poziadavka",VLOOKUP(G297,MODULY_CBA!$B$3:$E$23,4,0)*H297/SUMIFS($H$3:$H$168,$G$3:$G$168,G297,$B$3:$B$168,B297),),)</f>
        <v>2</v>
      </c>
      <c r="M297" s="381">
        <f>IFERROR(IF(B297="Funkcna poziadavka",VLOOKUP(G297,MODULY_CBA!$B$3:$E$23,3,0),),)</f>
        <v>0.99499999999999988</v>
      </c>
      <c r="N297" s="381">
        <f>IFERROR(IF(B297="funkcna poziadavka",VLOOKUP(G297,MODULY_CBA!$B$3:$E$23,2,0),),)</f>
        <v>0.99</v>
      </c>
      <c r="O297" s="380">
        <f t="shared" si="25"/>
        <v>6.8953499999999988</v>
      </c>
      <c r="P297" s="379">
        <f>IFERROR(O297*VLOOKUP(G297,MODULY_CBA!$B$3:$F$23,5,0),)</f>
        <v>103.43024999999999</v>
      </c>
      <c r="Q297" s="480" t="str">
        <f>IFERROR(VLOOKUP(G297,MODULY_CBA!$B$3:$I$23,6,0),"")</f>
        <v>Inkrement 1</v>
      </c>
    </row>
    <row r="298" spans="1:17" ht="51">
      <c r="A298" s="682" t="s">
        <v>1473</v>
      </c>
      <c r="B298" s="402" t="s">
        <v>749</v>
      </c>
      <c r="C298" s="532"/>
      <c r="D298" s="532" t="s">
        <v>1586</v>
      </c>
      <c r="E298" s="532" t="s">
        <v>1587</v>
      </c>
      <c r="F298" s="390" t="s">
        <v>806</v>
      </c>
      <c r="G298" s="390" t="s">
        <v>801</v>
      </c>
      <c r="H298" s="381">
        <v>1</v>
      </c>
      <c r="I298" s="381">
        <v>5</v>
      </c>
      <c r="K298" s="381">
        <f t="shared" si="24"/>
        <v>5</v>
      </c>
      <c r="L298" s="644">
        <f>IFERROR(IF(B298="funkcna poziadavka",VLOOKUP(G298,MODULY_CBA!$B$3:$E$23,4,0)*H298/SUMIFS($H$3:$H$168,$G$3:$G$168,G298,$B$3:$B$168,B298),),)</f>
        <v>2</v>
      </c>
      <c r="M298" s="381">
        <f>IFERROR(IF(B298="Funkcna poziadavka",VLOOKUP(G298,MODULY_CBA!$B$3:$E$23,3,0),),)</f>
        <v>0.99499999999999988</v>
      </c>
      <c r="N298" s="381">
        <f>IFERROR(IF(B298="funkcna poziadavka",VLOOKUP(G298,MODULY_CBA!$B$3:$E$23,2,0),),)</f>
        <v>0.99</v>
      </c>
      <c r="O298" s="380">
        <f t="shared" si="25"/>
        <v>6.8953499999999988</v>
      </c>
      <c r="P298" s="379">
        <f>IFERROR(O298*VLOOKUP(G298,MODULY_CBA!$B$3:$F$23,5,0),)</f>
        <v>103.43024999999999</v>
      </c>
      <c r="Q298" s="480" t="str">
        <f>IFERROR(VLOOKUP(G298,MODULY_CBA!$B$3:$I$23,6,0),"")</f>
        <v>Inkrement 1</v>
      </c>
    </row>
    <row r="299" spans="1:17" ht="51">
      <c r="A299" s="682" t="s">
        <v>1474</v>
      </c>
      <c r="B299" s="402" t="s">
        <v>749</v>
      </c>
      <c r="C299" s="532"/>
      <c r="D299" s="532" t="s">
        <v>1589</v>
      </c>
      <c r="E299" s="532" t="s">
        <v>1590</v>
      </c>
      <c r="F299" s="390" t="s">
        <v>806</v>
      </c>
      <c r="G299" s="390" t="s">
        <v>801</v>
      </c>
      <c r="H299" s="381">
        <v>1</v>
      </c>
      <c r="I299" s="381">
        <v>5</v>
      </c>
      <c r="K299" s="381">
        <f t="shared" si="24"/>
        <v>5</v>
      </c>
      <c r="L299" s="644">
        <f>IFERROR(IF(B299="funkcna poziadavka",VLOOKUP(G299,MODULY_CBA!$B$3:$E$23,4,0)*H299/SUMIFS($H$3:$H$168,$G$3:$G$168,G299,$B$3:$B$168,B299),),)</f>
        <v>2</v>
      </c>
      <c r="M299" s="381">
        <f>IFERROR(IF(B299="Funkcna poziadavka",VLOOKUP(G299,MODULY_CBA!$B$3:$E$23,3,0),),)</f>
        <v>0.99499999999999988</v>
      </c>
      <c r="N299" s="381">
        <f>IFERROR(IF(B299="funkcna poziadavka",VLOOKUP(G299,MODULY_CBA!$B$3:$E$23,2,0),),)</f>
        <v>0.99</v>
      </c>
      <c r="O299" s="380">
        <f t="shared" si="25"/>
        <v>6.8953499999999988</v>
      </c>
      <c r="P299" s="379">
        <f>IFERROR(O299*VLOOKUP(G299,MODULY_CBA!$B$3:$F$23,5,0),)</f>
        <v>103.43024999999999</v>
      </c>
      <c r="Q299" s="480" t="str">
        <f>IFERROR(VLOOKUP(G299,MODULY_CBA!$B$3:$I$23,6,0),"")</f>
        <v>Inkrement 1</v>
      </c>
    </row>
    <row r="300" spans="1:17" ht="38.25">
      <c r="A300" s="682" t="s">
        <v>1475</v>
      </c>
      <c r="B300" s="402" t="s">
        <v>749</v>
      </c>
      <c r="C300" s="532"/>
      <c r="D300" s="532" t="s">
        <v>1592</v>
      </c>
      <c r="E300" s="532" t="s">
        <v>1593</v>
      </c>
      <c r="F300" s="390" t="s">
        <v>806</v>
      </c>
      <c r="G300" s="390" t="s">
        <v>801</v>
      </c>
      <c r="H300" s="381">
        <v>1</v>
      </c>
      <c r="I300" s="381">
        <v>10</v>
      </c>
      <c r="K300" s="381">
        <f t="shared" si="24"/>
        <v>10</v>
      </c>
      <c r="L300" s="644">
        <f>IFERROR(IF(B300="funkcna poziadavka",VLOOKUP(G300,MODULY_CBA!$B$3:$E$23,4,0)*H300/SUMIFS($H$3:$H$168,$G$3:$G$168,G300,$B$3:$B$168,B300),),)</f>
        <v>2</v>
      </c>
      <c r="M300" s="381">
        <f>IFERROR(IF(B300="Funkcna poziadavka",VLOOKUP(G300,MODULY_CBA!$B$3:$E$23,3,0),),)</f>
        <v>0.99499999999999988</v>
      </c>
      <c r="N300" s="381">
        <f>IFERROR(IF(B300="funkcna poziadavka",VLOOKUP(G300,MODULY_CBA!$B$3:$E$23,2,0),),)</f>
        <v>0.99</v>
      </c>
      <c r="O300" s="380">
        <f t="shared" si="25"/>
        <v>11.820599999999997</v>
      </c>
      <c r="P300" s="379">
        <f>IFERROR(O300*VLOOKUP(G300,MODULY_CBA!$B$3:$F$23,5,0),)</f>
        <v>177.30899999999997</v>
      </c>
      <c r="Q300" s="480" t="str">
        <f>IFERROR(VLOOKUP(G300,MODULY_CBA!$B$3:$I$23,6,0),"")</f>
        <v>Inkrement 1</v>
      </c>
    </row>
    <row r="301" spans="1:17" ht="25.5">
      <c r="A301" s="682" t="s">
        <v>1476</v>
      </c>
      <c r="B301" s="402" t="s">
        <v>749</v>
      </c>
      <c r="C301" s="532"/>
      <c r="D301" s="532" t="s">
        <v>1595</v>
      </c>
      <c r="E301" s="532" t="s">
        <v>1596</v>
      </c>
      <c r="F301" s="390" t="s">
        <v>806</v>
      </c>
      <c r="G301" s="390" t="s">
        <v>801</v>
      </c>
      <c r="H301" s="381">
        <v>1</v>
      </c>
      <c r="I301" s="381">
        <v>5</v>
      </c>
      <c r="K301" s="381">
        <f t="shared" si="24"/>
        <v>5</v>
      </c>
      <c r="L301" s="644">
        <f>IFERROR(IF(B301="funkcna poziadavka",VLOOKUP(G301,MODULY_CBA!$B$3:$E$23,4,0)*H301/SUMIFS($H$3:$H$168,$G$3:$G$168,G301,$B$3:$B$168,B301),),)</f>
        <v>2</v>
      </c>
      <c r="M301" s="381">
        <f>IFERROR(IF(B301="Funkcna poziadavka",VLOOKUP(G301,MODULY_CBA!$B$3:$E$23,3,0),),)</f>
        <v>0.99499999999999988</v>
      </c>
      <c r="N301" s="381">
        <f>IFERROR(IF(B301="funkcna poziadavka",VLOOKUP(G301,MODULY_CBA!$B$3:$E$23,2,0),),)</f>
        <v>0.99</v>
      </c>
      <c r="O301" s="380">
        <f t="shared" si="25"/>
        <v>6.8953499999999988</v>
      </c>
      <c r="P301" s="379">
        <f>IFERROR(O301*VLOOKUP(G301,MODULY_CBA!$B$3:$F$23,5,0),)</f>
        <v>103.43024999999999</v>
      </c>
      <c r="Q301" s="480" t="str">
        <f>IFERROR(VLOOKUP(G301,MODULY_CBA!$B$3:$I$23,6,0),"")</f>
        <v>Inkrement 1</v>
      </c>
    </row>
    <row r="302" spans="1:17" ht="51">
      <c r="A302" s="682" t="s">
        <v>1477</v>
      </c>
      <c r="B302" s="402" t="s">
        <v>749</v>
      </c>
      <c r="C302" s="532"/>
      <c r="D302" s="532" t="s">
        <v>1598</v>
      </c>
      <c r="E302" s="532" t="s">
        <v>1599</v>
      </c>
      <c r="F302" s="390" t="s">
        <v>806</v>
      </c>
      <c r="G302" s="390" t="s">
        <v>801</v>
      </c>
      <c r="H302" s="381">
        <v>1</v>
      </c>
      <c r="I302" s="381">
        <v>15</v>
      </c>
      <c r="K302" s="381">
        <f t="shared" si="24"/>
        <v>15</v>
      </c>
      <c r="L302" s="644">
        <f>IFERROR(IF(B302="funkcna poziadavka",VLOOKUP(G302,MODULY_CBA!$B$3:$E$23,4,0)*H302/SUMIFS($H$3:$H$168,$G$3:$G$168,G302,$B$3:$B$168,B302),),)</f>
        <v>2</v>
      </c>
      <c r="M302" s="381">
        <f>IFERROR(IF(B302="Funkcna poziadavka",VLOOKUP(G302,MODULY_CBA!$B$3:$E$23,3,0),),)</f>
        <v>0.99499999999999988</v>
      </c>
      <c r="N302" s="381">
        <f>IFERROR(IF(B302="funkcna poziadavka",VLOOKUP(G302,MODULY_CBA!$B$3:$E$23,2,0),),)</f>
        <v>0.99</v>
      </c>
      <c r="O302" s="380">
        <f t="shared" si="25"/>
        <v>16.745849999999997</v>
      </c>
      <c r="P302" s="379">
        <f>IFERROR(O302*VLOOKUP(G302,MODULY_CBA!$B$3:$F$23,5,0),)</f>
        <v>251.18774999999997</v>
      </c>
      <c r="Q302" s="480" t="str">
        <f>IFERROR(VLOOKUP(G302,MODULY_CBA!$B$3:$I$23,6,0),"")</f>
        <v>Inkrement 1</v>
      </c>
    </row>
    <row r="303" spans="1:17" ht="25.5">
      <c r="A303" s="682" t="s">
        <v>1478</v>
      </c>
      <c r="B303" s="402" t="s">
        <v>749</v>
      </c>
      <c r="C303" s="532"/>
      <c r="D303" s="532" t="s">
        <v>1601</v>
      </c>
      <c r="E303" s="532" t="s">
        <v>1602</v>
      </c>
      <c r="F303" s="390" t="s">
        <v>806</v>
      </c>
      <c r="G303" s="390" t="s">
        <v>801</v>
      </c>
      <c r="H303" s="381">
        <v>1</v>
      </c>
      <c r="I303" s="381">
        <v>5</v>
      </c>
      <c r="K303" s="381">
        <f t="shared" si="24"/>
        <v>5</v>
      </c>
      <c r="L303" s="644">
        <f>IFERROR(IF(B303="funkcna poziadavka",VLOOKUP(G303,MODULY_CBA!$B$3:$E$23,4,0)*H303/SUMIFS($H$3:$H$168,$G$3:$G$168,G303,$B$3:$B$168,B303),),)</f>
        <v>2</v>
      </c>
      <c r="M303" s="381">
        <f>IFERROR(IF(B303="Funkcna poziadavka",VLOOKUP(G303,MODULY_CBA!$B$3:$E$23,3,0),),)</f>
        <v>0.99499999999999988</v>
      </c>
      <c r="N303" s="381">
        <f>IFERROR(IF(B303="funkcna poziadavka",VLOOKUP(G303,MODULY_CBA!$B$3:$E$23,2,0),),)</f>
        <v>0.99</v>
      </c>
      <c r="O303" s="380">
        <f t="shared" si="25"/>
        <v>6.8953499999999988</v>
      </c>
      <c r="P303" s="379">
        <f>IFERROR(O303*VLOOKUP(G303,MODULY_CBA!$B$3:$F$23,5,0),)</f>
        <v>103.43024999999999</v>
      </c>
      <c r="Q303" s="480" t="str">
        <f>IFERROR(VLOOKUP(G303,MODULY_CBA!$B$3:$I$23,6,0),"")</f>
        <v>Inkrement 1</v>
      </c>
    </row>
    <row r="304" spans="1:17" ht="38.25">
      <c r="A304" s="682" t="s">
        <v>1479</v>
      </c>
      <c r="B304" s="402" t="s">
        <v>749</v>
      </c>
      <c r="C304" s="532"/>
      <c r="D304" s="532" t="s">
        <v>1604</v>
      </c>
      <c r="E304" s="532" t="s">
        <v>1605</v>
      </c>
      <c r="F304" s="390" t="s">
        <v>806</v>
      </c>
      <c r="G304" s="390" t="s">
        <v>801</v>
      </c>
      <c r="H304" s="381">
        <v>1</v>
      </c>
      <c r="I304" s="381">
        <v>5</v>
      </c>
      <c r="K304" s="381">
        <f t="shared" si="24"/>
        <v>5</v>
      </c>
      <c r="L304" s="644">
        <f>IFERROR(IF(B304="funkcna poziadavka",VLOOKUP(G304,MODULY_CBA!$B$3:$E$23,4,0)*H304/SUMIFS($H$3:$H$168,$G$3:$G$168,G304,$B$3:$B$168,B304),),)</f>
        <v>2</v>
      </c>
      <c r="M304" s="381">
        <f>IFERROR(IF(B304="Funkcna poziadavka",VLOOKUP(G304,MODULY_CBA!$B$3:$E$23,3,0),),)</f>
        <v>0.99499999999999988</v>
      </c>
      <c r="N304" s="381">
        <f>IFERROR(IF(B304="funkcna poziadavka",VLOOKUP(G304,MODULY_CBA!$B$3:$E$23,2,0),),)</f>
        <v>0.99</v>
      </c>
      <c r="O304" s="380">
        <f t="shared" si="25"/>
        <v>6.8953499999999988</v>
      </c>
      <c r="P304" s="379">
        <f>IFERROR(O304*VLOOKUP(G304,MODULY_CBA!$B$3:$F$23,5,0),)</f>
        <v>103.43024999999999</v>
      </c>
      <c r="Q304" s="480" t="str">
        <f>IFERROR(VLOOKUP(G304,MODULY_CBA!$B$3:$I$23,6,0),"")</f>
        <v>Inkrement 1</v>
      </c>
    </row>
    <row r="305" spans="1:17" ht="38.25">
      <c r="A305" s="682" t="s">
        <v>1480</v>
      </c>
      <c r="B305" s="402" t="s">
        <v>749</v>
      </c>
      <c r="C305" s="532"/>
      <c r="D305" s="532" t="s">
        <v>1607</v>
      </c>
      <c r="E305" s="532" t="s">
        <v>1608</v>
      </c>
      <c r="F305" s="390" t="s">
        <v>806</v>
      </c>
      <c r="G305" s="390" t="s">
        <v>801</v>
      </c>
      <c r="H305" s="381">
        <v>1</v>
      </c>
      <c r="I305" s="381">
        <v>5</v>
      </c>
      <c r="K305" s="381">
        <f t="shared" si="24"/>
        <v>5</v>
      </c>
      <c r="L305" s="644">
        <f>IFERROR(IF(B305="funkcna poziadavka",VLOOKUP(G305,MODULY_CBA!$B$3:$E$23,4,0)*H305/SUMIFS($H$3:$H$168,$G$3:$G$168,G305,$B$3:$B$168,B305),),)</f>
        <v>2</v>
      </c>
      <c r="M305" s="381">
        <f>IFERROR(IF(B305="Funkcna poziadavka",VLOOKUP(G305,MODULY_CBA!$B$3:$E$23,3,0),),)</f>
        <v>0.99499999999999988</v>
      </c>
      <c r="N305" s="381">
        <f>IFERROR(IF(B305="funkcna poziadavka",VLOOKUP(G305,MODULY_CBA!$B$3:$E$23,2,0),),)</f>
        <v>0.99</v>
      </c>
      <c r="O305" s="380">
        <f t="shared" si="25"/>
        <v>6.8953499999999988</v>
      </c>
      <c r="P305" s="379">
        <f>IFERROR(O305*VLOOKUP(G305,MODULY_CBA!$B$3:$F$23,5,0),)</f>
        <v>103.43024999999999</v>
      </c>
      <c r="Q305" s="480" t="str">
        <f>IFERROR(VLOOKUP(G305,MODULY_CBA!$B$3:$I$23,6,0),"")</f>
        <v>Inkrement 1</v>
      </c>
    </row>
    <row r="306" spans="1:17" ht="25.5">
      <c r="A306" s="682" t="s">
        <v>1483</v>
      </c>
      <c r="B306" s="402" t="s">
        <v>749</v>
      </c>
      <c r="C306" s="532"/>
      <c r="D306" s="532" t="s">
        <v>1610</v>
      </c>
      <c r="E306" s="532" t="s">
        <v>1611</v>
      </c>
      <c r="F306" s="390" t="s">
        <v>806</v>
      </c>
      <c r="G306" s="390" t="s">
        <v>801</v>
      </c>
      <c r="H306" s="381">
        <v>1</v>
      </c>
      <c r="I306" s="381">
        <v>5</v>
      </c>
      <c r="K306" s="381">
        <f t="shared" si="24"/>
        <v>5</v>
      </c>
      <c r="L306" s="644">
        <f>IFERROR(IF(B306="funkcna poziadavka",VLOOKUP(G306,MODULY_CBA!$B$3:$E$23,4,0)*H306/SUMIFS($H$3:$H$168,$G$3:$G$168,G306,$B$3:$B$168,B306),),)</f>
        <v>2</v>
      </c>
      <c r="M306" s="381">
        <f>IFERROR(IF(B306="Funkcna poziadavka",VLOOKUP(G306,MODULY_CBA!$B$3:$E$23,3,0),),)</f>
        <v>0.99499999999999988</v>
      </c>
      <c r="N306" s="381">
        <f>IFERROR(IF(B306="funkcna poziadavka",VLOOKUP(G306,MODULY_CBA!$B$3:$E$23,2,0),),)</f>
        <v>0.99</v>
      </c>
      <c r="O306" s="380">
        <f t="shared" si="25"/>
        <v>6.8953499999999988</v>
      </c>
      <c r="P306" s="379">
        <f>IFERROR(O306*VLOOKUP(G306,MODULY_CBA!$B$3:$F$23,5,0),)</f>
        <v>103.43024999999999</v>
      </c>
      <c r="Q306" s="480" t="str">
        <f>IFERROR(VLOOKUP(G306,MODULY_CBA!$B$3:$I$23,6,0),"")</f>
        <v>Inkrement 1</v>
      </c>
    </row>
    <row r="307" spans="1:17" ht="25.5">
      <c r="A307" s="682" t="s">
        <v>1486</v>
      </c>
      <c r="B307" s="402" t="s">
        <v>749</v>
      </c>
      <c r="C307" s="532"/>
      <c r="D307" s="532" t="s">
        <v>1613</v>
      </c>
      <c r="E307" s="532" t="s">
        <v>1614</v>
      </c>
      <c r="F307" s="390" t="s">
        <v>806</v>
      </c>
      <c r="G307" s="390" t="s">
        <v>801</v>
      </c>
      <c r="H307" s="381">
        <v>1</v>
      </c>
      <c r="I307" s="381">
        <v>5</v>
      </c>
      <c r="K307" s="381">
        <f t="shared" si="24"/>
        <v>5</v>
      </c>
      <c r="L307" s="644">
        <f>IFERROR(IF(B307="funkcna poziadavka",VLOOKUP(G307,MODULY_CBA!$B$3:$E$23,4,0)*H307/SUMIFS($H$3:$H$168,$G$3:$G$168,G307,$B$3:$B$168,B307),),)</f>
        <v>2</v>
      </c>
      <c r="M307" s="381">
        <f>IFERROR(IF(B307="Funkcna poziadavka",VLOOKUP(G307,MODULY_CBA!$B$3:$E$23,3,0),),)</f>
        <v>0.99499999999999988</v>
      </c>
      <c r="N307" s="381">
        <f>IFERROR(IF(B307="funkcna poziadavka",VLOOKUP(G307,MODULY_CBA!$B$3:$E$23,2,0),),)</f>
        <v>0.99</v>
      </c>
      <c r="O307" s="380">
        <f t="shared" si="25"/>
        <v>6.8953499999999988</v>
      </c>
      <c r="P307" s="379">
        <f>IFERROR(O307*VLOOKUP(G307,MODULY_CBA!$B$3:$F$23,5,0),)</f>
        <v>103.43024999999999</v>
      </c>
      <c r="Q307" s="480" t="str">
        <f>IFERROR(VLOOKUP(G307,MODULY_CBA!$B$3:$I$23,6,0),"")</f>
        <v>Inkrement 1</v>
      </c>
    </row>
    <row r="308" spans="1:17" ht="25.5">
      <c r="A308" s="682" t="s">
        <v>1489</v>
      </c>
      <c r="B308" s="402" t="s">
        <v>749</v>
      </c>
      <c r="C308" s="532"/>
      <c r="D308" s="532" t="s">
        <v>1616</v>
      </c>
      <c r="E308" s="532" t="s">
        <v>1617</v>
      </c>
      <c r="F308" s="390" t="s">
        <v>806</v>
      </c>
      <c r="G308" s="390" t="s">
        <v>801</v>
      </c>
      <c r="H308" s="381">
        <v>1</v>
      </c>
      <c r="I308" s="381">
        <v>5</v>
      </c>
      <c r="K308" s="381">
        <f t="shared" si="24"/>
        <v>5</v>
      </c>
      <c r="L308" s="644">
        <f>IFERROR(IF(B308="funkcna poziadavka",VLOOKUP(G308,MODULY_CBA!$B$3:$E$23,4,0)*H308/SUMIFS($H$3:$H$168,$G$3:$G$168,G308,$B$3:$B$168,B308),),)</f>
        <v>2</v>
      </c>
      <c r="M308" s="381">
        <f>IFERROR(IF(B308="Funkcna poziadavka",VLOOKUP(G308,MODULY_CBA!$B$3:$E$23,3,0),),)</f>
        <v>0.99499999999999988</v>
      </c>
      <c r="N308" s="381">
        <f>IFERROR(IF(B308="funkcna poziadavka",VLOOKUP(G308,MODULY_CBA!$B$3:$E$23,2,0),),)</f>
        <v>0.99</v>
      </c>
      <c r="O308" s="380">
        <f t="shared" si="25"/>
        <v>6.8953499999999988</v>
      </c>
      <c r="P308" s="379">
        <f>IFERROR(O308*VLOOKUP(G308,MODULY_CBA!$B$3:$F$23,5,0),)</f>
        <v>103.43024999999999</v>
      </c>
      <c r="Q308" s="480" t="str">
        <f>IFERROR(VLOOKUP(G308,MODULY_CBA!$B$3:$I$23,6,0),"")</f>
        <v>Inkrement 1</v>
      </c>
    </row>
    <row r="309" spans="1:17" ht="25.5">
      <c r="A309" s="682" t="s">
        <v>1492</v>
      </c>
      <c r="B309" s="402" t="s">
        <v>749</v>
      </c>
      <c r="C309" s="532"/>
      <c r="D309" s="532" t="s">
        <v>1619</v>
      </c>
      <c r="E309" s="532" t="s">
        <v>1620</v>
      </c>
      <c r="F309" s="390" t="s">
        <v>806</v>
      </c>
      <c r="G309" s="390" t="s">
        <v>801</v>
      </c>
      <c r="H309" s="381">
        <v>1</v>
      </c>
      <c r="I309" s="381">
        <v>5</v>
      </c>
      <c r="K309" s="381">
        <f t="shared" si="24"/>
        <v>5</v>
      </c>
      <c r="L309" s="644">
        <f>IFERROR(IF(B309="funkcna poziadavka",VLOOKUP(G309,MODULY_CBA!$B$3:$E$23,4,0)*H309/SUMIFS($H$3:$H$168,$G$3:$G$168,G309,$B$3:$B$168,B309),),)</f>
        <v>2</v>
      </c>
      <c r="M309" s="381">
        <f>IFERROR(IF(B309="Funkcna poziadavka",VLOOKUP(G309,MODULY_CBA!$B$3:$E$23,3,0),),)</f>
        <v>0.99499999999999988</v>
      </c>
      <c r="N309" s="381">
        <f>IFERROR(IF(B309="funkcna poziadavka",VLOOKUP(G309,MODULY_CBA!$B$3:$E$23,2,0),),)</f>
        <v>0.99</v>
      </c>
      <c r="O309" s="380">
        <f t="shared" si="25"/>
        <v>6.8953499999999988</v>
      </c>
      <c r="P309" s="379">
        <f>IFERROR(O309*VLOOKUP(G309,MODULY_CBA!$B$3:$F$23,5,0),)</f>
        <v>103.43024999999999</v>
      </c>
      <c r="Q309" s="480" t="str">
        <f>IFERROR(VLOOKUP(G309,MODULY_CBA!$B$3:$I$23,6,0),"")</f>
        <v>Inkrement 1</v>
      </c>
    </row>
    <row r="310" spans="1:17">
      <c r="A310" s="682" t="s">
        <v>1495</v>
      </c>
      <c r="B310" s="402" t="s">
        <v>749</v>
      </c>
      <c r="C310" s="532"/>
      <c r="D310" s="532" t="s">
        <v>1622</v>
      </c>
      <c r="E310" s="532" t="s">
        <v>1623</v>
      </c>
      <c r="F310" s="390" t="s">
        <v>806</v>
      </c>
      <c r="G310" s="390" t="s">
        <v>801</v>
      </c>
      <c r="H310" s="381">
        <v>1</v>
      </c>
      <c r="I310" s="381">
        <v>5</v>
      </c>
      <c r="K310" s="381">
        <f t="shared" si="24"/>
        <v>5</v>
      </c>
      <c r="L310" s="644">
        <f>IFERROR(IF(B310="funkcna poziadavka",VLOOKUP(G310,MODULY_CBA!$B$3:$E$23,4,0)*H310/SUMIFS($H$3:$H$168,$G$3:$G$168,G310,$B$3:$B$168,B310),),)</f>
        <v>2</v>
      </c>
      <c r="M310" s="381">
        <f>IFERROR(IF(B310="Funkcna poziadavka",VLOOKUP(G310,MODULY_CBA!$B$3:$E$23,3,0),),)</f>
        <v>0.99499999999999988</v>
      </c>
      <c r="N310" s="381">
        <f>IFERROR(IF(B310="funkcna poziadavka",VLOOKUP(G310,MODULY_CBA!$B$3:$E$23,2,0),),)</f>
        <v>0.99</v>
      </c>
      <c r="O310" s="380">
        <f t="shared" si="25"/>
        <v>6.8953499999999988</v>
      </c>
      <c r="P310" s="379">
        <f>IFERROR(O310*VLOOKUP(G310,MODULY_CBA!$B$3:$F$23,5,0),)</f>
        <v>103.43024999999999</v>
      </c>
      <c r="Q310" s="480" t="str">
        <f>IFERROR(VLOOKUP(G310,MODULY_CBA!$B$3:$I$23,6,0),"")</f>
        <v>Inkrement 1</v>
      </c>
    </row>
    <row r="311" spans="1:17" ht="38.25">
      <c r="A311" s="682" t="s">
        <v>1498</v>
      </c>
      <c r="B311" s="402" t="s">
        <v>749</v>
      </c>
      <c r="C311" s="532"/>
      <c r="D311" s="532" t="s">
        <v>1625</v>
      </c>
      <c r="E311" s="532" t="s">
        <v>1626</v>
      </c>
      <c r="F311" s="390" t="s">
        <v>806</v>
      </c>
      <c r="G311" s="390" t="s">
        <v>801</v>
      </c>
      <c r="H311" s="381">
        <v>1</v>
      </c>
      <c r="I311" s="381">
        <v>5</v>
      </c>
      <c r="K311" s="381">
        <f t="shared" si="24"/>
        <v>5</v>
      </c>
      <c r="L311" s="644">
        <f>IFERROR(IF(B311="funkcna poziadavka",VLOOKUP(G311,MODULY_CBA!$B$3:$E$23,4,0)*H311/SUMIFS($H$3:$H$168,$G$3:$G$168,G311,$B$3:$B$168,B311),),)</f>
        <v>2</v>
      </c>
      <c r="M311" s="381">
        <f>IFERROR(IF(B311="Funkcna poziadavka",VLOOKUP(G311,MODULY_CBA!$B$3:$E$23,3,0),),)</f>
        <v>0.99499999999999988</v>
      </c>
      <c r="N311" s="381">
        <f>IFERROR(IF(B311="funkcna poziadavka",VLOOKUP(G311,MODULY_CBA!$B$3:$E$23,2,0),),)</f>
        <v>0.99</v>
      </c>
      <c r="O311" s="380">
        <f t="shared" si="25"/>
        <v>6.8953499999999988</v>
      </c>
      <c r="P311" s="379">
        <f>IFERROR(O311*VLOOKUP(G311,MODULY_CBA!$B$3:$F$23,5,0),)</f>
        <v>103.43024999999999</v>
      </c>
      <c r="Q311" s="480" t="str">
        <f>IFERROR(VLOOKUP(G311,MODULY_CBA!$B$3:$I$23,6,0),"")</f>
        <v>Inkrement 1</v>
      </c>
    </row>
    <row r="312" spans="1:17" ht="51">
      <c r="A312" s="682" t="s">
        <v>1501</v>
      </c>
      <c r="B312" s="402" t="s">
        <v>749</v>
      </c>
      <c r="C312" s="532"/>
      <c r="D312" s="532" t="s">
        <v>1628</v>
      </c>
      <c r="E312" s="532" t="s">
        <v>1629</v>
      </c>
      <c r="F312" s="390" t="s">
        <v>806</v>
      </c>
      <c r="G312" s="390" t="s">
        <v>801</v>
      </c>
      <c r="H312" s="381">
        <v>1</v>
      </c>
      <c r="I312" s="381">
        <v>5</v>
      </c>
      <c r="K312" s="381">
        <f t="shared" si="24"/>
        <v>5</v>
      </c>
      <c r="L312" s="644">
        <f>IFERROR(IF(B312="funkcna poziadavka",VLOOKUP(G312,MODULY_CBA!$B$3:$E$23,4,0)*H312/SUMIFS($H$3:$H$168,$G$3:$G$168,G312,$B$3:$B$168,B312),),)</f>
        <v>2</v>
      </c>
      <c r="M312" s="381">
        <f>IFERROR(IF(B312="Funkcna poziadavka",VLOOKUP(G312,MODULY_CBA!$B$3:$E$23,3,0),),)</f>
        <v>0.99499999999999988</v>
      </c>
      <c r="N312" s="381">
        <f>IFERROR(IF(B312="funkcna poziadavka",VLOOKUP(G312,MODULY_CBA!$B$3:$E$23,2,0),),)</f>
        <v>0.99</v>
      </c>
      <c r="O312" s="380">
        <f t="shared" si="25"/>
        <v>6.8953499999999988</v>
      </c>
      <c r="P312" s="379">
        <f>IFERROR(O312*VLOOKUP(G312,MODULY_CBA!$B$3:$F$23,5,0),)</f>
        <v>103.43024999999999</v>
      </c>
      <c r="Q312" s="480" t="str">
        <f>IFERROR(VLOOKUP(G312,MODULY_CBA!$B$3:$I$23,6,0),"")</f>
        <v>Inkrement 1</v>
      </c>
    </row>
    <row r="313" spans="1:17" ht="25.5">
      <c r="A313" s="682" t="s">
        <v>1504</v>
      </c>
      <c r="B313" s="402" t="s">
        <v>749</v>
      </c>
      <c r="C313" s="532"/>
      <c r="D313" s="532" t="s">
        <v>1631</v>
      </c>
      <c r="E313" s="532" t="s">
        <v>1632</v>
      </c>
      <c r="F313" s="390" t="s">
        <v>806</v>
      </c>
      <c r="G313" s="390" t="s">
        <v>801</v>
      </c>
      <c r="H313" s="381">
        <v>1</v>
      </c>
      <c r="I313" s="381">
        <v>5</v>
      </c>
      <c r="K313" s="381">
        <f t="shared" si="24"/>
        <v>5</v>
      </c>
      <c r="L313" s="644">
        <f>IFERROR(IF(B313="funkcna poziadavka",VLOOKUP(G313,MODULY_CBA!$B$3:$E$23,4,0)*H313/SUMIFS($H$3:$H$168,$G$3:$G$168,G313,$B$3:$B$168,B313),),)</f>
        <v>2</v>
      </c>
      <c r="M313" s="381">
        <f>IFERROR(IF(B313="Funkcna poziadavka",VLOOKUP(G313,MODULY_CBA!$B$3:$E$23,3,0),),)</f>
        <v>0.99499999999999988</v>
      </c>
      <c r="N313" s="381">
        <f>IFERROR(IF(B313="funkcna poziadavka",VLOOKUP(G313,MODULY_CBA!$B$3:$E$23,2,0),),)</f>
        <v>0.99</v>
      </c>
      <c r="O313" s="380">
        <f t="shared" si="25"/>
        <v>6.8953499999999988</v>
      </c>
      <c r="P313" s="379">
        <f>IFERROR(O313*VLOOKUP(G313,MODULY_CBA!$B$3:$F$23,5,0),)</f>
        <v>103.43024999999999</v>
      </c>
      <c r="Q313" s="480" t="str">
        <f>IFERROR(VLOOKUP(G313,MODULY_CBA!$B$3:$I$23,6,0),"")</f>
        <v>Inkrement 1</v>
      </c>
    </row>
    <row r="314" spans="1:17" ht="38.25">
      <c r="A314" s="682" t="s">
        <v>1507</v>
      </c>
      <c r="B314" s="402" t="s">
        <v>749</v>
      </c>
      <c r="C314" s="532"/>
      <c r="D314" s="532" t="s">
        <v>1634</v>
      </c>
      <c r="E314" s="532" t="s">
        <v>1635</v>
      </c>
      <c r="F314" s="390" t="s">
        <v>806</v>
      </c>
      <c r="G314" s="390" t="s">
        <v>801</v>
      </c>
      <c r="H314" s="381">
        <v>1</v>
      </c>
      <c r="I314" s="381">
        <v>5</v>
      </c>
      <c r="K314" s="381">
        <f t="shared" si="24"/>
        <v>5</v>
      </c>
      <c r="L314" s="644">
        <f>IFERROR(IF(B314="funkcna poziadavka",VLOOKUP(G314,MODULY_CBA!$B$3:$E$23,4,0)*H314/SUMIFS($H$3:$H$168,$G$3:$G$168,G314,$B$3:$B$168,B314),),)</f>
        <v>2</v>
      </c>
      <c r="M314" s="381">
        <f>IFERROR(IF(B314="Funkcna poziadavka",VLOOKUP(G314,MODULY_CBA!$B$3:$E$23,3,0),),)</f>
        <v>0.99499999999999988</v>
      </c>
      <c r="N314" s="381">
        <f>IFERROR(IF(B314="funkcna poziadavka",VLOOKUP(G314,MODULY_CBA!$B$3:$E$23,2,0),),)</f>
        <v>0.99</v>
      </c>
      <c r="O314" s="380">
        <f t="shared" si="25"/>
        <v>6.8953499999999988</v>
      </c>
      <c r="P314" s="379">
        <f>IFERROR(O314*VLOOKUP(G314,MODULY_CBA!$B$3:$F$23,5,0),)</f>
        <v>103.43024999999999</v>
      </c>
      <c r="Q314" s="480" t="str">
        <f>IFERROR(VLOOKUP(G314,MODULY_CBA!$B$3:$I$23,6,0),"")</f>
        <v>Inkrement 1</v>
      </c>
    </row>
    <row r="315" spans="1:17" ht="76.5">
      <c r="A315" s="682" t="s">
        <v>1510</v>
      </c>
      <c r="B315" s="402" t="s">
        <v>749</v>
      </c>
      <c r="C315" s="532"/>
      <c r="D315" s="532" t="s">
        <v>1637</v>
      </c>
      <c r="E315" s="532" t="s">
        <v>1638</v>
      </c>
      <c r="F315" s="390" t="s">
        <v>806</v>
      </c>
      <c r="G315" s="390" t="s">
        <v>801</v>
      </c>
      <c r="H315" s="381">
        <v>1</v>
      </c>
      <c r="I315" s="381">
        <v>5</v>
      </c>
      <c r="K315" s="381">
        <f t="shared" si="24"/>
        <v>5</v>
      </c>
      <c r="L315" s="644">
        <f>IFERROR(IF(B315="funkcna poziadavka",VLOOKUP(G315,MODULY_CBA!$B$3:$E$23,4,0)*H315/SUMIFS($H$3:$H$168,$G$3:$G$168,G315,$B$3:$B$168,B315),),)</f>
        <v>2</v>
      </c>
      <c r="M315" s="381">
        <f>IFERROR(IF(B315="Funkcna poziadavka",VLOOKUP(G315,MODULY_CBA!$B$3:$E$23,3,0),),)</f>
        <v>0.99499999999999988</v>
      </c>
      <c r="N315" s="381">
        <f>IFERROR(IF(B315="funkcna poziadavka",VLOOKUP(G315,MODULY_CBA!$B$3:$E$23,2,0),),)</f>
        <v>0.99</v>
      </c>
      <c r="O315" s="380">
        <f t="shared" si="25"/>
        <v>6.8953499999999988</v>
      </c>
      <c r="P315" s="379">
        <f>IFERROR(O315*VLOOKUP(G315,MODULY_CBA!$B$3:$F$23,5,0),)</f>
        <v>103.43024999999999</v>
      </c>
      <c r="Q315" s="480" t="str">
        <f>IFERROR(VLOOKUP(G315,MODULY_CBA!$B$3:$I$23,6,0),"")</f>
        <v>Inkrement 1</v>
      </c>
    </row>
    <row r="316" spans="1:17" ht="63.75">
      <c r="A316" s="682" t="s">
        <v>1513</v>
      </c>
      <c r="B316" s="402" t="s">
        <v>749</v>
      </c>
      <c r="C316" s="532"/>
      <c r="D316" s="532" t="s">
        <v>1640</v>
      </c>
      <c r="E316" s="532" t="s">
        <v>1641</v>
      </c>
      <c r="F316" s="390" t="s">
        <v>806</v>
      </c>
      <c r="G316" s="390" t="s">
        <v>801</v>
      </c>
      <c r="H316" s="381">
        <v>1</v>
      </c>
      <c r="I316" s="381">
        <v>5</v>
      </c>
      <c r="K316" s="381">
        <f t="shared" si="24"/>
        <v>5</v>
      </c>
      <c r="L316" s="644">
        <f>IFERROR(IF(B316="funkcna poziadavka",VLOOKUP(G316,MODULY_CBA!$B$3:$E$23,4,0)*H316/SUMIFS($H$3:$H$168,$G$3:$G$168,G316,$B$3:$B$168,B316),),)</f>
        <v>2</v>
      </c>
      <c r="M316" s="381">
        <f>IFERROR(IF(B316="Funkcna poziadavka",VLOOKUP(G316,MODULY_CBA!$B$3:$E$23,3,0),),)</f>
        <v>0.99499999999999988</v>
      </c>
      <c r="N316" s="381">
        <f>IFERROR(IF(B316="funkcna poziadavka",VLOOKUP(G316,MODULY_CBA!$B$3:$E$23,2,0),),)</f>
        <v>0.99</v>
      </c>
      <c r="O316" s="380">
        <f t="shared" si="25"/>
        <v>6.8953499999999988</v>
      </c>
      <c r="P316" s="379">
        <f>IFERROR(O316*VLOOKUP(G316,MODULY_CBA!$B$3:$F$23,5,0),)</f>
        <v>103.43024999999999</v>
      </c>
      <c r="Q316" s="480" t="str">
        <f>IFERROR(VLOOKUP(G316,MODULY_CBA!$B$3:$I$23,6,0),"")</f>
        <v>Inkrement 1</v>
      </c>
    </row>
    <row r="317" spans="1:17">
      <c r="A317" s="682" t="s">
        <v>1516</v>
      </c>
      <c r="B317" s="402" t="s">
        <v>749</v>
      </c>
      <c r="C317" s="532"/>
      <c r="D317" s="532" t="s">
        <v>1643</v>
      </c>
      <c r="E317" s="532" t="s">
        <v>1644</v>
      </c>
      <c r="F317" s="390" t="s">
        <v>806</v>
      </c>
      <c r="G317" s="390" t="s">
        <v>799</v>
      </c>
      <c r="H317" s="381">
        <v>1</v>
      </c>
      <c r="I317" s="381">
        <v>5</v>
      </c>
      <c r="K317" s="381">
        <f t="shared" si="24"/>
        <v>5</v>
      </c>
      <c r="L317" s="644">
        <f>IFERROR(IF(B317="funkcna poziadavka",VLOOKUP(G317,MODULY_CBA!$B$3:$E$23,4,0)*H317/SUMIFS($H$3:$H$168,$G$3:$G$168,G317,$B$3:$B$168,B317),),)</f>
        <v>1.2</v>
      </c>
      <c r="M317" s="381">
        <f>IFERROR(IF(B317="Funkcna poziadavka",VLOOKUP(G317,MODULY_CBA!$B$3:$E$23,3,0),),)</f>
        <v>0.99499999999999988</v>
      </c>
      <c r="N317" s="381">
        <f>IFERROR(IF(B317="funkcna poziadavka",VLOOKUP(G317,MODULY_CBA!$B$3:$E$23,2,0),),)</f>
        <v>0.99</v>
      </c>
      <c r="O317" s="380">
        <f t="shared" si="25"/>
        <v>6.1073099999999991</v>
      </c>
      <c r="P317" s="379">
        <f>IFERROR(O317*VLOOKUP(G317,MODULY_CBA!$B$3:$F$23,5,0),)</f>
        <v>122.14619999999998</v>
      </c>
      <c r="Q317" s="480" t="str">
        <f>IFERROR(VLOOKUP(G317,MODULY_CBA!$B$3:$I$23,6,0),"")</f>
        <v>Inkrement 1</v>
      </c>
    </row>
    <row r="318" spans="1:17">
      <c r="A318" s="682" t="s">
        <v>1519</v>
      </c>
      <c r="B318" s="402" t="s">
        <v>749</v>
      </c>
      <c r="C318" s="532"/>
      <c r="D318" s="532" t="s">
        <v>1646</v>
      </c>
      <c r="E318" s="532" t="s">
        <v>1647</v>
      </c>
      <c r="F318" s="390" t="s">
        <v>806</v>
      </c>
      <c r="G318" s="390" t="s">
        <v>799</v>
      </c>
      <c r="H318" s="381">
        <v>1</v>
      </c>
      <c r="I318" s="381">
        <v>5</v>
      </c>
      <c r="K318" s="381">
        <f t="shared" si="24"/>
        <v>5</v>
      </c>
      <c r="L318" s="644">
        <f>IFERROR(IF(B318="funkcna poziadavka",VLOOKUP(G318,MODULY_CBA!$B$3:$E$23,4,0)*H318/SUMIFS($H$3:$H$168,$G$3:$G$168,G318,$B$3:$B$168,B318),),)</f>
        <v>1.2</v>
      </c>
      <c r="M318" s="381">
        <f>IFERROR(IF(B318="Funkcna poziadavka",VLOOKUP(G318,MODULY_CBA!$B$3:$E$23,3,0),),)</f>
        <v>0.99499999999999988</v>
      </c>
      <c r="N318" s="381">
        <f>IFERROR(IF(B318="funkcna poziadavka",VLOOKUP(G318,MODULY_CBA!$B$3:$E$23,2,0),),)</f>
        <v>0.99</v>
      </c>
      <c r="O318" s="380">
        <f t="shared" si="25"/>
        <v>6.1073099999999991</v>
      </c>
      <c r="P318" s="379">
        <f>IFERROR(O318*VLOOKUP(G318,MODULY_CBA!$B$3:$F$23,5,0),)</f>
        <v>122.14619999999998</v>
      </c>
      <c r="Q318" s="480" t="str">
        <f>IFERROR(VLOOKUP(G318,MODULY_CBA!$B$3:$I$23,6,0),"")</f>
        <v>Inkrement 1</v>
      </c>
    </row>
    <row r="319" spans="1:17">
      <c r="A319" s="682" t="s">
        <v>1522</v>
      </c>
      <c r="B319" s="402" t="s">
        <v>749</v>
      </c>
      <c r="C319" s="532"/>
      <c r="D319" s="532" t="s">
        <v>1649</v>
      </c>
      <c r="E319" s="532" t="s">
        <v>1650</v>
      </c>
      <c r="F319" s="390" t="s">
        <v>806</v>
      </c>
      <c r="G319" s="390" t="s">
        <v>799</v>
      </c>
      <c r="H319" s="381">
        <v>1</v>
      </c>
      <c r="I319" s="381">
        <v>10</v>
      </c>
      <c r="K319" s="381">
        <f t="shared" si="24"/>
        <v>10</v>
      </c>
      <c r="L319" s="644">
        <f>IFERROR(IF(B319="funkcna poziadavka",VLOOKUP(G319,MODULY_CBA!$B$3:$E$23,4,0)*H319/SUMIFS($H$3:$H$168,$G$3:$G$168,G319,$B$3:$B$168,B319),),)</f>
        <v>1.2</v>
      </c>
      <c r="M319" s="381">
        <f>IFERROR(IF(B319="Funkcna poziadavka",VLOOKUP(G319,MODULY_CBA!$B$3:$E$23,3,0),),)</f>
        <v>0.99499999999999988</v>
      </c>
      <c r="N319" s="381">
        <f>IFERROR(IF(B319="funkcna poziadavka",VLOOKUP(G319,MODULY_CBA!$B$3:$E$23,2,0),),)</f>
        <v>0.99</v>
      </c>
      <c r="O319" s="380">
        <f t="shared" si="25"/>
        <v>11.032559999999998</v>
      </c>
      <c r="P319" s="379">
        <f>IFERROR(O319*VLOOKUP(G319,MODULY_CBA!$B$3:$F$23,5,0),)</f>
        <v>220.65119999999996</v>
      </c>
      <c r="Q319" s="480" t="str">
        <f>IFERROR(VLOOKUP(G319,MODULY_CBA!$B$3:$I$23,6,0),"")</f>
        <v>Inkrement 1</v>
      </c>
    </row>
    <row r="320" spans="1:17" ht="25.5">
      <c r="A320" s="682" t="s">
        <v>1525</v>
      </c>
      <c r="B320" s="402" t="s">
        <v>749</v>
      </c>
      <c r="C320" s="532"/>
      <c r="D320" s="532" t="s">
        <v>1652</v>
      </c>
      <c r="E320" s="532" t="s">
        <v>1653</v>
      </c>
      <c r="F320" s="390" t="s">
        <v>806</v>
      </c>
      <c r="G320" s="390" t="s">
        <v>799</v>
      </c>
      <c r="H320" s="381">
        <v>1</v>
      </c>
      <c r="I320" s="381">
        <v>5</v>
      </c>
      <c r="K320" s="381">
        <f t="shared" si="24"/>
        <v>5</v>
      </c>
      <c r="L320" s="644">
        <f>IFERROR(IF(B320="funkcna poziadavka",VLOOKUP(G320,MODULY_CBA!$B$3:$E$23,4,0)*H320/SUMIFS($H$3:$H$168,$G$3:$G$168,G320,$B$3:$B$168,B320),),)</f>
        <v>1.2</v>
      </c>
      <c r="M320" s="381">
        <f>IFERROR(IF(B320="Funkcna poziadavka",VLOOKUP(G320,MODULY_CBA!$B$3:$E$23,3,0),),)</f>
        <v>0.99499999999999988</v>
      </c>
      <c r="N320" s="381">
        <f>IFERROR(IF(B320="funkcna poziadavka",VLOOKUP(G320,MODULY_CBA!$B$3:$E$23,2,0),),)</f>
        <v>0.99</v>
      </c>
      <c r="O320" s="380">
        <f t="shared" si="25"/>
        <v>6.1073099999999991</v>
      </c>
      <c r="P320" s="379">
        <f>IFERROR(O320*VLOOKUP(G320,MODULY_CBA!$B$3:$F$23,5,0),)</f>
        <v>122.14619999999998</v>
      </c>
      <c r="Q320" s="480" t="str">
        <f>IFERROR(VLOOKUP(G320,MODULY_CBA!$B$3:$I$23,6,0),"")</f>
        <v>Inkrement 1</v>
      </c>
    </row>
    <row r="321" spans="1:17">
      <c r="A321" s="682" t="s">
        <v>1528</v>
      </c>
      <c r="B321" s="402" t="s">
        <v>749</v>
      </c>
      <c r="C321" s="532"/>
      <c r="D321" s="532" t="s">
        <v>1655</v>
      </c>
      <c r="E321" s="532" t="s">
        <v>1656</v>
      </c>
      <c r="F321" s="390" t="s">
        <v>806</v>
      </c>
      <c r="G321" s="390" t="s">
        <v>799</v>
      </c>
      <c r="H321" s="381">
        <v>1</v>
      </c>
      <c r="I321" s="381">
        <v>5</v>
      </c>
      <c r="K321" s="381">
        <f t="shared" si="24"/>
        <v>5</v>
      </c>
      <c r="L321" s="644">
        <f>IFERROR(IF(B321="funkcna poziadavka",VLOOKUP(G321,MODULY_CBA!$B$3:$E$23,4,0)*H321/SUMIFS($H$3:$H$168,$G$3:$G$168,G321,$B$3:$B$168,B321),),)</f>
        <v>1.2</v>
      </c>
      <c r="M321" s="381">
        <f>IFERROR(IF(B321="Funkcna poziadavka",VLOOKUP(G321,MODULY_CBA!$B$3:$E$23,3,0),),)</f>
        <v>0.99499999999999988</v>
      </c>
      <c r="N321" s="381">
        <f>IFERROR(IF(B321="funkcna poziadavka",VLOOKUP(G321,MODULY_CBA!$B$3:$E$23,2,0),),)</f>
        <v>0.99</v>
      </c>
      <c r="O321" s="380">
        <f t="shared" si="25"/>
        <v>6.1073099999999991</v>
      </c>
      <c r="P321" s="379">
        <f>IFERROR(O321*VLOOKUP(G321,MODULY_CBA!$B$3:$F$23,5,0),)</f>
        <v>122.14619999999998</v>
      </c>
      <c r="Q321" s="480" t="str">
        <f>IFERROR(VLOOKUP(G321,MODULY_CBA!$B$3:$I$23,6,0),"")</f>
        <v>Inkrement 1</v>
      </c>
    </row>
    <row r="322" spans="1:17" ht="25.5">
      <c r="A322" s="682" t="s">
        <v>1531</v>
      </c>
      <c r="B322" s="402" t="s">
        <v>749</v>
      </c>
      <c r="C322" s="532"/>
      <c r="D322" s="532" t="s">
        <v>1658</v>
      </c>
      <c r="E322" s="532" t="s">
        <v>1659</v>
      </c>
      <c r="F322" s="390" t="s">
        <v>806</v>
      </c>
      <c r="G322" s="390" t="s">
        <v>799</v>
      </c>
      <c r="H322" s="381">
        <v>1</v>
      </c>
      <c r="I322" s="381">
        <v>5</v>
      </c>
      <c r="K322" s="381">
        <f t="shared" si="24"/>
        <v>5</v>
      </c>
      <c r="L322" s="644">
        <f>IFERROR(IF(B322="funkcna poziadavka",VLOOKUP(G322,MODULY_CBA!$B$3:$E$23,4,0)*H322/SUMIFS($H$3:$H$168,$G$3:$G$168,G322,$B$3:$B$168,B322),),)</f>
        <v>1.2</v>
      </c>
      <c r="M322" s="381">
        <f>IFERROR(IF(B322="Funkcna poziadavka",VLOOKUP(G322,MODULY_CBA!$B$3:$E$23,3,0),),)</f>
        <v>0.99499999999999988</v>
      </c>
      <c r="N322" s="381">
        <f>IFERROR(IF(B322="funkcna poziadavka",VLOOKUP(G322,MODULY_CBA!$B$3:$E$23,2,0),),)</f>
        <v>0.99</v>
      </c>
      <c r="O322" s="380">
        <f t="shared" si="25"/>
        <v>6.1073099999999991</v>
      </c>
      <c r="P322" s="379">
        <f>IFERROR(O322*VLOOKUP(G322,MODULY_CBA!$B$3:$F$23,5,0),)</f>
        <v>122.14619999999998</v>
      </c>
      <c r="Q322" s="480" t="str">
        <f>IFERROR(VLOOKUP(G322,MODULY_CBA!$B$3:$I$23,6,0),"")</f>
        <v>Inkrement 1</v>
      </c>
    </row>
    <row r="323" spans="1:17">
      <c r="A323" s="682" t="s">
        <v>1534</v>
      </c>
      <c r="B323" s="402" t="s">
        <v>749</v>
      </c>
      <c r="C323" s="532"/>
      <c r="D323" s="532" t="s">
        <v>1661</v>
      </c>
      <c r="E323" s="532" t="s">
        <v>1662</v>
      </c>
      <c r="F323" s="390" t="s">
        <v>806</v>
      </c>
      <c r="G323" s="390" t="s">
        <v>799</v>
      </c>
      <c r="H323" s="381">
        <v>1</v>
      </c>
      <c r="I323" s="381">
        <v>5</v>
      </c>
      <c r="K323" s="381">
        <f t="shared" ref="K323:K386" si="26">H323*I323</f>
        <v>5</v>
      </c>
      <c r="L323" s="644">
        <f>IFERROR(IF(B323="funkcna poziadavka",VLOOKUP(G323,MODULY_CBA!$B$3:$E$23,4,0)*H323/SUMIFS($H$3:$H$168,$G$3:$G$168,G323,$B$3:$B$168,B323),),)</f>
        <v>1.2</v>
      </c>
      <c r="M323" s="381">
        <f>IFERROR(IF(B323="Funkcna poziadavka",VLOOKUP(G323,MODULY_CBA!$B$3:$E$23,3,0),),)</f>
        <v>0.99499999999999988</v>
      </c>
      <c r="N323" s="381">
        <f>IFERROR(IF(B323="funkcna poziadavka",VLOOKUP(G323,MODULY_CBA!$B$3:$E$23,2,0),),)</f>
        <v>0.99</v>
      </c>
      <c r="O323" s="380">
        <f t="shared" ref="O323:O386" si="27">(K323+L323)*M323*N323</f>
        <v>6.1073099999999991</v>
      </c>
      <c r="P323" s="379">
        <f>IFERROR(O323*VLOOKUP(G323,MODULY_CBA!$B$3:$F$23,5,0),)</f>
        <v>122.14619999999998</v>
      </c>
      <c r="Q323" s="480" t="str">
        <f>IFERROR(VLOOKUP(G323,MODULY_CBA!$B$3:$I$23,6,0),"")</f>
        <v>Inkrement 1</v>
      </c>
    </row>
    <row r="324" spans="1:17" ht="25.5">
      <c r="A324" s="682" t="s">
        <v>1537</v>
      </c>
      <c r="B324" s="402" t="s">
        <v>749</v>
      </c>
      <c r="C324" s="532"/>
      <c r="D324" s="532" t="s">
        <v>1664</v>
      </c>
      <c r="E324" s="532" t="s">
        <v>1665</v>
      </c>
      <c r="F324" s="390" t="s">
        <v>806</v>
      </c>
      <c r="G324" s="390" t="s">
        <v>799</v>
      </c>
      <c r="H324" s="381">
        <v>1</v>
      </c>
      <c r="I324" s="381">
        <v>10</v>
      </c>
      <c r="K324" s="381">
        <f t="shared" si="26"/>
        <v>10</v>
      </c>
      <c r="L324" s="644">
        <f>IFERROR(IF(B324="funkcna poziadavka",VLOOKUP(G324,MODULY_CBA!$B$3:$E$23,4,0)*H324/SUMIFS($H$3:$H$168,$G$3:$G$168,G324,$B$3:$B$168,B324),),)</f>
        <v>1.2</v>
      </c>
      <c r="M324" s="381">
        <f>IFERROR(IF(B324="Funkcna poziadavka",VLOOKUP(G324,MODULY_CBA!$B$3:$E$23,3,0),),)</f>
        <v>0.99499999999999988</v>
      </c>
      <c r="N324" s="381">
        <f>IFERROR(IF(B324="funkcna poziadavka",VLOOKUP(G324,MODULY_CBA!$B$3:$E$23,2,0),),)</f>
        <v>0.99</v>
      </c>
      <c r="O324" s="380">
        <f t="shared" si="27"/>
        <v>11.032559999999998</v>
      </c>
      <c r="P324" s="379">
        <f>IFERROR(O324*VLOOKUP(G324,MODULY_CBA!$B$3:$F$23,5,0),)</f>
        <v>220.65119999999996</v>
      </c>
      <c r="Q324" s="480" t="str">
        <f>IFERROR(VLOOKUP(G324,MODULY_CBA!$B$3:$I$23,6,0),"")</f>
        <v>Inkrement 1</v>
      </c>
    </row>
    <row r="325" spans="1:17">
      <c r="A325" s="682" t="s">
        <v>1540</v>
      </c>
      <c r="B325" s="402" t="s">
        <v>749</v>
      </c>
      <c r="C325" s="532"/>
      <c r="D325" s="532" t="s">
        <v>1667</v>
      </c>
      <c r="E325" s="532" t="s">
        <v>1668</v>
      </c>
      <c r="F325" s="390" t="s">
        <v>806</v>
      </c>
      <c r="G325" s="390" t="s">
        <v>799</v>
      </c>
      <c r="H325" s="381">
        <v>1</v>
      </c>
      <c r="I325" s="381">
        <v>5</v>
      </c>
      <c r="K325" s="381">
        <f t="shared" si="26"/>
        <v>5</v>
      </c>
      <c r="L325" s="644">
        <f>IFERROR(IF(B325="funkcna poziadavka",VLOOKUP(G325,MODULY_CBA!$B$3:$E$23,4,0)*H325/SUMIFS($H$3:$H$168,$G$3:$G$168,G325,$B$3:$B$168,B325),),)</f>
        <v>1.2</v>
      </c>
      <c r="M325" s="381">
        <f>IFERROR(IF(B325="Funkcna poziadavka",VLOOKUP(G325,MODULY_CBA!$B$3:$E$23,3,0),),)</f>
        <v>0.99499999999999988</v>
      </c>
      <c r="N325" s="381">
        <f>IFERROR(IF(B325="funkcna poziadavka",VLOOKUP(G325,MODULY_CBA!$B$3:$E$23,2,0),),)</f>
        <v>0.99</v>
      </c>
      <c r="O325" s="380">
        <f t="shared" si="27"/>
        <v>6.1073099999999991</v>
      </c>
      <c r="P325" s="379">
        <f>IFERROR(O325*VLOOKUP(G325,MODULY_CBA!$B$3:$F$23,5,0),)</f>
        <v>122.14619999999998</v>
      </c>
      <c r="Q325" s="480" t="str">
        <f>IFERROR(VLOOKUP(G325,MODULY_CBA!$B$3:$I$23,6,0),"")</f>
        <v>Inkrement 1</v>
      </c>
    </row>
    <row r="326" spans="1:17" ht="25.5">
      <c r="A326" s="682" t="s">
        <v>1543</v>
      </c>
      <c r="B326" s="402" t="s">
        <v>749</v>
      </c>
      <c r="C326" s="532"/>
      <c r="D326" s="532" t="s">
        <v>1670</v>
      </c>
      <c r="E326" s="532" t="s">
        <v>1671</v>
      </c>
      <c r="F326" s="390" t="s">
        <v>806</v>
      </c>
      <c r="G326" s="390" t="s">
        <v>799</v>
      </c>
      <c r="H326" s="381">
        <v>1</v>
      </c>
      <c r="I326" s="381">
        <v>5</v>
      </c>
      <c r="K326" s="381">
        <f t="shared" si="26"/>
        <v>5</v>
      </c>
      <c r="L326" s="644">
        <f>IFERROR(IF(B326="funkcna poziadavka",VLOOKUP(G326,MODULY_CBA!$B$3:$E$23,4,0)*H326/SUMIFS($H$3:$H$168,$G$3:$G$168,G326,$B$3:$B$168,B326),),)</f>
        <v>1.2</v>
      </c>
      <c r="M326" s="381">
        <f>IFERROR(IF(B326="Funkcna poziadavka",VLOOKUP(G326,MODULY_CBA!$B$3:$E$23,3,0),),)</f>
        <v>0.99499999999999988</v>
      </c>
      <c r="N326" s="381">
        <f>IFERROR(IF(B326="funkcna poziadavka",VLOOKUP(G326,MODULY_CBA!$B$3:$E$23,2,0),),)</f>
        <v>0.99</v>
      </c>
      <c r="O326" s="380">
        <f t="shared" si="27"/>
        <v>6.1073099999999991</v>
      </c>
      <c r="P326" s="379">
        <f>IFERROR(O326*VLOOKUP(G326,MODULY_CBA!$B$3:$F$23,5,0),)</f>
        <v>122.14619999999998</v>
      </c>
      <c r="Q326" s="480" t="str">
        <f>IFERROR(VLOOKUP(G326,MODULY_CBA!$B$3:$I$23,6,0),"")</f>
        <v>Inkrement 1</v>
      </c>
    </row>
    <row r="327" spans="1:17" ht="25.5">
      <c r="A327" s="682" t="s">
        <v>1546</v>
      </c>
      <c r="B327" s="402" t="s">
        <v>749</v>
      </c>
      <c r="C327" s="532"/>
      <c r="D327" s="532" t="s">
        <v>1673</v>
      </c>
      <c r="E327" s="532" t="s">
        <v>1674</v>
      </c>
      <c r="F327" s="390" t="s">
        <v>806</v>
      </c>
      <c r="G327" s="390" t="s">
        <v>799</v>
      </c>
      <c r="H327" s="381">
        <v>1</v>
      </c>
      <c r="I327" s="381">
        <v>5</v>
      </c>
      <c r="K327" s="381">
        <f t="shared" si="26"/>
        <v>5</v>
      </c>
      <c r="L327" s="644">
        <f>IFERROR(IF(B327="funkcna poziadavka",VLOOKUP(G327,MODULY_CBA!$B$3:$E$23,4,0)*H327/SUMIFS($H$3:$H$168,$G$3:$G$168,G327,$B$3:$B$168,B327),),)</f>
        <v>1.2</v>
      </c>
      <c r="M327" s="381">
        <f>IFERROR(IF(B327="Funkcna poziadavka",VLOOKUP(G327,MODULY_CBA!$B$3:$E$23,3,0),),)</f>
        <v>0.99499999999999988</v>
      </c>
      <c r="N327" s="381">
        <f>IFERROR(IF(B327="funkcna poziadavka",VLOOKUP(G327,MODULY_CBA!$B$3:$E$23,2,0),),)</f>
        <v>0.99</v>
      </c>
      <c r="O327" s="380">
        <f t="shared" si="27"/>
        <v>6.1073099999999991</v>
      </c>
      <c r="P327" s="379">
        <f>IFERROR(O327*VLOOKUP(G327,MODULY_CBA!$B$3:$F$23,5,0),)</f>
        <v>122.14619999999998</v>
      </c>
      <c r="Q327" s="480" t="str">
        <f>IFERROR(VLOOKUP(G327,MODULY_CBA!$B$3:$I$23,6,0),"")</f>
        <v>Inkrement 1</v>
      </c>
    </row>
    <row r="328" spans="1:17" ht="25.5">
      <c r="A328" s="682" t="s">
        <v>1549</v>
      </c>
      <c r="B328" s="402" t="s">
        <v>749</v>
      </c>
      <c r="C328" s="532"/>
      <c r="D328" s="532" t="s">
        <v>1676</v>
      </c>
      <c r="E328" s="532" t="s">
        <v>1677</v>
      </c>
      <c r="F328" s="390" t="s">
        <v>806</v>
      </c>
      <c r="G328" s="390" t="s">
        <v>799</v>
      </c>
      <c r="H328" s="381">
        <v>1</v>
      </c>
      <c r="I328" s="381">
        <v>5</v>
      </c>
      <c r="K328" s="381">
        <f t="shared" si="26"/>
        <v>5</v>
      </c>
      <c r="L328" s="644">
        <f>IFERROR(IF(B328="funkcna poziadavka",VLOOKUP(G328,MODULY_CBA!$B$3:$E$23,4,0)*H328/SUMIFS($H$3:$H$168,$G$3:$G$168,G328,$B$3:$B$168,B328),),)</f>
        <v>1.2</v>
      </c>
      <c r="M328" s="381">
        <f>IFERROR(IF(B328="Funkcna poziadavka",VLOOKUP(G328,MODULY_CBA!$B$3:$E$23,3,0),),)</f>
        <v>0.99499999999999988</v>
      </c>
      <c r="N328" s="381">
        <f>IFERROR(IF(B328="funkcna poziadavka",VLOOKUP(G328,MODULY_CBA!$B$3:$E$23,2,0),),)</f>
        <v>0.99</v>
      </c>
      <c r="O328" s="380">
        <f t="shared" si="27"/>
        <v>6.1073099999999991</v>
      </c>
      <c r="P328" s="379">
        <f>IFERROR(O328*VLOOKUP(G328,MODULY_CBA!$B$3:$F$23,5,0),)</f>
        <v>122.14619999999998</v>
      </c>
      <c r="Q328" s="480" t="str">
        <f>IFERROR(VLOOKUP(G328,MODULY_CBA!$B$3:$I$23,6,0),"")</f>
        <v>Inkrement 1</v>
      </c>
    </row>
    <row r="329" spans="1:17" ht="25.5">
      <c r="A329" s="682" t="s">
        <v>1552</v>
      </c>
      <c r="B329" s="402" t="s">
        <v>749</v>
      </c>
      <c r="C329" s="532"/>
      <c r="D329" s="532" t="s">
        <v>1679</v>
      </c>
      <c r="E329" s="532" t="s">
        <v>1680</v>
      </c>
      <c r="F329" s="390" t="s">
        <v>806</v>
      </c>
      <c r="G329" s="390" t="s">
        <v>799</v>
      </c>
      <c r="H329" s="381">
        <v>1</v>
      </c>
      <c r="I329" s="381">
        <v>5</v>
      </c>
      <c r="K329" s="381">
        <f t="shared" si="26"/>
        <v>5</v>
      </c>
      <c r="L329" s="644">
        <f>IFERROR(IF(B329="funkcna poziadavka",VLOOKUP(G329,MODULY_CBA!$B$3:$E$23,4,0)*H329/SUMIFS($H$3:$H$168,$G$3:$G$168,G329,$B$3:$B$168,B329),),)</f>
        <v>1.2</v>
      </c>
      <c r="M329" s="381">
        <f>IFERROR(IF(B329="Funkcna poziadavka",VLOOKUP(G329,MODULY_CBA!$B$3:$E$23,3,0),),)</f>
        <v>0.99499999999999988</v>
      </c>
      <c r="N329" s="381">
        <f>IFERROR(IF(B329="funkcna poziadavka",VLOOKUP(G329,MODULY_CBA!$B$3:$E$23,2,0),),)</f>
        <v>0.99</v>
      </c>
      <c r="O329" s="380">
        <f t="shared" si="27"/>
        <v>6.1073099999999991</v>
      </c>
      <c r="P329" s="379">
        <f>IFERROR(O329*VLOOKUP(G329,MODULY_CBA!$B$3:$F$23,5,0),)</f>
        <v>122.14619999999998</v>
      </c>
      <c r="Q329" s="480" t="str">
        <f>IFERROR(VLOOKUP(G329,MODULY_CBA!$B$3:$I$23,6,0),"")</f>
        <v>Inkrement 1</v>
      </c>
    </row>
    <row r="330" spans="1:17" ht="25.5">
      <c r="A330" s="682" t="s">
        <v>1555</v>
      </c>
      <c r="B330" s="402" t="s">
        <v>749</v>
      </c>
      <c r="C330" s="532"/>
      <c r="D330" s="532" t="s">
        <v>1682</v>
      </c>
      <c r="E330" s="532" t="s">
        <v>1683</v>
      </c>
      <c r="F330" s="390" t="s">
        <v>806</v>
      </c>
      <c r="G330" s="390" t="s">
        <v>799</v>
      </c>
      <c r="H330" s="381">
        <v>1</v>
      </c>
      <c r="I330" s="381">
        <v>5</v>
      </c>
      <c r="K330" s="381">
        <f t="shared" si="26"/>
        <v>5</v>
      </c>
      <c r="L330" s="644">
        <f>IFERROR(IF(B330="funkcna poziadavka",VLOOKUP(G330,MODULY_CBA!$B$3:$E$23,4,0)*H330/SUMIFS($H$3:$H$168,$G$3:$G$168,G330,$B$3:$B$168,B330),),)</f>
        <v>1.2</v>
      </c>
      <c r="M330" s="381">
        <f>IFERROR(IF(B330="Funkcna poziadavka",VLOOKUP(G330,MODULY_CBA!$B$3:$E$23,3,0),),)</f>
        <v>0.99499999999999988</v>
      </c>
      <c r="N330" s="381">
        <f>IFERROR(IF(B330="funkcna poziadavka",VLOOKUP(G330,MODULY_CBA!$B$3:$E$23,2,0),),)</f>
        <v>0.99</v>
      </c>
      <c r="O330" s="380">
        <f t="shared" si="27"/>
        <v>6.1073099999999991</v>
      </c>
      <c r="P330" s="379">
        <f>IFERROR(O330*VLOOKUP(G330,MODULY_CBA!$B$3:$F$23,5,0),)</f>
        <v>122.14619999999998</v>
      </c>
      <c r="Q330" s="480" t="str">
        <f>IFERROR(VLOOKUP(G330,MODULY_CBA!$B$3:$I$23,6,0),"")</f>
        <v>Inkrement 1</v>
      </c>
    </row>
    <row r="331" spans="1:17" ht="51">
      <c r="A331" s="682" t="s">
        <v>1558</v>
      </c>
      <c r="B331" s="402" t="s">
        <v>749</v>
      </c>
      <c r="C331" s="532"/>
      <c r="D331" s="532" t="s">
        <v>1685</v>
      </c>
      <c r="E331" s="532" t="s">
        <v>1686</v>
      </c>
      <c r="F331" s="390" t="s">
        <v>806</v>
      </c>
      <c r="G331" s="390" t="s">
        <v>802</v>
      </c>
      <c r="H331" s="381">
        <v>1</v>
      </c>
      <c r="I331" s="381">
        <v>5</v>
      </c>
      <c r="K331" s="381">
        <f t="shared" si="26"/>
        <v>5</v>
      </c>
      <c r="L331" s="644">
        <f>IFERROR(IF(B331="funkcna poziadavka",VLOOKUP(G331,MODULY_CBA!$B$3:$E$23,4,0)*H331/SUMIFS($H$3:$H$168,$G$3:$G$168,G331,$B$3:$B$168,B331),),)</f>
        <v>1</v>
      </c>
      <c r="M331" s="381">
        <f>IFERROR(IF(B331="Funkcna poziadavka",VLOOKUP(G331,MODULY_CBA!$B$3:$E$23,3,0),),)</f>
        <v>0.99499999999999988</v>
      </c>
      <c r="N331" s="381">
        <f>IFERROR(IF(B331="funkcna poziadavka",VLOOKUP(G331,MODULY_CBA!$B$3:$E$23,2,0),),)</f>
        <v>0.99</v>
      </c>
      <c r="O331" s="380">
        <f t="shared" si="27"/>
        <v>5.9102999999999986</v>
      </c>
      <c r="P331" s="379">
        <f>IFERROR(O331*VLOOKUP(G331,MODULY_CBA!$B$3:$F$23,5,0),)</f>
        <v>118.20599999999997</v>
      </c>
      <c r="Q331" s="480" t="str">
        <f>IFERROR(VLOOKUP(G331,MODULY_CBA!$B$3:$I$23,6,0),"")</f>
        <v>Inkrement 1</v>
      </c>
    </row>
    <row r="332" spans="1:17" ht="25.5">
      <c r="A332" s="682" t="s">
        <v>1561</v>
      </c>
      <c r="B332" s="402" t="s">
        <v>749</v>
      </c>
      <c r="C332" s="532"/>
      <c r="D332" s="532" t="s">
        <v>1688</v>
      </c>
      <c r="E332" s="532" t="s">
        <v>1689</v>
      </c>
      <c r="F332" s="390" t="s">
        <v>806</v>
      </c>
      <c r="G332" s="390" t="s">
        <v>802</v>
      </c>
      <c r="H332" s="381">
        <v>1</v>
      </c>
      <c r="I332" s="381">
        <v>5</v>
      </c>
      <c r="K332" s="381">
        <f t="shared" si="26"/>
        <v>5</v>
      </c>
      <c r="L332" s="644">
        <f>IFERROR(IF(B332="funkcna poziadavka",VLOOKUP(G332,MODULY_CBA!$B$3:$E$23,4,0)*H332/SUMIFS($H$3:$H$168,$G$3:$G$168,G332,$B$3:$B$168,B332),),)</f>
        <v>1</v>
      </c>
      <c r="M332" s="381">
        <f>IFERROR(IF(B332="Funkcna poziadavka",VLOOKUP(G332,MODULY_CBA!$B$3:$E$23,3,0),),)</f>
        <v>0.99499999999999988</v>
      </c>
      <c r="N332" s="381">
        <f>IFERROR(IF(B332="funkcna poziadavka",VLOOKUP(G332,MODULY_CBA!$B$3:$E$23,2,0),),)</f>
        <v>0.99</v>
      </c>
      <c r="O332" s="380">
        <f t="shared" si="27"/>
        <v>5.9102999999999986</v>
      </c>
      <c r="P332" s="379">
        <f>IFERROR(O332*VLOOKUP(G332,MODULY_CBA!$B$3:$F$23,5,0),)</f>
        <v>118.20599999999997</v>
      </c>
      <c r="Q332" s="480" t="str">
        <f>IFERROR(VLOOKUP(G332,MODULY_CBA!$B$3:$I$23,6,0),"")</f>
        <v>Inkrement 1</v>
      </c>
    </row>
    <row r="333" spans="1:17" ht="51">
      <c r="A333" s="682" t="s">
        <v>1564</v>
      </c>
      <c r="B333" s="402" t="s">
        <v>749</v>
      </c>
      <c r="C333" s="532"/>
      <c r="D333" s="532" t="s">
        <v>1691</v>
      </c>
      <c r="E333" s="532" t="s">
        <v>1692</v>
      </c>
      <c r="F333" s="390" t="s">
        <v>806</v>
      </c>
      <c r="G333" s="390" t="s">
        <v>802</v>
      </c>
      <c r="H333" s="381">
        <v>1</v>
      </c>
      <c r="I333" s="381">
        <v>10</v>
      </c>
      <c r="K333" s="381">
        <f t="shared" si="26"/>
        <v>10</v>
      </c>
      <c r="L333" s="644">
        <f>IFERROR(IF(B333="funkcna poziadavka",VLOOKUP(G333,MODULY_CBA!$B$3:$E$23,4,0)*H333/SUMIFS($H$3:$H$168,$G$3:$G$168,G333,$B$3:$B$168,B333),),)</f>
        <v>1</v>
      </c>
      <c r="M333" s="381">
        <f>IFERROR(IF(B333="Funkcna poziadavka",VLOOKUP(G333,MODULY_CBA!$B$3:$E$23,3,0),),)</f>
        <v>0.99499999999999988</v>
      </c>
      <c r="N333" s="381">
        <f>IFERROR(IF(B333="funkcna poziadavka",VLOOKUP(G333,MODULY_CBA!$B$3:$E$23,2,0),),)</f>
        <v>0.99</v>
      </c>
      <c r="O333" s="380">
        <f t="shared" si="27"/>
        <v>10.835549999999998</v>
      </c>
      <c r="P333" s="379">
        <f>IFERROR(O333*VLOOKUP(G333,MODULY_CBA!$B$3:$F$23,5,0),)</f>
        <v>216.71099999999996</v>
      </c>
      <c r="Q333" s="480" t="str">
        <f>IFERROR(VLOOKUP(G333,MODULY_CBA!$B$3:$I$23,6,0),"")</f>
        <v>Inkrement 1</v>
      </c>
    </row>
    <row r="334" spans="1:17" ht="38.25">
      <c r="A334" s="682" t="s">
        <v>1567</v>
      </c>
      <c r="B334" s="402" t="s">
        <v>749</v>
      </c>
      <c r="C334" s="532"/>
      <c r="D334" s="532" t="s">
        <v>1694</v>
      </c>
      <c r="E334" s="532" t="s">
        <v>1695</v>
      </c>
      <c r="F334" s="390" t="s">
        <v>806</v>
      </c>
      <c r="G334" s="390" t="s">
        <v>802</v>
      </c>
      <c r="H334" s="381">
        <v>1</v>
      </c>
      <c r="I334" s="381">
        <v>5</v>
      </c>
      <c r="K334" s="381">
        <f t="shared" si="26"/>
        <v>5</v>
      </c>
      <c r="L334" s="644">
        <f>IFERROR(IF(B334="funkcna poziadavka",VLOOKUP(G334,MODULY_CBA!$B$3:$E$23,4,0)*H334/SUMIFS($H$3:$H$168,$G$3:$G$168,G334,$B$3:$B$168,B334),),)</f>
        <v>1</v>
      </c>
      <c r="M334" s="381">
        <f>IFERROR(IF(B334="Funkcna poziadavka",VLOOKUP(G334,MODULY_CBA!$B$3:$E$23,3,0),),)</f>
        <v>0.99499999999999988</v>
      </c>
      <c r="N334" s="381">
        <f>IFERROR(IF(B334="funkcna poziadavka",VLOOKUP(G334,MODULY_CBA!$B$3:$E$23,2,0),),)</f>
        <v>0.99</v>
      </c>
      <c r="O334" s="380">
        <f t="shared" si="27"/>
        <v>5.9102999999999986</v>
      </c>
      <c r="P334" s="379">
        <f>IFERROR(O334*VLOOKUP(G334,MODULY_CBA!$B$3:$F$23,5,0),)</f>
        <v>118.20599999999997</v>
      </c>
      <c r="Q334" s="480" t="str">
        <f>IFERROR(VLOOKUP(G334,MODULY_CBA!$B$3:$I$23,6,0),"")</f>
        <v>Inkrement 1</v>
      </c>
    </row>
    <row r="335" spans="1:17" ht="25.5">
      <c r="A335" s="682" t="s">
        <v>1570</v>
      </c>
      <c r="B335" s="402" t="s">
        <v>749</v>
      </c>
      <c r="C335" s="532"/>
      <c r="D335" s="532" t="s">
        <v>1697</v>
      </c>
      <c r="E335" s="532" t="s">
        <v>1698</v>
      </c>
      <c r="F335" s="390" t="s">
        <v>806</v>
      </c>
      <c r="G335" s="390" t="s">
        <v>802</v>
      </c>
      <c r="H335" s="381">
        <v>1</v>
      </c>
      <c r="I335" s="381">
        <v>5</v>
      </c>
      <c r="K335" s="381">
        <f t="shared" si="26"/>
        <v>5</v>
      </c>
      <c r="L335" s="644">
        <f>IFERROR(IF(B335="funkcna poziadavka",VLOOKUP(G335,MODULY_CBA!$B$3:$E$23,4,0)*H335/SUMIFS($H$3:$H$168,$G$3:$G$168,G335,$B$3:$B$168,B335),),)</f>
        <v>1</v>
      </c>
      <c r="M335" s="381">
        <f>IFERROR(IF(B335="Funkcna poziadavka",VLOOKUP(G335,MODULY_CBA!$B$3:$E$23,3,0),),)</f>
        <v>0.99499999999999988</v>
      </c>
      <c r="N335" s="381">
        <f>IFERROR(IF(B335="funkcna poziadavka",VLOOKUP(G335,MODULY_CBA!$B$3:$E$23,2,0),),)</f>
        <v>0.99</v>
      </c>
      <c r="O335" s="380">
        <f t="shared" si="27"/>
        <v>5.9102999999999986</v>
      </c>
      <c r="P335" s="379">
        <f>IFERROR(O335*VLOOKUP(G335,MODULY_CBA!$B$3:$F$23,5,0),)</f>
        <v>118.20599999999997</v>
      </c>
      <c r="Q335" s="480" t="str">
        <f>IFERROR(VLOOKUP(G335,MODULY_CBA!$B$3:$I$23,6,0),"")</f>
        <v>Inkrement 1</v>
      </c>
    </row>
    <row r="336" spans="1:17" ht="38.25">
      <c r="A336" s="682" t="s">
        <v>1573</v>
      </c>
      <c r="B336" s="402" t="s">
        <v>749</v>
      </c>
      <c r="C336" s="532"/>
      <c r="D336" s="532" t="s">
        <v>1700</v>
      </c>
      <c r="E336" s="532" t="s">
        <v>1701</v>
      </c>
      <c r="F336" s="390" t="s">
        <v>806</v>
      </c>
      <c r="G336" s="390" t="s">
        <v>802</v>
      </c>
      <c r="H336" s="381">
        <v>1</v>
      </c>
      <c r="I336" s="381">
        <v>5</v>
      </c>
      <c r="K336" s="381">
        <f t="shared" si="26"/>
        <v>5</v>
      </c>
      <c r="L336" s="644">
        <f>IFERROR(IF(B336="funkcna poziadavka",VLOOKUP(G336,MODULY_CBA!$B$3:$E$23,4,0)*H336/SUMIFS($H$3:$H$168,$G$3:$G$168,G336,$B$3:$B$168,B336),),)</f>
        <v>1</v>
      </c>
      <c r="M336" s="381">
        <f>IFERROR(IF(B336="Funkcna poziadavka",VLOOKUP(G336,MODULY_CBA!$B$3:$E$23,3,0),),)</f>
        <v>0.99499999999999988</v>
      </c>
      <c r="N336" s="381">
        <f>IFERROR(IF(B336="funkcna poziadavka",VLOOKUP(G336,MODULY_CBA!$B$3:$E$23,2,0),),)</f>
        <v>0.99</v>
      </c>
      <c r="O336" s="380">
        <f t="shared" si="27"/>
        <v>5.9102999999999986</v>
      </c>
      <c r="P336" s="379">
        <f>IFERROR(O336*VLOOKUP(G336,MODULY_CBA!$B$3:$F$23,5,0),)</f>
        <v>118.20599999999997</v>
      </c>
      <c r="Q336" s="480" t="str">
        <f>IFERROR(VLOOKUP(G336,MODULY_CBA!$B$3:$I$23,6,0),"")</f>
        <v>Inkrement 1</v>
      </c>
    </row>
    <row r="337" spans="1:17" ht="38.25">
      <c r="A337" s="682" t="s">
        <v>1576</v>
      </c>
      <c r="B337" s="402" t="s">
        <v>749</v>
      </c>
      <c r="C337" s="532"/>
      <c r="D337" s="532" t="s">
        <v>1703</v>
      </c>
      <c r="E337" s="532" t="s">
        <v>1704</v>
      </c>
      <c r="F337" s="390" t="s">
        <v>806</v>
      </c>
      <c r="G337" s="390" t="s">
        <v>802</v>
      </c>
      <c r="H337" s="381">
        <v>1</v>
      </c>
      <c r="I337" s="381">
        <v>10</v>
      </c>
      <c r="K337" s="381">
        <f t="shared" si="26"/>
        <v>10</v>
      </c>
      <c r="L337" s="644">
        <f>IFERROR(IF(B337="funkcna poziadavka",VLOOKUP(G337,MODULY_CBA!$B$3:$E$23,4,0)*H337/SUMIFS($H$3:$H$168,$G$3:$G$168,G337,$B$3:$B$168,B337),),)</f>
        <v>1</v>
      </c>
      <c r="M337" s="381">
        <f>IFERROR(IF(B337="Funkcna poziadavka",VLOOKUP(G337,MODULY_CBA!$B$3:$E$23,3,0),),)</f>
        <v>0.99499999999999988</v>
      </c>
      <c r="N337" s="381">
        <f>IFERROR(IF(B337="funkcna poziadavka",VLOOKUP(G337,MODULY_CBA!$B$3:$E$23,2,0),),)</f>
        <v>0.99</v>
      </c>
      <c r="O337" s="380">
        <f t="shared" si="27"/>
        <v>10.835549999999998</v>
      </c>
      <c r="P337" s="379">
        <f>IFERROR(O337*VLOOKUP(G337,MODULY_CBA!$B$3:$F$23,5,0),)</f>
        <v>216.71099999999996</v>
      </c>
      <c r="Q337" s="480" t="str">
        <f>IFERROR(VLOOKUP(G337,MODULY_CBA!$B$3:$I$23,6,0),"")</f>
        <v>Inkrement 1</v>
      </c>
    </row>
    <row r="338" spans="1:17" ht="25.5">
      <c r="A338" s="682" t="s">
        <v>1579</v>
      </c>
      <c r="B338" s="402" t="s">
        <v>749</v>
      </c>
      <c r="C338" s="532"/>
      <c r="D338" s="532" t="s">
        <v>1706</v>
      </c>
      <c r="E338" s="532" t="s">
        <v>1707</v>
      </c>
      <c r="F338" s="390" t="s">
        <v>806</v>
      </c>
      <c r="G338" s="390" t="s">
        <v>802</v>
      </c>
      <c r="H338" s="381">
        <v>1</v>
      </c>
      <c r="I338" s="381">
        <v>5</v>
      </c>
      <c r="K338" s="381">
        <f t="shared" si="26"/>
        <v>5</v>
      </c>
      <c r="L338" s="644">
        <f>IFERROR(IF(B338="funkcna poziadavka",VLOOKUP(G338,MODULY_CBA!$B$3:$E$23,4,0)*H338/SUMIFS($H$3:$H$168,$G$3:$G$168,G338,$B$3:$B$168,B338),),)</f>
        <v>1</v>
      </c>
      <c r="M338" s="381">
        <f>IFERROR(IF(B338="Funkcna poziadavka",VLOOKUP(G338,MODULY_CBA!$B$3:$E$23,3,0),),)</f>
        <v>0.99499999999999988</v>
      </c>
      <c r="N338" s="381">
        <f>IFERROR(IF(B338="funkcna poziadavka",VLOOKUP(G338,MODULY_CBA!$B$3:$E$23,2,0),),)</f>
        <v>0.99</v>
      </c>
      <c r="O338" s="380">
        <f t="shared" si="27"/>
        <v>5.9102999999999986</v>
      </c>
      <c r="P338" s="379">
        <f>IFERROR(O338*VLOOKUP(G338,MODULY_CBA!$B$3:$F$23,5,0),)</f>
        <v>118.20599999999997</v>
      </c>
      <c r="Q338" s="480" t="str">
        <f>IFERROR(VLOOKUP(G338,MODULY_CBA!$B$3:$I$23,6,0),"")</f>
        <v>Inkrement 1</v>
      </c>
    </row>
    <row r="339" spans="1:17" ht="38.25">
      <c r="A339" s="682" t="s">
        <v>1582</v>
      </c>
      <c r="B339" s="402" t="s">
        <v>749</v>
      </c>
      <c r="C339" s="532"/>
      <c r="D339" s="532" t="s">
        <v>1709</v>
      </c>
      <c r="E339" s="532" t="s">
        <v>1710</v>
      </c>
      <c r="F339" s="390" t="s">
        <v>806</v>
      </c>
      <c r="G339" s="390" t="s">
        <v>802</v>
      </c>
      <c r="H339" s="381">
        <v>1</v>
      </c>
      <c r="I339" s="381">
        <v>5</v>
      </c>
      <c r="K339" s="381">
        <f t="shared" si="26"/>
        <v>5</v>
      </c>
      <c r="L339" s="644">
        <f>IFERROR(IF(B339="funkcna poziadavka",VLOOKUP(G339,MODULY_CBA!$B$3:$E$23,4,0)*H339/SUMIFS($H$3:$H$168,$G$3:$G$168,G339,$B$3:$B$168,B339),),)</f>
        <v>1</v>
      </c>
      <c r="M339" s="381">
        <f>IFERROR(IF(B339="Funkcna poziadavka",VLOOKUP(G339,MODULY_CBA!$B$3:$E$23,3,0),),)</f>
        <v>0.99499999999999988</v>
      </c>
      <c r="N339" s="381">
        <f>IFERROR(IF(B339="funkcna poziadavka",VLOOKUP(G339,MODULY_CBA!$B$3:$E$23,2,0),),)</f>
        <v>0.99</v>
      </c>
      <c r="O339" s="380">
        <f t="shared" si="27"/>
        <v>5.9102999999999986</v>
      </c>
      <c r="P339" s="379">
        <f>IFERROR(O339*VLOOKUP(G339,MODULY_CBA!$B$3:$F$23,5,0),)</f>
        <v>118.20599999999997</v>
      </c>
      <c r="Q339" s="480" t="str">
        <f>IFERROR(VLOOKUP(G339,MODULY_CBA!$B$3:$I$23,6,0),"")</f>
        <v>Inkrement 1</v>
      </c>
    </row>
    <row r="340" spans="1:17" ht="38.25">
      <c r="A340" s="682" t="s">
        <v>1585</v>
      </c>
      <c r="B340" s="402" t="s">
        <v>749</v>
      </c>
      <c r="C340" s="532"/>
      <c r="D340" s="532" t="s">
        <v>1712</v>
      </c>
      <c r="E340" s="532" t="s">
        <v>1713</v>
      </c>
      <c r="F340" s="390" t="s">
        <v>806</v>
      </c>
      <c r="G340" s="390" t="s">
        <v>802</v>
      </c>
      <c r="H340" s="381">
        <v>1</v>
      </c>
      <c r="I340" s="381">
        <v>5</v>
      </c>
      <c r="K340" s="381">
        <f t="shared" si="26"/>
        <v>5</v>
      </c>
      <c r="L340" s="644">
        <f>IFERROR(IF(B340="funkcna poziadavka",VLOOKUP(G340,MODULY_CBA!$B$3:$E$23,4,0)*H340/SUMIFS($H$3:$H$168,$G$3:$G$168,G340,$B$3:$B$168,B340),),)</f>
        <v>1</v>
      </c>
      <c r="M340" s="381">
        <f>IFERROR(IF(B340="Funkcna poziadavka",VLOOKUP(G340,MODULY_CBA!$B$3:$E$23,3,0),),)</f>
        <v>0.99499999999999988</v>
      </c>
      <c r="N340" s="381">
        <f>IFERROR(IF(B340="funkcna poziadavka",VLOOKUP(G340,MODULY_CBA!$B$3:$E$23,2,0),),)</f>
        <v>0.99</v>
      </c>
      <c r="O340" s="380">
        <f t="shared" si="27"/>
        <v>5.9102999999999986</v>
      </c>
      <c r="P340" s="379">
        <f>IFERROR(O340*VLOOKUP(G340,MODULY_CBA!$B$3:$F$23,5,0),)</f>
        <v>118.20599999999997</v>
      </c>
      <c r="Q340" s="480" t="str">
        <f>IFERROR(VLOOKUP(G340,MODULY_CBA!$B$3:$I$23,6,0),"")</f>
        <v>Inkrement 1</v>
      </c>
    </row>
    <row r="341" spans="1:17" ht="25.5">
      <c r="A341" s="682" t="s">
        <v>1588</v>
      </c>
      <c r="B341" s="402" t="s">
        <v>749</v>
      </c>
      <c r="C341" s="532"/>
      <c r="D341" s="532" t="s">
        <v>1715</v>
      </c>
      <c r="E341" s="532" t="s">
        <v>1716</v>
      </c>
      <c r="F341" s="390" t="s">
        <v>806</v>
      </c>
      <c r="G341" s="390" t="s">
        <v>802</v>
      </c>
      <c r="H341" s="381">
        <v>1</v>
      </c>
      <c r="I341" s="381">
        <v>10</v>
      </c>
      <c r="K341" s="381">
        <f t="shared" si="26"/>
        <v>10</v>
      </c>
      <c r="L341" s="644">
        <f>IFERROR(IF(B341="funkcna poziadavka",VLOOKUP(G341,MODULY_CBA!$B$3:$E$23,4,0)*H341/SUMIFS($H$3:$H$168,$G$3:$G$168,G341,$B$3:$B$168,B341),),)</f>
        <v>1</v>
      </c>
      <c r="M341" s="381">
        <f>IFERROR(IF(B341="Funkcna poziadavka",VLOOKUP(G341,MODULY_CBA!$B$3:$E$23,3,0),),)</f>
        <v>0.99499999999999988</v>
      </c>
      <c r="N341" s="381">
        <f>IFERROR(IF(B341="funkcna poziadavka",VLOOKUP(G341,MODULY_CBA!$B$3:$E$23,2,0),),)</f>
        <v>0.99</v>
      </c>
      <c r="O341" s="380">
        <f t="shared" si="27"/>
        <v>10.835549999999998</v>
      </c>
      <c r="P341" s="379">
        <f>IFERROR(O341*VLOOKUP(G341,MODULY_CBA!$B$3:$F$23,5,0),)</f>
        <v>216.71099999999996</v>
      </c>
      <c r="Q341" s="480" t="str">
        <f>IFERROR(VLOOKUP(G341,MODULY_CBA!$B$3:$I$23,6,0),"")</f>
        <v>Inkrement 1</v>
      </c>
    </row>
    <row r="342" spans="1:17" ht="38.25">
      <c r="A342" s="682" t="s">
        <v>1591</v>
      </c>
      <c r="B342" s="402" t="s">
        <v>749</v>
      </c>
      <c r="C342" s="532"/>
      <c r="D342" s="532" t="s">
        <v>1718</v>
      </c>
      <c r="E342" s="532" t="s">
        <v>1719</v>
      </c>
      <c r="F342" s="390" t="s">
        <v>806</v>
      </c>
      <c r="G342" s="390" t="s">
        <v>802</v>
      </c>
      <c r="H342" s="381">
        <v>1</v>
      </c>
      <c r="I342" s="381">
        <v>5</v>
      </c>
      <c r="K342" s="381">
        <f t="shared" si="26"/>
        <v>5</v>
      </c>
      <c r="L342" s="644">
        <f>IFERROR(IF(B342="funkcna poziadavka",VLOOKUP(G342,MODULY_CBA!$B$3:$E$23,4,0)*H342/SUMIFS($H$3:$H$168,$G$3:$G$168,G342,$B$3:$B$168,B342),),)</f>
        <v>1</v>
      </c>
      <c r="M342" s="381">
        <f>IFERROR(IF(B342="Funkcna poziadavka",VLOOKUP(G342,MODULY_CBA!$B$3:$E$23,3,0),),)</f>
        <v>0.99499999999999988</v>
      </c>
      <c r="N342" s="381">
        <f>IFERROR(IF(B342="funkcna poziadavka",VLOOKUP(G342,MODULY_CBA!$B$3:$E$23,2,0),),)</f>
        <v>0.99</v>
      </c>
      <c r="O342" s="380">
        <f t="shared" si="27"/>
        <v>5.9102999999999986</v>
      </c>
      <c r="P342" s="379">
        <f>IFERROR(O342*VLOOKUP(G342,MODULY_CBA!$B$3:$F$23,5,0),)</f>
        <v>118.20599999999997</v>
      </c>
      <c r="Q342" s="480" t="str">
        <f>IFERROR(VLOOKUP(G342,MODULY_CBA!$B$3:$I$23,6,0),"")</f>
        <v>Inkrement 1</v>
      </c>
    </row>
    <row r="343" spans="1:17" ht="25.5">
      <c r="A343" s="682" t="s">
        <v>1594</v>
      </c>
      <c r="B343" s="402" t="s">
        <v>749</v>
      </c>
      <c r="C343" s="532"/>
      <c r="D343" s="532" t="s">
        <v>1721</v>
      </c>
      <c r="E343" s="532" t="s">
        <v>1722</v>
      </c>
      <c r="F343" s="390" t="s">
        <v>806</v>
      </c>
      <c r="G343" s="390" t="s">
        <v>802</v>
      </c>
      <c r="H343" s="381">
        <v>1</v>
      </c>
      <c r="I343" s="381">
        <v>10</v>
      </c>
      <c r="K343" s="381">
        <f t="shared" si="26"/>
        <v>10</v>
      </c>
      <c r="L343" s="644">
        <f>IFERROR(IF(B343="funkcna poziadavka",VLOOKUP(G343,MODULY_CBA!$B$3:$E$23,4,0)*H343/SUMIFS($H$3:$H$168,$G$3:$G$168,G343,$B$3:$B$168,B343),),)</f>
        <v>1</v>
      </c>
      <c r="M343" s="381">
        <f>IFERROR(IF(B343="Funkcna poziadavka",VLOOKUP(G343,MODULY_CBA!$B$3:$E$23,3,0),),)</f>
        <v>0.99499999999999988</v>
      </c>
      <c r="N343" s="381">
        <f>IFERROR(IF(B343="funkcna poziadavka",VLOOKUP(G343,MODULY_CBA!$B$3:$E$23,2,0),),)</f>
        <v>0.99</v>
      </c>
      <c r="O343" s="380">
        <f t="shared" si="27"/>
        <v>10.835549999999998</v>
      </c>
      <c r="P343" s="379">
        <f>IFERROR(O343*VLOOKUP(G343,MODULY_CBA!$B$3:$F$23,5,0),)</f>
        <v>216.71099999999996</v>
      </c>
      <c r="Q343" s="480" t="str">
        <f>IFERROR(VLOOKUP(G343,MODULY_CBA!$B$3:$I$23,6,0),"")</f>
        <v>Inkrement 1</v>
      </c>
    </row>
    <row r="344" spans="1:17" ht="25.5">
      <c r="A344" s="682" t="s">
        <v>1597</v>
      </c>
      <c r="B344" s="402" t="s">
        <v>749</v>
      </c>
      <c r="C344" s="532"/>
      <c r="D344" s="532" t="s">
        <v>1724</v>
      </c>
      <c r="E344" s="532" t="s">
        <v>1725</v>
      </c>
      <c r="F344" s="390" t="s">
        <v>806</v>
      </c>
      <c r="G344" s="390" t="s">
        <v>802</v>
      </c>
      <c r="H344" s="381">
        <v>1</v>
      </c>
      <c r="I344" s="381">
        <v>5</v>
      </c>
      <c r="K344" s="381">
        <f t="shared" si="26"/>
        <v>5</v>
      </c>
      <c r="L344" s="644">
        <f>IFERROR(IF(B344="funkcna poziadavka",VLOOKUP(G344,MODULY_CBA!$B$3:$E$23,4,0)*H344/SUMIFS($H$3:$H$168,$G$3:$G$168,G344,$B$3:$B$168,B344),),)</f>
        <v>1</v>
      </c>
      <c r="M344" s="381">
        <f>IFERROR(IF(B344="Funkcna poziadavka",VLOOKUP(G344,MODULY_CBA!$B$3:$E$23,3,0),),)</f>
        <v>0.99499999999999988</v>
      </c>
      <c r="N344" s="381">
        <f>IFERROR(IF(B344="funkcna poziadavka",VLOOKUP(G344,MODULY_CBA!$B$3:$E$23,2,0),),)</f>
        <v>0.99</v>
      </c>
      <c r="O344" s="380">
        <f t="shared" si="27"/>
        <v>5.9102999999999986</v>
      </c>
      <c r="P344" s="379">
        <f>IFERROR(O344*VLOOKUP(G344,MODULY_CBA!$B$3:$F$23,5,0),)</f>
        <v>118.20599999999997</v>
      </c>
      <c r="Q344" s="480" t="str">
        <f>IFERROR(VLOOKUP(G344,MODULY_CBA!$B$3:$I$23,6,0),"")</f>
        <v>Inkrement 1</v>
      </c>
    </row>
    <row r="345" spans="1:17" ht="25.5">
      <c r="A345" s="682" t="s">
        <v>1600</v>
      </c>
      <c r="B345" s="402" t="s">
        <v>749</v>
      </c>
      <c r="C345" s="532"/>
      <c r="D345" s="532" t="s">
        <v>1727</v>
      </c>
      <c r="E345" s="532" t="s">
        <v>1728</v>
      </c>
      <c r="F345" s="390" t="s">
        <v>806</v>
      </c>
      <c r="G345" s="390" t="s">
        <v>802</v>
      </c>
      <c r="H345" s="381">
        <v>1</v>
      </c>
      <c r="I345" s="381">
        <v>5</v>
      </c>
      <c r="K345" s="381">
        <f t="shared" si="26"/>
        <v>5</v>
      </c>
      <c r="L345" s="644">
        <f>IFERROR(IF(B345="funkcna poziadavka",VLOOKUP(G345,MODULY_CBA!$B$3:$E$23,4,0)*H345/SUMIFS($H$3:$H$168,$G$3:$G$168,G345,$B$3:$B$168,B345),),)</f>
        <v>1</v>
      </c>
      <c r="M345" s="381">
        <f>IFERROR(IF(B345="Funkcna poziadavka",VLOOKUP(G345,MODULY_CBA!$B$3:$E$23,3,0),),)</f>
        <v>0.99499999999999988</v>
      </c>
      <c r="N345" s="381">
        <f>IFERROR(IF(B345="funkcna poziadavka",VLOOKUP(G345,MODULY_CBA!$B$3:$E$23,2,0),),)</f>
        <v>0.99</v>
      </c>
      <c r="O345" s="380">
        <f t="shared" si="27"/>
        <v>5.9102999999999986</v>
      </c>
      <c r="P345" s="379">
        <f>IFERROR(O345*VLOOKUP(G345,MODULY_CBA!$B$3:$F$23,5,0),)</f>
        <v>118.20599999999997</v>
      </c>
      <c r="Q345" s="480" t="str">
        <f>IFERROR(VLOOKUP(G345,MODULY_CBA!$B$3:$I$23,6,0),"")</f>
        <v>Inkrement 1</v>
      </c>
    </row>
    <row r="346" spans="1:17">
      <c r="A346" s="682" t="s">
        <v>1603</v>
      </c>
      <c r="B346" s="402" t="s">
        <v>749</v>
      </c>
      <c r="C346" s="532"/>
      <c r="D346" s="532" t="s">
        <v>1730</v>
      </c>
      <c r="E346" s="532" t="s">
        <v>1731</v>
      </c>
      <c r="F346" s="390" t="s">
        <v>806</v>
      </c>
      <c r="G346" s="390" t="s">
        <v>802</v>
      </c>
      <c r="H346" s="381">
        <v>1</v>
      </c>
      <c r="I346" s="381">
        <v>5</v>
      </c>
      <c r="K346" s="381">
        <f t="shared" si="26"/>
        <v>5</v>
      </c>
      <c r="L346" s="644">
        <f>IFERROR(IF(B346="funkcna poziadavka",VLOOKUP(G346,MODULY_CBA!$B$3:$E$23,4,0)*H346/SUMIFS($H$3:$H$168,$G$3:$G$168,G346,$B$3:$B$168,B346),),)</f>
        <v>1</v>
      </c>
      <c r="M346" s="381">
        <f>IFERROR(IF(B346="Funkcna poziadavka",VLOOKUP(G346,MODULY_CBA!$B$3:$E$23,3,0),),)</f>
        <v>0.99499999999999988</v>
      </c>
      <c r="N346" s="381">
        <f>IFERROR(IF(B346="funkcna poziadavka",VLOOKUP(G346,MODULY_CBA!$B$3:$E$23,2,0),),)</f>
        <v>0.99</v>
      </c>
      <c r="O346" s="380">
        <f t="shared" si="27"/>
        <v>5.9102999999999986</v>
      </c>
      <c r="P346" s="379">
        <f>IFERROR(O346*VLOOKUP(G346,MODULY_CBA!$B$3:$F$23,5,0),)</f>
        <v>118.20599999999997</v>
      </c>
      <c r="Q346" s="480" t="str">
        <f>IFERROR(VLOOKUP(G346,MODULY_CBA!$B$3:$I$23,6,0),"")</f>
        <v>Inkrement 1</v>
      </c>
    </row>
    <row r="347" spans="1:17" ht="51">
      <c r="A347" s="682" t="s">
        <v>1606</v>
      </c>
      <c r="B347" s="402" t="s">
        <v>749</v>
      </c>
      <c r="C347" s="532"/>
      <c r="D347" s="532" t="s">
        <v>1733</v>
      </c>
      <c r="E347" s="532" t="s">
        <v>1734</v>
      </c>
      <c r="F347" s="390" t="s">
        <v>806</v>
      </c>
      <c r="G347" s="390" t="s">
        <v>802</v>
      </c>
      <c r="H347" s="381">
        <v>1</v>
      </c>
      <c r="I347" s="381">
        <v>10</v>
      </c>
      <c r="K347" s="381">
        <f t="shared" si="26"/>
        <v>10</v>
      </c>
      <c r="L347" s="644">
        <f>IFERROR(IF(B347="funkcna poziadavka",VLOOKUP(G347,MODULY_CBA!$B$3:$E$23,4,0)*H347/SUMIFS($H$3:$H$168,$G$3:$G$168,G347,$B$3:$B$168,B347),),)</f>
        <v>1</v>
      </c>
      <c r="M347" s="381">
        <f>IFERROR(IF(B347="Funkcna poziadavka",VLOOKUP(G347,MODULY_CBA!$B$3:$E$23,3,0),),)</f>
        <v>0.99499999999999988</v>
      </c>
      <c r="N347" s="381">
        <f>IFERROR(IF(B347="funkcna poziadavka",VLOOKUP(G347,MODULY_CBA!$B$3:$E$23,2,0),),)</f>
        <v>0.99</v>
      </c>
      <c r="O347" s="380">
        <f t="shared" si="27"/>
        <v>10.835549999999998</v>
      </c>
      <c r="P347" s="379">
        <f>IFERROR(O347*VLOOKUP(G347,MODULY_CBA!$B$3:$F$23,5,0),)</f>
        <v>216.71099999999996</v>
      </c>
      <c r="Q347" s="480" t="str">
        <f>IFERROR(VLOOKUP(G347,MODULY_CBA!$B$3:$I$23,6,0),"")</f>
        <v>Inkrement 1</v>
      </c>
    </row>
    <row r="348" spans="1:17" ht="25.5">
      <c r="A348" s="682" t="s">
        <v>1609</v>
      </c>
      <c r="B348" s="402" t="s">
        <v>749</v>
      </c>
      <c r="C348" s="532"/>
      <c r="D348" s="532" t="s">
        <v>1736</v>
      </c>
      <c r="E348" s="532" t="s">
        <v>1737</v>
      </c>
      <c r="F348" s="390" t="s">
        <v>806</v>
      </c>
      <c r="G348" s="390" t="s">
        <v>802</v>
      </c>
      <c r="H348" s="381">
        <v>1</v>
      </c>
      <c r="I348" s="381">
        <v>10</v>
      </c>
      <c r="K348" s="381">
        <f t="shared" si="26"/>
        <v>10</v>
      </c>
      <c r="L348" s="644">
        <f>IFERROR(IF(B348="funkcna poziadavka",VLOOKUP(G348,MODULY_CBA!$B$3:$E$23,4,0)*H348/SUMIFS($H$3:$H$168,$G$3:$G$168,G348,$B$3:$B$168,B348),),)</f>
        <v>1</v>
      </c>
      <c r="M348" s="381">
        <f>IFERROR(IF(B348="Funkcna poziadavka",VLOOKUP(G348,MODULY_CBA!$B$3:$E$23,3,0),),)</f>
        <v>0.99499999999999988</v>
      </c>
      <c r="N348" s="381">
        <f>IFERROR(IF(B348="funkcna poziadavka",VLOOKUP(G348,MODULY_CBA!$B$3:$E$23,2,0),),)</f>
        <v>0.99</v>
      </c>
      <c r="O348" s="380">
        <f t="shared" si="27"/>
        <v>10.835549999999998</v>
      </c>
      <c r="P348" s="379">
        <f>IFERROR(O348*VLOOKUP(G348,MODULY_CBA!$B$3:$F$23,5,0),)</f>
        <v>216.71099999999996</v>
      </c>
      <c r="Q348" s="480" t="str">
        <f>IFERROR(VLOOKUP(G348,MODULY_CBA!$B$3:$I$23,6,0),"")</f>
        <v>Inkrement 1</v>
      </c>
    </row>
    <row r="349" spans="1:17" ht="38.25">
      <c r="A349" s="682" t="s">
        <v>1612</v>
      </c>
      <c r="B349" s="402" t="s">
        <v>749</v>
      </c>
      <c r="C349" s="532"/>
      <c r="D349" s="532" t="s">
        <v>1739</v>
      </c>
      <c r="E349" s="532" t="s">
        <v>1740</v>
      </c>
      <c r="F349" s="390" t="s">
        <v>806</v>
      </c>
      <c r="G349" s="390" t="s">
        <v>802</v>
      </c>
      <c r="H349" s="381">
        <v>1</v>
      </c>
      <c r="I349" s="381">
        <v>5</v>
      </c>
      <c r="K349" s="381">
        <f t="shared" si="26"/>
        <v>5</v>
      </c>
      <c r="L349" s="644">
        <f>IFERROR(IF(B349="funkcna poziadavka",VLOOKUP(G349,MODULY_CBA!$B$3:$E$23,4,0)*H349/SUMIFS($H$3:$H$168,$G$3:$G$168,G349,$B$3:$B$168,B349),),)</f>
        <v>1</v>
      </c>
      <c r="M349" s="381">
        <f>IFERROR(IF(B349="Funkcna poziadavka",VLOOKUP(G349,MODULY_CBA!$B$3:$E$23,3,0),),)</f>
        <v>0.99499999999999988</v>
      </c>
      <c r="N349" s="381">
        <f>IFERROR(IF(B349="funkcna poziadavka",VLOOKUP(G349,MODULY_CBA!$B$3:$E$23,2,0),),)</f>
        <v>0.99</v>
      </c>
      <c r="O349" s="380">
        <f t="shared" si="27"/>
        <v>5.9102999999999986</v>
      </c>
      <c r="P349" s="379">
        <f>IFERROR(O349*VLOOKUP(G349,MODULY_CBA!$B$3:$F$23,5,0),)</f>
        <v>118.20599999999997</v>
      </c>
      <c r="Q349" s="480" t="str">
        <f>IFERROR(VLOOKUP(G349,MODULY_CBA!$B$3:$I$23,6,0),"")</f>
        <v>Inkrement 1</v>
      </c>
    </row>
    <row r="350" spans="1:17" ht="25.5">
      <c r="A350" s="682" t="s">
        <v>1615</v>
      </c>
      <c r="B350" s="402" t="s">
        <v>749</v>
      </c>
      <c r="C350" s="532"/>
      <c r="D350" s="532" t="s">
        <v>1742</v>
      </c>
      <c r="E350" s="532" t="s">
        <v>1743</v>
      </c>
      <c r="F350" s="390" t="s">
        <v>806</v>
      </c>
      <c r="G350" s="390" t="s">
        <v>802</v>
      </c>
      <c r="H350" s="381">
        <v>1</v>
      </c>
      <c r="I350" s="381">
        <v>10</v>
      </c>
      <c r="K350" s="381">
        <f t="shared" si="26"/>
        <v>10</v>
      </c>
      <c r="L350" s="644">
        <f>IFERROR(IF(B350="funkcna poziadavka",VLOOKUP(G350,MODULY_CBA!$B$3:$E$23,4,0)*H350/SUMIFS($H$3:$H$168,$G$3:$G$168,G350,$B$3:$B$168,B350),),)</f>
        <v>1</v>
      </c>
      <c r="M350" s="381">
        <f>IFERROR(IF(B350="Funkcna poziadavka",VLOOKUP(G350,MODULY_CBA!$B$3:$E$23,3,0),),)</f>
        <v>0.99499999999999988</v>
      </c>
      <c r="N350" s="381">
        <f>IFERROR(IF(B350="funkcna poziadavka",VLOOKUP(G350,MODULY_CBA!$B$3:$E$23,2,0),),)</f>
        <v>0.99</v>
      </c>
      <c r="O350" s="380">
        <f t="shared" si="27"/>
        <v>10.835549999999998</v>
      </c>
      <c r="P350" s="379">
        <f>IFERROR(O350*VLOOKUP(G350,MODULY_CBA!$B$3:$F$23,5,0),)</f>
        <v>216.71099999999996</v>
      </c>
      <c r="Q350" s="480" t="str">
        <f>IFERROR(VLOOKUP(G350,MODULY_CBA!$B$3:$I$23,6,0),"")</f>
        <v>Inkrement 1</v>
      </c>
    </row>
    <row r="351" spans="1:17" ht="51">
      <c r="A351" s="682" t="s">
        <v>1618</v>
      </c>
      <c r="B351" s="402" t="s">
        <v>749</v>
      </c>
      <c r="C351" s="532"/>
      <c r="D351" s="532" t="s">
        <v>1745</v>
      </c>
      <c r="E351" s="532" t="s">
        <v>1746</v>
      </c>
      <c r="F351" s="390" t="s">
        <v>806</v>
      </c>
      <c r="G351" s="390" t="s">
        <v>802</v>
      </c>
      <c r="H351" s="381">
        <v>1</v>
      </c>
      <c r="I351" s="381">
        <v>5</v>
      </c>
      <c r="K351" s="381">
        <f t="shared" si="26"/>
        <v>5</v>
      </c>
      <c r="L351" s="644">
        <f>IFERROR(IF(B351="funkcna poziadavka",VLOOKUP(G351,MODULY_CBA!$B$3:$E$23,4,0)*H351/SUMIFS($H$3:$H$168,$G$3:$G$168,G351,$B$3:$B$168,B351),),)</f>
        <v>1</v>
      </c>
      <c r="M351" s="381">
        <f>IFERROR(IF(B351="Funkcna poziadavka",VLOOKUP(G351,MODULY_CBA!$B$3:$E$23,3,0),),)</f>
        <v>0.99499999999999988</v>
      </c>
      <c r="N351" s="381">
        <f>IFERROR(IF(B351="funkcna poziadavka",VLOOKUP(G351,MODULY_CBA!$B$3:$E$23,2,0),),)</f>
        <v>0.99</v>
      </c>
      <c r="O351" s="380">
        <f t="shared" si="27"/>
        <v>5.9102999999999986</v>
      </c>
      <c r="P351" s="379">
        <f>IFERROR(O351*VLOOKUP(G351,MODULY_CBA!$B$3:$F$23,5,0),)</f>
        <v>118.20599999999997</v>
      </c>
      <c r="Q351" s="480" t="str">
        <f>IFERROR(VLOOKUP(G351,MODULY_CBA!$B$3:$I$23,6,0),"")</f>
        <v>Inkrement 1</v>
      </c>
    </row>
    <row r="352" spans="1:17" ht="25.5">
      <c r="A352" s="682" t="s">
        <v>1621</v>
      </c>
      <c r="B352" s="402" t="s">
        <v>749</v>
      </c>
      <c r="C352" s="532"/>
      <c r="D352" s="532" t="s">
        <v>1748</v>
      </c>
      <c r="E352" s="532" t="s">
        <v>1749</v>
      </c>
      <c r="F352" s="390" t="s">
        <v>806</v>
      </c>
      <c r="G352" s="390" t="s">
        <v>802</v>
      </c>
      <c r="H352" s="381">
        <v>1</v>
      </c>
      <c r="I352" s="381">
        <v>5</v>
      </c>
      <c r="K352" s="381">
        <f t="shared" si="26"/>
        <v>5</v>
      </c>
      <c r="L352" s="644">
        <f>IFERROR(IF(B352="funkcna poziadavka",VLOOKUP(G352,MODULY_CBA!$B$3:$E$23,4,0)*H352/SUMIFS($H$3:$H$168,$G$3:$G$168,G352,$B$3:$B$168,B352),),)</f>
        <v>1</v>
      </c>
      <c r="M352" s="381">
        <f>IFERROR(IF(B352="Funkcna poziadavka",VLOOKUP(G352,MODULY_CBA!$B$3:$E$23,3,0),),)</f>
        <v>0.99499999999999988</v>
      </c>
      <c r="N352" s="381">
        <f>IFERROR(IF(B352="funkcna poziadavka",VLOOKUP(G352,MODULY_CBA!$B$3:$E$23,2,0),),)</f>
        <v>0.99</v>
      </c>
      <c r="O352" s="380">
        <f t="shared" si="27"/>
        <v>5.9102999999999986</v>
      </c>
      <c r="P352" s="379">
        <f>IFERROR(O352*VLOOKUP(G352,MODULY_CBA!$B$3:$F$23,5,0),)</f>
        <v>118.20599999999997</v>
      </c>
      <c r="Q352" s="480" t="str">
        <f>IFERROR(VLOOKUP(G352,MODULY_CBA!$B$3:$I$23,6,0),"")</f>
        <v>Inkrement 1</v>
      </c>
    </row>
    <row r="353" spans="1:17" ht="25.5">
      <c r="A353" s="682" t="s">
        <v>1624</v>
      </c>
      <c r="B353" s="402" t="s">
        <v>749</v>
      </c>
      <c r="C353" s="532"/>
      <c r="D353" s="532" t="s">
        <v>1751</v>
      </c>
      <c r="E353" s="532" t="s">
        <v>1752</v>
      </c>
      <c r="F353" s="390" t="s">
        <v>806</v>
      </c>
      <c r="G353" s="390" t="s">
        <v>802</v>
      </c>
      <c r="H353" s="381">
        <v>1</v>
      </c>
      <c r="I353" s="381">
        <v>10</v>
      </c>
      <c r="K353" s="381">
        <f t="shared" si="26"/>
        <v>10</v>
      </c>
      <c r="L353" s="644">
        <f>IFERROR(IF(B353="funkcna poziadavka",VLOOKUP(G353,MODULY_CBA!$B$3:$E$23,4,0)*H353/SUMIFS($H$3:$H$168,$G$3:$G$168,G353,$B$3:$B$168,B353),),)</f>
        <v>1</v>
      </c>
      <c r="M353" s="381">
        <f>IFERROR(IF(B353="Funkcna poziadavka",VLOOKUP(G353,MODULY_CBA!$B$3:$E$23,3,0),),)</f>
        <v>0.99499999999999988</v>
      </c>
      <c r="N353" s="381">
        <f>IFERROR(IF(B353="funkcna poziadavka",VLOOKUP(G353,MODULY_CBA!$B$3:$E$23,2,0),),)</f>
        <v>0.99</v>
      </c>
      <c r="O353" s="380">
        <f t="shared" si="27"/>
        <v>10.835549999999998</v>
      </c>
      <c r="P353" s="379">
        <f>IFERROR(O353*VLOOKUP(G353,MODULY_CBA!$B$3:$F$23,5,0),)</f>
        <v>216.71099999999996</v>
      </c>
      <c r="Q353" s="480" t="str">
        <f>IFERROR(VLOOKUP(G353,MODULY_CBA!$B$3:$I$23,6,0),"")</f>
        <v>Inkrement 1</v>
      </c>
    </row>
    <row r="354" spans="1:17" ht="25.5">
      <c r="A354" s="682" t="s">
        <v>1627</v>
      </c>
      <c r="B354" s="402" t="s">
        <v>749</v>
      </c>
      <c r="C354" s="532"/>
      <c r="D354" s="532" t="s">
        <v>1754</v>
      </c>
      <c r="E354" s="532" t="s">
        <v>1755</v>
      </c>
      <c r="F354" s="390" t="s">
        <v>806</v>
      </c>
      <c r="G354" s="390" t="s">
        <v>802</v>
      </c>
      <c r="H354" s="381">
        <v>1</v>
      </c>
      <c r="I354" s="381">
        <v>5</v>
      </c>
      <c r="K354" s="381">
        <f t="shared" si="26"/>
        <v>5</v>
      </c>
      <c r="L354" s="644">
        <f>IFERROR(IF(B354="funkcna poziadavka",VLOOKUP(G354,MODULY_CBA!$B$3:$E$23,4,0)*H354/SUMIFS($H$3:$H$168,$G$3:$G$168,G354,$B$3:$B$168,B354),),)</f>
        <v>1</v>
      </c>
      <c r="M354" s="381">
        <f>IFERROR(IF(B354="Funkcna poziadavka",VLOOKUP(G354,MODULY_CBA!$B$3:$E$23,3,0),),)</f>
        <v>0.99499999999999988</v>
      </c>
      <c r="N354" s="381">
        <f>IFERROR(IF(B354="funkcna poziadavka",VLOOKUP(G354,MODULY_CBA!$B$3:$E$23,2,0),),)</f>
        <v>0.99</v>
      </c>
      <c r="O354" s="380">
        <f t="shared" si="27"/>
        <v>5.9102999999999986</v>
      </c>
      <c r="P354" s="379">
        <f>IFERROR(O354*VLOOKUP(G354,MODULY_CBA!$B$3:$F$23,5,0),)</f>
        <v>118.20599999999997</v>
      </c>
      <c r="Q354" s="480" t="str">
        <f>IFERROR(VLOOKUP(G354,MODULY_CBA!$B$3:$I$23,6,0),"")</f>
        <v>Inkrement 1</v>
      </c>
    </row>
    <row r="355" spans="1:17" ht="25.5">
      <c r="A355" s="682" t="s">
        <v>1630</v>
      </c>
      <c r="B355" s="402" t="s">
        <v>749</v>
      </c>
      <c r="C355" s="532"/>
      <c r="D355" s="532" t="s">
        <v>1757</v>
      </c>
      <c r="E355" s="532" t="s">
        <v>1758</v>
      </c>
      <c r="F355" s="390" t="s">
        <v>806</v>
      </c>
      <c r="G355" s="390" t="s">
        <v>802</v>
      </c>
      <c r="H355" s="381">
        <v>1</v>
      </c>
      <c r="I355" s="381">
        <v>5</v>
      </c>
      <c r="K355" s="381">
        <f t="shared" si="26"/>
        <v>5</v>
      </c>
      <c r="L355" s="644">
        <f>IFERROR(IF(B355="funkcna poziadavka",VLOOKUP(G355,MODULY_CBA!$B$3:$E$23,4,0)*H355/SUMIFS($H$3:$H$168,$G$3:$G$168,G355,$B$3:$B$168,B355),),)</f>
        <v>1</v>
      </c>
      <c r="M355" s="381">
        <f>IFERROR(IF(B355="Funkcna poziadavka",VLOOKUP(G355,MODULY_CBA!$B$3:$E$23,3,0),),)</f>
        <v>0.99499999999999988</v>
      </c>
      <c r="N355" s="381">
        <f>IFERROR(IF(B355="funkcna poziadavka",VLOOKUP(G355,MODULY_CBA!$B$3:$E$23,2,0),),)</f>
        <v>0.99</v>
      </c>
      <c r="O355" s="380">
        <f t="shared" si="27"/>
        <v>5.9102999999999986</v>
      </c>
      <c r="P355" s="379">
        <f>IFERROR(O355*VLOOKUP(G355,MODULY_CBA!$B$3:$F$23,5,0),)</f>
        <v>118.20599999999997</v>
      </c>
      <c r="Q355" s="480" t="str">
        <f>IFERROR(VLOOKUP(G355,MODULY_CBA!$B$3:$I$23,6,0),"")</f>
        <v>Inkrement 1</v>
      </c>
    </row>
    <row r="356" spans="1:17" ht="51">
      <c r="A356" s="682" t="s">
        <v>1633</v>
      </c>
      <c r="B356" s="402" t="s">
        <v>749</v>
      </c>
      <c r="C356" s="532"/>
      <c r="D356" s="532" t="s">
        <v>1760</v>
      </c>
      <c r="E356" s="532" t="s">
        <v>1761</v>
      </c>
      <c r="F356" s="390" t="s">
        <v>806</v>
      </c>
      <c r="G356" s="390" t="s">
        <v>802</v>
      </c>
      <c r="H356" s="381">
        <v>1</v>
      </c>
      <c r="I356" s="381">
        <v>5</v>
      </c>
      <c r="K356" s="381">
        <f t="shared" si="26"/>
        <v>5</v>
      </c>
      <c r="L356" s="644">
        <f>IFERROR(IF(B356="funkcna poziadavka",VLOOKUP(G356,MODULY_CBA!$B$3:$E$23,4,0)*H356/SUMIFS($H$3:$H$168,$G$3:$G$168,G356,$B$3:$B$168,B356),),)</f>
        <v>1</v>
      </c>
      <c r="M356" s="381">
        <f>IFERROR(IF(B356="Funkcna poziadavka",VLOOKUP(G356,MODULY_CBA!$B$3:$E$23,3,0),),)</f>
        <v>0.99499999999999988</v>
      </c>
      <c r="N356" s="381">
        <f>IFERROR(IF(B356="funkcna poziadavka",VLOOKUP(G356,MODULY_CBA!$B$3:$E$23,2,0),),)</f>
        <v>0.99</v>
      </c>
      <c r="O356" s="380">
        <f t="shared" si="27"/>
        <v>5.9102999999999986</v>
      </c>
      <c r="P356" s="379">
        <f>IFERROR(O356*VLOOKUP(G356,MODULY_CBA!$B$3:$F$23,5,0),)</f>
        <v>118.20599999999997</v>
      </c>
      <c r="Q356" s="480" t="str">
        <f>IFERROR(VLOOKUP(G356,MODULY_CBA!$B$3:$I$23,6,0),"")</f>
        <v>Inkrement 1</v>
      </c>
    </row>
    <row r="357" spans="1:17">
      <c r="A357" s="682" t="s">
        <v>1636</v>
      </c>
      <c r="B357" s="402" t="s">
        <v>749</v>
      </c>
      <c r="C357" s="532"/>
      <c r="D357" s="532" t="s">
        <v>1763</v>
      </c>
      <c r="E357" s="532" t="s">
        <v>1764</v>
      </c>
      <c r="F357" s="390" t="s">
        <v>806</v>
      </c>
      <c r="G357" s="390" t="s">
        <v>802</v>
      </c>
      <c r="H357" s="381">
        <v>1</v>
      </c>
      <c r="I357" s="381">
        <v>5</v>
      </c>
      <c r="K357" s="381">
        <f t="shared" si="26"/>
        <v>5</v>
      </c>
      <c r="L357" s="644">
        <f>IFERROR(IF(B357="funkcna poziadavka",VLOOKUP(G357,MODULY_CBA!$B$3:$E$23,4,0)*H357/SUMIFS($H$3:$H$168,$G$3:$G$168,G357,$B$3:$B$168,B357),),)</f>
        <v>1</v>
      </c>
      <c r="M357" s="381">
        <f>IFERROR(IF(B357="Funkcna poziadavka",VLOOKUP(G357,MODULY_CBA!$B$3:$E$23,3,0),),)</f>
        <v>0.99499999999999988</v>
      </c>
      <c r="N357" s="381">
        <f>IFERROR(IF(B357="funkcna poziadavka",VLOOKUP(G357,MODULY_CBA!$B$3:$E$23,2,0),),)</f>
        <v>0.99</v>
      </c>
      <c r="O357" s="380">
        <f t="shared" si="27"/>
        <v>5.9102999999999986</v>
      </c>
      <c r="P357" s="379">
        <f>IFERROR(O357*VLOOKUP(G357,MODULY_CBA!$B$3:$F$23,5,0),)</f>
        <v>118.20599999999997</v>
      </c>
      <c r="Q357" s="480" t="str">
        <f>IFERROR(VLOOKUP(G357,MODULY_CBA!$B$3:$I$23,6,0),"")</f>
        <v>Inkrement 1</v>
      </c>
    </row>
    <row r="358" spans="1:17" ht="25.5">
      <c r="A358" s="682" t="s">
        <v>1639</v>
      </c>
      <c r="B358" s="402" t="s">
        <v>749</v>
      </c>
      <c r="C358" s="532"/>
      <c r="D358" s="532" t="s">
        <v>1766</v>
      </c>
      <c r="E358" s="532" t="s">
        <v>1767</v>
      </c>
      <c r="F358" s="390" t="s">
        <v>806</v>
      </c>
      <c r="G358" s="390" t="s">
        <v>802</v>
      </c>
      <c r="H358" s="381">
        <v>1</v>
      </c>
      <c r="I358" s="381">
        <v>5</v>
      </c>
      <c r="K358" s="381">
        <f t="shared" si="26"/>
        <v>5</v>
      </c>
      <c r="L358" s="644">
        <f>IFERROR(IF(B358="funkcna poziadavka",VLOOKUP(G358,MODULY_CBA!$B$3:$E$23,4,0)*H358/SUMIFS($H$3:$H$168,$G$3:$G$168,G358,$B$3:$B$168,B358),),)</f>
        <v>1</v>
      </c>
      <c r="M358" s="381">
        <f>IFERROR(IF(B358="Funkcna poziadavka",VLOOKUP(G358,MODULY_CBA!$B$3:$E$23,3,0),),)</f>
        <v>0.99499999999999988</v>
      </c>
      <c r="N358" s="381">
        <f>IFERROR(IF(B358="funkcna poziadavka",VLOOKUP(G358,MODULY_CBA!$B$3:$E$23,2,0),),)</f>
        <v>0.99</v>
      </c>
      <c r="O358" s="380">
        <f t="shared" si="27"/>
        <v>5.9102999999999986</v>
      </c>
      <c r="P358" s="379">
        <f>IFERROR(O358*VLOOKUP(G358,MODULY_CBA!$B$3:$F$23,5,0),)</f>
        <v>118.20599999999997</v>
      </c>
      <c r="Q358" s="480" t="str">
        <f>IFERROR(VLOOKUP(G358,MODULY_CBA!$B$3:$I$23,6,0),"")</f>
        <v>Inkrement 1</v>
      </c>
    </row>
    <row r="359" spans="1:17" ht="38.25">
      <c r="A359" s="682" t="s">
        <v>1642</v>
      </c>
      <c r="B359" s="402" t="s">
        <v>749</v>
      </c>
      <c r="C359" s="532"/>
      <c r="D359" s="532" t="s">
        <v>1769</v>
      </c>
      <c r="E359" s="532" t="s">
        <v>1770</v>
      </c>
      <c r="F359" s="390" t="s">
        <v>806</v>
      </c>
      <c r="G359" s="390" t="s">
        <v>802</v>
      </c>
      <c r="H359" s="381">
        <v>1</v>
      </c>
      <c r="I359" s="381">
        <v>5</v>
      </c>
      <c r="K359" s="381">
        <f t="shared" si="26"/>
        <v>5</v>
      </c>
      <c r="L359" s="644">
        <f>IFERROR(IF(B359="funkcna poziadavka",VLOOKUP(G359,MODULY_CBA!$B$3:$E$23,4,0)*H359/SUMIFS($H$3:$H$168,$G$3:$G$168,G359,$B$3:$B$168,B359),),)</f>
        <v>1</v>
      </c>
      <c r="M359" s="381">
        <f>IFERROR(IF(B359="Funkcna poziadavka",VLOOKUP(G359,MODULY_CBA!$B$3:$E$23,3,0),),)</f>
        <v>0.99499999999999988</v>
      </c>
      <c r="N359" s="381">
        <f>IFERROR(IF(B359="funkcna poziadavka",VLOOKUP(G359,MODULY_CBA!$B$3:$E$23,2,0),),)</f>
        <v>0.99</v>
      </c>
      <c r="O359" s="380">
        <f t="shared" si="27"/>
        <v>5.9102999999999986</v>
      </c>
      <c r="P359" s="379">
        <f>IFERROR(O359*VLOOKUP(G359,MODULY_CBA!$B$3:$F$23,5,0),)</f>
        <v>118.20599999999997</v>
      </c>
      <c r="Q359" s="480" t="str">
        <f>IFERROR(VLOOKUP(G359,MODULY_CBA!$B$3:$I$23,6,0),"")</f>
        <v>Inkrement 1</v>
      </c>
    </row>
    <row r="360" spans="1:17" ht="25.5">
      <c r="A360" s="682" t="s">
        <v>1645</v>
      </c>
      <c r="B360" s="402" t="s">
        <v>749</v>
      </c>
      <c r="C360" s="532"/>
      <c r="D360" s="532" t="s">
        <v>1772</v>
      </c>
      <c r="E360" s="532" t="s">
        <v>1773</v>
      </c>
      <c r="F360" s="390" t="s">
        <v>806</v>
      </c>
      <c r="G360" s="390" t="s">
        <v>802</v>
      </c>
      <c r="H360" s="381">
        <v>1</v>
      </c>
      <c r="I360" s="381">
        <v>5</v>
      </c>
      <c r="K360" s="381">
        <f t="shared" si="26"/>
        <v>5</v>
      </c>
      <c r="L360" s="644">
        <f>IFERROR(IF(B360="funkcna poziadavka",VLOOKUP(G360,MODULY_CBA!$B$3:$E$23,4,0)*H360/SUMIFS($H$3:$H$168,$G$3:$G$168,G360,$B$3:$B$168,B360),),)</f>
        <v>1</v>
      </c>
      <c r="M360" s="381">
        <f>IFERROR(IF(B360="Funkcna poziadavka",VLOOKUP(G360,MODULY_CBA!$B$3:$E$23,3,0),),)</f>
        <v>0.99499999999999988</v>
      </c>
      <c r="N360" s="381">
        <f>IFERROR(IF(B360="funkcna poziadavka",VLOOKUP(G360,MODULY_CBA!$B$3:$E$23,2,0),),)</f>
        <v>0.99</v>
      </c>
      <c r="O360" s="380">
        <f t="shared" si="27"/>
        <v>5.9102999999999986</v>
      </c>
      <c r="P360" s="379">
        <f>IFERROR(O360*VLOOKUP(G360,MODULY_CBA!$B$3:$F$23,5,0),)</f>
        <v>118.20599999999997</v>
      </c>
      <c r="Q360" s="480" t="str">
        <f>IFERROR(VLOOKUP(G360,MODULY_CBA!$B$3:$I$23,6,0),"")</f>
        <v>Inkrement 1</v>
      </c>
    </row>
    <row r="361" spans="1:17" ht="38.25">
      <c r="A361" s="682" t="s">
        <v>1648</v>
      </c>
      <c r="B361" s="402" t="s">
        <v>749</v>
      </c>
      <c r="C361" s="532"/>
      <c r="D361" s="532" t="s">
        <v>1775</v>
      </c>
      <c r="E361" s="532" t="s">
        <v>1776</v>
      </c>
      <c r="F361" s="390" t="s">
        <v>806</v>
      </c>
      <c r="G361" s="390" t="s">
        <v>802</v>
      </c>
      <c r="H361" s="381">
        <v>1</v>
      </c>
      <c r="I361" s="381">
        <v>5</v>
      </c>
      <c r="K361" s="381">
        <f t="shared" si="26"/>
        <v>5</v>
      </c>
      <c r="L361" s="644">
        <f>IFERROR(IF(B361="funkcna poziadavka",VLOOKUP(G361,MODULY_CBA!$B$3:$E$23,4,0)*H361/SUMIFS($H$3:$H$168,$G$3:$G$168,G361,$B$3:$B$168,B361),),)</f>
        <v>1</v>
      </c>
      <c r="M361" s="381">
        <f>IFERROR(IF(B361="Funkcna poziadavka",VLOOKUP(G361,MODULY_CBA!$B$3:$E$23,3,0),),)</f>
        <v>0.99499999999999988</v>
      </c>
      <c r="N361" s="381">
        <f>IFERROR(IF(B361="funkcna poziadavka",VLOOKUP(G361,MODULY_CBA!$B$3:$E$23,2,0),),)</f>
        <v>0.99</v>
      </c>
      <c r="O361" s="380">
        <f t="shared" si="27"/>
        <v>5.9102999999999986</v>
      </c>
      <c r="P361" s="379">
        <f>IFERROR(O361*VLOOKUP(G361,MODULY_CBA!$B$3:$F$23,5,0),)</f>
        <v>118.20599999999997</v>
      </c>
      <c r="Q361" s="480" t="str">
        <f>IFERROR(VLOOKUP(G361,MODULY_CBA!$B$3:$I$23,6,0),"")</f>
        <v>Inkrement 1</v>
      </c>
    </row>
    <row r="362" spans="1:17" ht="25.5">
      <c r="A362" s="682" t="s">
        <v>1651</v>
      </c>
      <c r="B362" s="402" t="s">
        <v>749</v>
      </c>
      <c r="C362" s="532"/>
      <c r="D362" s="532" t="s">
        <v>1778</v>
      </c>
      <c r="E362" s="532" t="s">
        <v>1779</v>
      </c>
      <c r="F362" s="390" t="s">
        <v>806</v>
      </c>
      <c r="G362" s="390" t="s">
        <v>802</v>
      </c>
      <c r="H362" s="381">
        <v>1</v>
      </c>
      <c r="I362" s="381">
        <v>10</v>
      </c>
      <c r="K362" s="381">
        <f t="shared" si="26"/>
        <v>10</v>
      </c>
      <c r="L362" s="644">
        <f>IFERROR(IF(B362="funkcna poziadavka",VLOOKUP(G362,MODULY_CBA!$B$3:$E$23,4,0)*H362/SUMIFS($H$3:$H$168,$G$3:$G$168,G362,$B$3:$B$168,B362),),)</f>
        <v>1</v>
      </c>
      <c r="M362" s="381">
        <f>IFERROR(IF(B362="Funkcna poziadavka",VLOOKUP(G362,MODULY_CBA!$B$3:$E$23,3,0),),)</f>
        <v>0.99499999999999988</v>
      </c>
      <c r="N362" s="381">
        <f>IFERROR(IF(B362="funkcna poziadavka",VLOOKUP(G362,MODULY_CBA!$B$3:$E$23,2,0),),)</f>
        <v>0.99</v>
      </c>
      <c r="O362" s="380">
        <f t="shared" si="27"/>
        <v>10.835549999999998</v>
      </c>
      <c r="P362" s="379">
        <f>IFERROR(O362*VLOOKUP(G362,MODULY_CBA!$B$3:$F$23,5,0),)</f>
        <v>216.71099999999996</v>
      </c>
      <c r="Q362" s="480" t="str">
        <f>IFERROR(VLOOKUP(G362,MODULY_CBA!$B$3:$I$23,6,0),"")</f>
        <v>Inkrement 1</v>
      </c>
    </row>
    <row r="363" spans="1:17" ht="38.25">
      <c r="A363" s="682" t="s">
        <v>1654</v>
      </c>
      <c r="B363" s="402" t="s">
        <v>749</v>
      </c>
      <c r="C363" s="532"/>
      <c r="D363" s="532" t="s">
        <v>1781</v>
      </c>
      <c r="E363" s="532" t="s">
        <v>1782</v>
      </c>
      <c r="F363" s="390" t="s">
        <v>806</v>
      </c>
      <c r="G363" s="390" t="s">
        <v>802</v>
      </c>
      <c r="H363" s="381">
        <v>1</v>
      </c>
      <c r="I363" s="381">
        <v>5</v>
      </c>
      <c r="K363" s="381">
        <f t="shared" si="26"/>
        <v>5</v>
      </c>
      <c r="L363" s="644">
        <f>IFERROR(IF(B363="funkcna poziadavka",VLOOKUP(G363,MODULY_CBA!$B$3:$E$23,4,0)*H363/SUMIFS($H$3:$H$168,$G$3:$G$168,G363,$B$3:$B$168,B363),),)</f>
        <v>1</v>
      </c>
      <c r="M363" s="381">
        <f>IFERROR(IF(B363="Funkcna poziadavka",VLOOKUP(G363,MODULY_CBA!$B$3:$E$23,3,0),),)</f>
        <v>0.99499999999999988</v>
      </c>
      <c r="N363" s="381">
        <f>IFERROR(IF(B363="funkcna poziadavka",VLOOKUP(G363,MODULY_CBA!$B$3:$E$23,2,0),),)</f>
        <v>0.99</v>
      </c>
      <c r="O363" s="380">
        <f t="shared" si="27"/>
        <v>5.9102999999999986</v>
      </c>
      <c r="P363" s="379">
        <f>IFERROR(O363*VLOOKUP(G363,MODULY_CBA!$B$3:$F$23,5,0),)</f>
        <v>118.20599999999997</v>
      </c>
      <c r="Q363" s="480" t="str">
        <f>IFERROR(VLOOKUP(G363,MODULY_CBA!$B$3:$I$23,6,0),"")</f>
        <v>Inkrement 1</v>
      </c>
    </row>
    <row r="364" spans="1:17" ht="38.25">
      <c r="A364" s="682" t="s">
        <v>1657</v>
      </c>
      <c r="B364" s="402" t="s">
        <v>749</v>
      </c>
      <c r="C364" s="532"/>
      <c r="D364" s="532" t="s">
        <v>1784</v>
      </c>
      <c r="E364" s="532" t="s">
        <v>1785</v>
      </c>
      <c r="F364" s="390" t="s">
        <v>806</v>
      </c>
      <c r="G364" s="390" t="s">
        <v>802</v>
      </c>
      <c r="H364" s="381">
        <v>1</v>
      </c>
      <c r="I364" s="381">
        <v>5</v>
      </c>
      <c r="K364" s="381">
        <f t="shared" si="26"/>
        <v>5</v>
      </c>
      <c r="L364" s="644">
        <f>IFERROR(IF(B364="funkcna poziadavka",VLOOKUP(G364,MODULY_CBA!$B$3:$E$23,4,0)*H364/SUMIFS($H$3:$H$168,$G$3:$G$168,G364,$B$3:$B$168,B364),),)</f>
        <v>1</v>
      </c>
      <c r="M364" s="381">
        <f>IFERROR(IF(B364="Funkcna poziadavka",VLOOKUP(G364,MODULY_CBA!$B$3:$E$23,3,0),),)</f>
        <v>0.99499999999999988</v>
      </c>
      <c r="N364" s="381">
        <f>IFERROR(IF(B364="funkcna poziadavka",VLOOKUP(G364,MODULY_CBA!$B$3:$E$23,2,0),),)</f>
        <v>0.99</v>
      </c>
      <c r="O364" s="380">
        <f t="shared" si="27"/>
        <v>5.9102999999999986</v>
      </c>
      <c r="P364" s="379">
        <f>IFERROR(O364*VLOOKUP(G364,MODULY_CBA!$B$3:$F$23,5,0),)</f>
        <v>118.20599999999997</v>
      </c>
      <c r="Q364" s="480" t="str">
        <f>IFERROR(VLOOKUP(G364,MODULY_CBA!$B$3:$I$23,6,0),"")</f>
        <v>Inkrement 1</v>
      </c>
    </row>
    <row r="365" spans="1:17" ht="38.25">
      <c r="A365" s="682" t="s">
        <v>1660</v>
      </c>
      <c r="B365" s="402" t="s">
        <v>749</v>
      </c>
      <c r="C365" s="532"/>
      <c r="D365" s="532" t="s">
        <v>1787</v>
      </c>
      <c r="E365" s="532" t="s">
        <v>1788</v>
      </c>
      <c r="F365" s="390" t="s">
        <v>806</v>
      </c>
      <c r="G365" s="390" t="s">
        <v>802</v>
      </c>
      <c r="H365" s="381">
        <v>1</v>
      </c>
      <c r="I365" s="381">
        <v>5</v>
      </c>
      <c r="K365" s="381">
        <f t="shared" si="26"/>
        <v>5</v>
      </c>
      <c r="L365" s="644">
        <f>IFERROR(IF(B365="funkcna poziadavka",VLOOKUP(G365,MODULY_CBA!$B$3:$E$23,4,0)*H365/SUMIFS($H$3:$H$168,$G$3:$G$168,G365,$B$3:$B$168,B365),),)</f>
        <v>1</v>
      </c>
      <c r="M365" s="381">
        <f>IFERROR(IF(B365="Funkcna poziadavka",VLOOKUP(G365,MODULY_CBA!$B$3:$E$23,3,0),),)</f>
        <v>0.99499999999999988</v>
      </c>
      <c r="N365" s="381">
        <f>IFERROR(IF(B365="funkcna poziadavka",VLOOKUP(G365,MODULY_CBA!$B$3:$E$23,2,0),),)</f>
        <v>0.99</v>
      </c>
      <c r="O365" s="380">
        <f t="shared" si="27"/>
        <v>5.9102999999999986</v>
      </c>
      <c r="P365" s="379">
        <f>IFERROR(O365*VLOOKUP(G365,MODULY_CBA!$B$3:$F$23,5,0),)</f>
        <v>118.20599999999997</v>
      </c>
      <c r="Q365" s="480" t="str">
        <f>IFERROR(VLOOKUP(G365,MODULY_CBA!$B$3:$I$23,6,0),"")</f>
        <v>Inkrement 1</v>
      </c>
    </row>
    <row r="366" spans="1:17" ht="38.25">
      <c r="A366" s="682" t="s">
        <v>1663</v>
      </c>
      <c r="B366" s="402" t="s">
        <v>749</v>
      </c>
      <c r="C366" s="532"/>
      <c r="D366" s="532" t="s">
        <v>1790</v>
      </c>
      <c r="E366" s="532" t="s">
        <v>1791</v>
      </c>
      <c r="F366" s="390" t="s">
        <v>806</v>
      </c>
      <c r="G366" s="390" t="s">
        <v>802</v>
      </c>
      <c r="H366" s="381">
        <v>1</v>
      </c>
      <c r="I366" s="381">
        <v>5</v>
      </c>
      <c r="K366" s="381">
        <f t="shared" si="26"/>
        <v>5</v>
      </c>
      <c r="L366" s="644">
        <f>IFERROR(IF(B366="funkcna poziadavka",VLOOKUP(G366,MODULY_CBA!$B$3:$E$23,4,0)*H366/SUMIFS($H$3:$H$168,$G$3:$G$168,G366,$B$3:$B$168,B366),),)</f>
        <v>1</v>
      </c>
      <c r="M366" s="381">
        <f>IFERROR(IF(B366="Funkcna poziadavka",VLOOKUP(G366,MODULY_CBA!$B$3:$E$23,3,0),),)</f>
        <v>0.99499999999999988</v>
      </c>
      <c r="N366" s="381">
        <f>IFERROR(IF(B366="funkcna poziadavka",VLOOKUP(G366,MODULY_CBA!$B$3:$E$23,2,0),),)</f>
        <v>0.99</v>
      </c>
      <c r="O366" s="380">
        <f t="shared" si="27"/>
        <v>5.9102999999999986</v>
      </c>
      <c r="P366" s="379">
        <f>IFERROR(O366*VLOOKUP(G366,MODULY_CBA!$B$3:$F$23,5,0),)</f>
        <v>118.20599999999997</v>
      </c>
      <c r="Q366" s="480" t="str">
        <f>IFERROR(VLOOKUP(G366,MODULY_CBA!$B$3:$I$23,6,0),"")</f>
        <v>Inkrement 1</v>
      </c>
    </row>
    <row r="367" spans="1:17" ht="51">
      <c r="A367" s="682" t="s">
        <v>1666</v>
      </c>
      <c r="B367" s="402" t="s">
        <v>749</v>
      </c>
      <c r="C367" s="532"/>
      <c r="D367" s="532" t="s">
        <v>1793</v>
      </c>
      <c r="E367" s="532" t="s">
        <v>1794</v>
      </c>
      <c r="F367" s="390" t="s">
        <v>806</v>
      </c>
      <c r="G367" s="390" t="s">
        <v>802</v>
      </c>
      <c r="H367" s="381">
        <v>1</v>
      </c>
      <c r="I367" s="381">
        <v>5</v>
      </c>
      <c r="K367" s="381">
        <f t="shared" si="26"/>
        <v>5</v>
      </c>
      <c r="L367" s="644">
        <f>IFERROR(IF(B367="funkcna poziadavka",VLOOKUP(G367,MODULY_CBA!$B$3:$E$23,4,0)*H367/SUMIFS($H$3:$H$168,$G$3:$G$168,G367,$B$3:$B$168,B367),),)</f>
        <v>1</v>
      </c>
      <c r="M367" s="381">
        <f>IFERROR(IF(B367="Funkcna poziadavka",VLOOKUP(G367,MODULY_CBA!$B$3:$E$23,3,0),),)</f>
        <v>0.99499999999999988</v>
      </c>
      <c r="N367" s="381">
        <f>IFERROR(IF(B367="funkcna poziadavka",VLOOKUP(G367,MODULY_CBA!$B$3:$E$23,2,0),),)</f>
        <v>0.99</v>
      </c>
      <c r="O367" s="380">
        <f t="shared" si="27"/>
        <v>5.9102999999999986</v>
      </c>
      <c r="P367" s="379">
        <f>IFERROR(O367*VLOOKUP(G367,MODULY_CBA!$B$3:$F$23,5,0),)</f>
        <v>118.20599999999997</v>
      </c>
      <c r="Q367" s="480" t="str">
        <f>IFERROR(VLOOKUP(G367,MODULY_CBA!$B$3:$I$23,6,0),"")</f>
        <v>Inkrement 1</v>
      </c>
    </row>
    <row r="368" spans="1:17" ht="38.25">
      <c r="A368" s="682" t="s">
        <v>1669</v>
      </c>
      <c r="B368" s="402" t="s">
        <v>749</v>
      </c>
      <c r="C368" s="532"/>
      <c r="D368" s="532" t="s">
        <v>1796</v>
      </c>
      <c r="E368" s="532" t="s">
        <v>1797</v>
      </c>
      <c r="F368" s="390" t="s">
        <v>806</v>
      </c>
      <c r="G368" s="390" t="s">
        <v>802</v>
      </c>
      <c r="H368" s="381">
        <v>1</v>
      </c>
      <c r="I368" s="381">
        <v>5</v>
      </c>
      <c r="K368" s="381">
        <f t="shared" si="26"/>
        <v>5</v>
      </c>
      <c r="L368" s="644">
        <f>IFERROR(IF(B368="funkcna poziadavka",VLOOKUP(G368,MODULY_CBA!$B$3:$E$23,4,0)*H368/SUMIFS($H$3:$H$168,$G$3:$G$168,G368,$B$3:$B$168,B368),),)</f>
        <v>1</v>
      </c>
      <c r="M368" s="381">
        <f>IFERROR(IF(B368="Funkcna poziadavka",VLOOKUP(G368,MODULY_CBA!$B$3:$E$23,3,0),),)</f>
        <v>0.99499999999999988</v>
      </c>
      <c r="N368" s="381">
        <f>IFERROR(IF(B368="funkcna poziadavka",VLOOKUP(G368,MODULY_CBA!$B$3:$E$23,2,0),),)</f>
        <v>0.99</v>
      </c>
      <c r="O368" s="380">
        <f t="shared" si="27"/>
        <v>5.9102999999999986</v>
      </c>
      <c r="P368" s="379">
        <f>IFERROR(O368*VLOOKUP(G368,MODULY_CBA!$B$3:$F$23,5,0),)</f>
        <v>118.20599999999997</v>
      </c>
      <c r="Q368" s="480" t="str">
        <f>IFERROR(VLOOKUP(G368,MODULY_CBA!$B$3:$I$23,6,0),"")</f>
        <v>Inkrement 1</v>
      </c>
    </row>
    <row r="369" spans="1:17" ht="25.5">
      <c r="A369" s="682" t="s">
        <v>1672</v>
      </c>
      <c r="B369" s="402" t="s">
        <v>749</v>
      </c>
      <c r="C369" s="532"/>
      <c r="D369" s="532" t="s">
        <v>1799</v>
      </c>
      <c r="E369" s="532" t="s">
        <v>1800</v>
      </c>
      <c r="F369" s="390" t="s">
        <v>806</v>
      </c>
      <c r="G369" s="390" t="s">
        <v>802</v>
      </c>
      <c r="H369" s="381">
        <v>1</v>
      </c>
      <c r="I369" s="381">
        <v>5</v>
      </c>
      <c r="K369" s="381">
        <f t="shared" si="26"/>
        <v>5</v>
      </c>
      <c r="L369" s="644">
        <f>IFERROR(IF(B369="funkcna poziadavka",VLOOKUP(G369,MODULY_CBA!$B$3:$E$23,4,0)*H369/SUMIFS($H$3:$H$168,$G$3:$G$168,G369,$B$3:$B$168,B369),),)</f>
        <v>1</v>
      </c>
      <c r="M369" s="381">
        <f>IFERROR(IF(B369="Funkcna poziadavka",VLOOKUP(G369,MODULY_CBA!$B$3:$E$23,3,0),),)</f>
        <v>0.99499999999999988</v>
      </c>
      <c r="N369" s="381">
        <f>IFERROR(IF(B369="funkcna poziadavka",VLOOKUP(G369,MODULY_CBA!$B$3:$E$23,2,0),),)</f>
        <v>0.99</v>
      </c>
      <c r="O369" s="380">
        <f t="shared" si="27"/>
        <v>5.9102999999999986</v>
      </c>
      <c r="P369" s="379">
        <f>IFERROR(O369*VLOOKUP(G369,MODULY_CBA!$B$3:$F$23,5,0),)</f>
        <v>118.20599999999997</v>
      </c>
      <c r="Q369" s="480" t="str">
        <f>IFERROR(VLOOKUP(G369,MODULY_CBA!$B$3:$I$23,6,0),"")</f>
        <v>Inkrement 1</v>
      </c>
    </row>
    <row r="370" spans="1:17" ht="38.25">
      <c r="A370" s="682" t="s">
        <v>1675</v>
      </c>
      <c r="B370" s="402" t="s">
        <v>749</v>
      </c>
      <c r="C370" s="532"/>
      <c r="D370" s="532" t="s">
        <v>1802</v>
      </c>
      <c r="E370" s="532" t="s">
        <v>1803</v>
      </c>
      <c r="F370" s="390" t="s">
        <v>806</v>
      </c>
      <c r="G370" s="390" t="s">
        <v>802</v>
      </c>
      <c r="H370" s="381">
        <v>1</v>
      </c>
      <c r="I370" s="381">
        <v>5</v>
      </c>
      <c r="K370" s="381">
        <f t="shared" si="26"/>
        <v>5</v>
      </c>
      <c r="L370" s="644">
        <f>IFERROR(IF(B370="funkcna poziadavka",VLOOKUP(G370,MODULY_CBA!$B$3:$E$23,4,0)*H370/SUMIFS($H$3:$H$168,$G$3:$G$168,G370,$B$3:$B$168,B370),),)</f>
        <v>1</v>
      </c>
      <c r="M370" s="381">
        <f>IFERROR(IF(B370="Funkcna poziadavka",VLOOKUP(G370,MODULY_CBA!$B$3:$E$23,3,0),),)</f>
        <v>0.99499999999999988</v>
      </c>
      <c r="N370" s="381">
        <f>IFERROR(IF(B370="funkcna poziadavka",VLOOKUP(G370,MODULY_CBA!$B$3:$E$23,2,0),),)</f>
        <v>0.99</v>
      </c>
      <c r="O370" s="380">
        <f t="shared" si="27"/>
        <v>5.9102999999999986</v>
      </c>
      <c r="P370" s="379">
        <f>IFERROR(O370*VLOOKUP(G370,MODULY_CBA!$B$3:$F$23,5,0),)</f>
        <v>118.20599999999997</v>
      </c>
      <c r="Q370" s="480" t="str">
        <f>IFERROR(VLOOKUP(G370,MODULY_CBA!$B$3:$I$23,6,0),"")</f>
        <v>Inkrement 1</v>
      </c>
    </row>
    <row r="371" spans="1:17" s="693" customFormat="1" ht="51">
      <c r="A371" s="682" t="s">
        <v>1678</v>
      </c>
      <c r="B371" s="710" t="s">
        <v>749</v>
      </c>
      <c r="C371" s="712"/>
      <c r="D371" s="712" t="s">
        <v>2502</v>
      </c>
      <c r="E371" s="712" t="s">
        <v>2503</v>
      </c>
      <c r="F371" s="709" t="s">
        <v>806</v>
      </c>
      <c r="G371" s="709" t="s">
        <v>786</v>
      </c>
      <c r="H371" s="714">
        <v>1</v>
      </c>
      <c r="I371" s="714">
        <v>5</v>
      </c>
      <c r="J371" s="694"/>
      <c r="K371" s="708">
        <f t="shared" ref="K371" si="28">H371*I371</f>
        <v>5</v>
      </c>
      <c r="L371" s="713">
        <f>IFERROR(IF(B371="funkcna poziadavka",VLOOKUP(G371,MODULY_CBA!$B$3:$E$23,4,0)*H371/SUMIFS($H$3:$H$168,$G$3:$G$168,G371,$B$3:$B$168,B371),),)</f>
        <v>12</v>
      </c>
      <c r="M371" s="708">
        <f>IFERROR(IF(B371="Funkcna poziadavka",VLOOKUP(G371,MODULY_CBA!$B$3:$E$23,3,0),),)</f>
        <v>0.99499999999999988</v>
      </c>
      <c r="N371" s="708">
        <f>IFERROR(IF(B371="funkcna poziadavka",VLOOKUP(G371,MODULY_CBA!$B$3:$E$23,2,0),),)</f>
        <v>0.99</v>
      </c>
      <c r="O371" s="707">
        <f t="shared" ref="O371" si="29">(K371+L371)*M371*N371</f>
        <v>16.745849999999997</v>
      </c>
      <c r="P371" s="706">
        <f>IFERROR(O371*VLOOKUP(G371,MODULY_CBA!$B$3:$F$23,5,0),)</f>
        <v>334.91699999999992</v>
      </c>
      <c r="Q371" s="711" t="str">
        <f>IFERROR(VLOOKUP(G371,MODULY_CBA!$B$3:$I$23,6,0),"")</f>
        <v>Inkrement 1</v>
      </c>
    </row>
    <row r="372" spans="1:17" ht="25.5">
      <c r="A372" s="682" t="s">
        <v>1681</v>
      </c>
      <c r="B372" s="402" t="s">
        <v>749</v>
      </c>
      <c r="C372" s="532"/>
      <c r="D372" s="532" t="s">
        <v>1805</v>
      </c>
      <c r="E372" s="532" t="s">
        <v>1806</v>
      </c>
      <c r="F372" s="390" t="s">
        <v>806</v>
      </c>
      <c r="G372" s="390" t="s">
        <v>786</v>
      </c>
      <c r="H372" s="381">
        <v>1</v>
      </c>
      <c r="I372" s="381">
        <v>5</v>
      </c>
      <c r="K372" s="381">
        <f t="shared" si="26"/>
        <v>5</v>
      </c>
      <c r="L372" s="644">
        <f>IFERROR(IF(B372="funkcna poziadavka",VLOOKUP(G372,MODULY_CBA!$B$3:$E$23,4,0)*H372/SUMIFS($H$3:$H$168,$G$3:$G$168,G372,$B$3:$B$168,B372),),)</f>
        <v>12</v>
      </c>
      <c r="M372" s="381">
        <f>IFERROR(IF(B372="Funkcna poziadavka",VLOOKUP(G372,MODULY_CBA!$B$3:$E$23,3,0),),)</f>
        <v>0.99499999999999988</v>
      </c>
      <c r="N372" s="381">
        <f>IFERROR(IF(B372="funkcna poziadavka",VLOOKUP(G372,MODULY_CBA!$B$3:$E$23,2,0),),)</f>
        <v>0.99</v>
      </c>
      <c r="O372" s="380">
        <f t="shared" si="27"/>
        <v>16.745849999999997</v>
      </c>
      <c r="P372" s="379">
        <f>IFERROR(O372*VLOOKUP(G372,MODULY_CBA!$B$3:$F$23,5,0),)</f>
        <v>334.91699999999992</v>
      </c>
      <c r="Q372" s="480" t="str">
        <f>IFERROR(VLOOKUP(G372,MODULY_CBA!$B$3:$I$23,6,0),"")</f>
        <v>Inkrement 1</v>
      </c>
    </row>
    <row r="373" spans="1:17">
      <c r="A373" s="682" t="s">
        <v>1684</v>
      </c>
      <c r="B373" s="402" t="s">
        <v>749</v>
      </c>
      <c r="C373" s="532"/>
      <c r="D373" s="532" t="s">
        <v>1808</v>
      </c>
      <c r="E373" s="532" t="s">
        <v>1809</v>
      </c>
      <c r="F373" s="390" t="s">
        <v>806</v>
      </c>
      <c r="G373" s="390" t="s">
        <v>786</v>
      </c>
      <c r="H373" s="381">
        <v>1</v>
      </c>
      <c r="I373" s="381">
        <v>5</v>
      </c>
      <c r="K373" s="381">
        <f t="shared" si="26"/>
        <v>5</v>
      </c>
      <c r="L373" s="644">
        <f>IFERROR(IF(B373="funkcna poziadavka",VLOOKUP(G373,MODULY_CBA!$B$3:$E$23,4,0)*H373/SUMIFS($H$3:$H$168,$G$3:$G$168,G373,$B$3:$B$168,B373),),)</f>
        <v>12</v>
      </c>
      <c r="M373" s="381">
        <f>IFERROR(IF(B373="Funkcna poziadavka",VLOOKUP(G373,MODULY_CBA!$B$3:$E$23,3,0),),)</f>
        <v>0.99499999999999988</v>
      </c>
      <c r="N373" s="381">
        <f>IFERROR(IF(B373="funkcna poziadavka",VLOOKUP(G373,MODULY_CBA!$B$3:$E$23,2,0),),)</f>
        <v>0.99</v>
      </c>
      <c r="O373" s="380">
        <f t="shared" si="27"/>
        <v>16.745849999999997</v>
      </c>
      <c r="P373" s="379">
        <f>IFERROR(O373*VLOOKUP(G373,MODULY_CBA!$B$3:$F$23,5,0),)</f>
        <v>334.91699999999992</v>
      </c>
      <c r="Q373" s="480" t="str">
        <f>IFERROR(VLOOKUP(G373,MODULY_CBA!$B$3:$I$23,6,0),"")</f>
        <v>Inkrement 1</v>
      </c>
    </row>
    <row r="374" spans="1:17" ht="38.25">
      <c r="A374" s="682" t="s">
        <v>1687</v>
      </c>
      <c r="B374" s="402" t="s">
        <v>749</v>
      </c>
      <c r="C374" s="532"/>
      <c r="D374" s="532" t="s">
        <v>1811</v>
      </c>
      <c r="E374" s="532" t="s">
        <v>1812</v>
      </c>
      <c r="F374" s="390" t="s">
        <v>806</v>
      </c>
      <c r="G374" s="390" t="s">
        <v>786</v>
      </c>
      <c r="H374" s="381">
        <v>1</v>
      </c>
      <c r="I374" s="381">
        <v>5</v>
      </c>
      <c r="K374" s="381">
        <f t="shared" si="26"/>
        <v>5</v>
      </c>
      <c r="L374" s="644">
        <f>IFERROR(IF(B374="funkcna poziadavka",VLOOKUP(G374,MODULY_CBA!$B$3:$E$23,4,0)*H374/SUMIFS($H$3:$H$168,$G$3:$G$168,G374,$B$3:$B$168,B374),),)</f>
        <v>12</v>
      </c>
      <c r="M374" s="381">
        <f>IFERROR(IF(B374="Funkcna poziadavka",VLOOKUP(G374,MODULY_CBA!$B$3:$E$23,3,0),),)</f>
        <v>0.99499999999999988</v>
      </c>
      <c r="N374" s="381">
        <f>IFERROR(IF(B374="funkcna poziadavka",VLOOKUP(G374,MODULY_CBA!$B$3:$E$23,2,0),),)</f>
        <v>0.99</v>
      </c>
      <c r="O374" s="380">
        <f t="shared" si="27"/>
        <v>16.745849999999997</v>
      </c>
      <c r="P374" s="379">
        <f>IFERROR(O374*VLOOKUP(G374,MODULY_CBA!$B$3:$F$23,5,0),)</f>
        <v>334.91699999999992</v>
      </c>
      <c r="Q374" s="480" t="str">
        <f>IFERROR(VLOOKUP(G374,MODULY_CBA!$B$3:$I$23,6,0),"")</f>
        <v>Inkrement 1</v>
      </c>
    </row>
    <row r="375" spans="1:17">
      <c r="A375" s="682" t="s">
        <v>1690</v>
      </c>
      <c r="B375" s="402" t="s">
        <v>749</v>
      </c>
      <c r="C375" s="532"/>
      <c r="D375" s="532" t="s">
        <v>1814</v>
      </c>
      <c r="E375" s="532" t="s">
        <v>1815</v>
      </c>
      <c r="F375" s="390" t="s">
        <v>806</v>
      </c>
      <c r="G375" s="390" t="s">
        <v>786</v>
      </c>
      <c r="H375" s="381">
        <v>1</v>
      </c>
      <c r="I375" s="381">
        <v>5</v>
      </c>
      <c r="K375" s="381">
        <f t="shared" si="26"/>
        <v>5</v>
      </c>
      <c r="L375" s="644">
        <f>IFERROR(IF(B375="funkcna poziadavka",VLOOKUP(G375,MODULY_CBA!$B$3:$E$23,4,0)*H375/SUMIFS($H$3:$H$168,$G$3:$G$168,G375,$B$3:$B$168,B375),),)</f>
        <v>12</v>
      </c>
      <c r="M375" s="381">
        <f>IFERROR(IF(B375="Funkcna poziadavka",VLOOKUP(G375,MODULY_CBA!$B$3:$E$23,3,0),),)</f>
        <v>0.99499999999999988</v>
      </c>
      <c r="N375" s="381">
        <f>IFERROR(IF(B375="funkcna poziadavka",VLOOKUP(G375,MODULY_CBA!$B$3:$E$23,2,0),),)</f>
        <v>0.99</v>
      </c>
      <c r="O375" s="380">
        <f t="shared" si="27"/>
        <v>16.745849999999997</v>
      </c>
      <c r="P375" s="379">
        <f>IFERROR(O375*VLOOKUP(G375,MODULY_CBA!$B$3:$F$23,5,0),)</f>
        <v>334.91699999999992</v>
      </c>
      <c r="Q375" s="480" t="str">
        <f>IFERROR(VLOOKUP(G375,MODULY_CBA!$B$3:$I$23,6,0),"")</f>
        <v>Inkrement 1</v>
      </c>
    </row>
    <row r="376" spans="1:17">
      <c r="A376" s="682" t="s">
        <v>1693</v>
      </c>
      <c r="B376" s="402" t="s">
        <v>749</v>
      </c>
      <c r="C376" s="532"/>
      <c r="D376" s="532" t="s">
        <v>1817</v>
      </c>
      <c r="E376" s="532" t="s">
        <v>1818</v>
      </c>
      <c r="F376" s="390" t="s">
        <v>806</v>
      </c>
      <c r="G376" s="390" t="s">
        <v>786</v>
      </c>
      <c r="H376" s="381">
        <v>1</v>
      </c>
      <c r="I376" s="381">
        <v>5</v>
      </c>
      <c r="K376" s="381">
        <f t="shared" si="26"/>
        <v>5</v>
      </c>
      <c r="L376" s="644">
        <f>IFERROR(IF(B376="funkcna poziadavka",VLOOKUP(G376,MODULY_CBA!$B$3:$E$23,4,0)*H376/SUMIFS($H$3:$H$168,$G$3:$G$168,G376,$B$3:$B$168,B376),),)</f>
        <v>12</v>
      </c>
      <c r="M376" s="381">
        <f>IFERROR(IF(B376="Funkcna poziadavka",VLOOKUP(G376,MODULY_CBA!$B$3:$E$23,3,0),),)</f>
        <v>0.99499999999999988</v>
      </c>
      <c r="N376" s="381">
        <f>IFERROR(IF(B376="funkcna poziadavka",VLOOKUP(G376,MODULY_CBA!$B$3:$E$23,2,0),),)</f>
        <v>0.99</v>
      </c>
      <c r="O376" s="380">
        <f t="shared" si="27"/>
        <v>16.745849999999997</v>
      </c>
      <c r="P376" s="379">
        <f>IFERROR(O376*VLOOKUP(G376,MODULY_CBA!$B$3:$F$23,5,0),)</f>
        <v>334.91699999999992</v>
      </c>
      <c r="Q376" s="480" t="str">
        <f>IFERROR(VLOOKUP(G376,MODULY_CBA!$B$3:$I$23,6,0),"")</f>
        <v>Inkrement 1</v>
      </c>
    </row>
    <row r="377" spans="1:17">
      <c r="A377" s="682" t="s">
        <v>1696</v>
      </c>
      <c r="B377" s="402" t="s">
        <v>749</v>
      </c>
      <c r="C377" s="532"/>
      <c r="D377" s="532" t="s">
        <v>1820</v>
      </c>
      <c r="E377" s="532" t="s">
        <v>1821</v>
      </c>
      <c r="F377" s="390" t="s">
        <v>806</v>
      </c>
      <c r="G377" s="390" t="s">
        <v>786</v>
      </c>
      <c r="H377" s="381">
        <v>1</v>
      </c>
      <c r="I377" s="381">
        <v>10</v>
      </c>
      <c r="K377" s="381">
        <f t="shared" si="26"/>
        <v>10</v>
      </c>
      <c r="L377" s="644">
        <f>IFERROR(IF(B377="funkcna poziadavka",VLOOKUP(G377,MODULY_CBA!$B$3:$E$23,4,0)*H377/SUMIFS($H$3:$H$168,$G$3:$G$168,G377,$B$3:$B$168,B377),),)</f>
        <v>12</v>
      </c>
      <c r="M377" s="381">
        <f>IFERROR(IF(B377="Funkcna poziadavka",VLOOKUP(G377,MODULY_CBA!$B$3:$E$23,3,0),),)</f>
        <v>0.99499999999999988</v>
      </c>
      <c r="N377" s="381">
        <f>IFERROR(IF(B377="funkcna poziadavka",VLOOKUP(G377,MODULY_CBA!$B$3:$E$23,2,0),),)</f>
        <v>0.99</v>
      </c>
      <c r="O377" s="380">
        <f t="shared" si="27"/>
        <v>21.671099999999996</v>
      </c>
      <c r="P377" s="379">
        <f>IFERROR(O377*VLOOKUP(G377,MODULY_CBA!$B$3:$F$23,5,0),)</f>
        <v>433.42199999999991</v>
      </c>
      <c r="Q377" s="480" t="str">
        <f>IFERROR(VLOOKUP(G377,MODULY_CBA!$B$3:$I$23,6,0),"")</f>
        <v>Inkrement 1</v>
      </c>
    </row>
    <row r="378" spans="1:17" ht="25.5">
      <c r="A378" s="682" t="s">
        <v>1699</v>
      </c>
      <c r="B378" s="402" t="s">
        <v>749</v>
      </c>
      <c r="C378" s="532"/>
      <c r="D378" s="532" t="s">
        <v>1823</v>
      </c>
      <c r="E378" s="532" t="s">
        <v>1824</v>
      </c>
      <c r="F378" s="390" t="s">
        <v>806</v>
      </c>
      <c r="G378" s="390" t="s">
        <v>786</v>
      </c>
      <c r="H378" s="381">
        <v>1</v>
      </c>
      <c r="I378" s="381">
        <v>10</v>
      </c>
      <c r="K378" s="381">
        <f t="shared" si="26"/>
        <v>10</v>
      </c>
      <c r="L378" s="644">
        <f>IFERROR(IF(B378="funkcna poziadavka",VLOOKUP(G378,MODULY_CBA!$B$3:$E$23,4,0)*H378/SUMIFS($H$3:$H$168,$G$3:$G$168,G378,$B$3:$B$168,B378),),)</f>
        <v>12</v>
      </c>
      <c r="M378" s="381">
        <f>IFERROR(IF(B378="Funkcna poziadavka",VLOOKUP(G378,MODULY_CBA!$B$3:$E$23,3,0),),)</f>
        <v>0.99499999999999988</v>
      </c>
      <c r="N378" s="381">
        <f>IFERROR(IF(B378="funkcna poziadavka",VLOOKUP(G378,MODULY_CBA!$B$3:$E$23,2,0),),)</f>
        <v>0.99</v>
      </c>
      <c r="O378" s="380">
        <f t="shared" si="27"/>
        <v>21.671099999999996</v>
      </c>
      <c r="P378" s="379">
        <f>IFERROR(O378*VLOOKUP(G378,MODULY_CBA!$B$3:$F$23,5,0),)</f>
        <v>433.42199999999991</v>
      </c>
      <c r="Q378" s="480" t="str">
        <f>IFERROR(VLOOKUP(G378,MODULY_CBA!$B$3:$I$23,6,0),"")</f>
        <v>Inkrement 1</v>
      </c>
    </row>
    <row r="379" spans="1:17" ht="25.5">
      <c r="A379" s="682" t="s">
        <v>1702</v>
      </c>
      <c r="B379" s="402" t="s">
        <v>749</v>
      </c>
      <c r="C379" s="532"/>
      <c r="D379" s="532" t="s">
        <v>1826</v>
      </c>
      <c r="E379" s="532" t="s">
        <v>1827</v>
      </c>
      <c r="F379" s="390" t="s">
        <v>806</v>
      </c>
      <c r="G379" s="390" t="s">
        <v>786</v>
      </c>
      <c r="H379" s="381">
        <v>1</v>
      </c>
      <c r="I379" s="381">
        <v>5</v>
      </c>
      <c r="K379" s="381">
        <f t="shared" si="26"/>
        <v>5</v>
      </c>
      <c r="L379" s="644">
        <f>IFERROR(IF(B379="funkcna poziadavka",VLOOKUP(G379,MODULY_CBA!$B$3:$E$23,4,0)*H379/SUMIFS($H$3:$H$168,$G$3:$G$168,G379,$B$3:$B$168,B379),),)</f>
        <v>12</v>
      </c>
      <c r="M379" s="381">
        <f>IFERROR(IF(B379="Funkcna poziadavka",VLOOKUP(G379,MODULY_CBA!$B$3:$E$23,3,0),),)</f>
        <v>0.99499999999999988</v>
      </c>
      <c r="N379" s="381">
        <f>IFERROR(IF(B379="funkcna poziadavka",VLOOKUP(G379,MODULY_CBA!$B$3:$E$23,2,0),),)</f>
        <v>0.99</v>
      </c>
      <c r="O379" s="380">
        <f t="shared" si="27"/>
        <v>16.745849999999997</v>
      </c>
      <c r="P379" s="379">
        <f>IFERROR(O379*VLOOKUP(G379,MODULY_CBA!$B$3:$F$23,5,0),)</f>
        <v>334.91699999999992</v>
      </c>
      <c r="Q379" s="480" t="str">
        <f>IFERROR(VLOOKUP(G379,MODULY_CBA!$B$3:$I$23,6,0),"")</f>
        <v>Inkrement 1</v>
      </c>
    </row>
    <row r="380" spans="1:17" s="693" customFormat="1" ht="25.5">
      <c r="A380" s="682" t="s">
        <v>1705</v>
      </c>
      <c r="B380" s="686" t="s">
        <v>749</v>
      </c>
      <c r="C380" s="687"/>
      <c r="D380" s="687" t="s">
        <v>2496</v>
      </c>
      <c r="E380" s="687" t="s">
        <v>2497</v>
      </c>
      <c r="F380" s="685" t="s">
        <v>806</v>
      </c>
      <c r="G380" s="685" t="s">
        <v>786</v>
      </c>
      <c r="H380" s="688">
        <v>1</v>
      </c>
      <c r="I380" s="688">
        <v>10</v>
      </c>
      <c r="J380" s="694"/>
      <c r="K380" s="697">
        <f t="shared" ref="K380:K382" si="30">H380*I380</f>
        <v>10</v>
      </c>
      <c r="L380" s="702">
        <f>IFERROR(IF(B380="funkcna poziadavka",VLOOKUP(G380,MODULY_CBA!$B$3:$E$23,4,0)*H380/SUMIFS($H$3:$H$168,$G$3:$G$168,G380,$B$3:$B$168,B380),),)</f>
        <v>12</v>
      </c>
      <c r="M380" s="697">
        <f>IFERROR(IF(B380="Funkcna poziadavka",VLOOKUP(G380,MODULY_CBA!$B$3:$E$23,3,0),),)</f>
        <v>0.99499999999999988</v>
      </c>
      <c r="N380" s="697">
        <f>IFERROR(IF(B380="funkcna poziadavka",VLOOKUP(G380,MODULY_CBA!$B$3:$E$23,2,0),),)</f>
        <v>0.99</v>
      </c>
      <c r="O380" s="696">
        <f t="shared" ref="O380:O382" si="31">(K380+L380)*M380*N380</f>
        <v>21.671099999999996</v>
      </c>
      <c r="P380" s="695">
        <f>IFERROR(O380*VLOOKUP(G380,MODULY_CBA!$B$3:$F$23,5,0),)</f>
        <v>433.42199999999991</v>
      </c>
      <c r="Q380" s="700" t="str">
        <f>IFERROR(VLOOKUP(G380,MODULY_CBA!$B$3:$I$23,6,0),"")</f>
        <v>Inkrement 1</v>
      </c>
    </row>
    <row r="381" spans="1:17" s="693" customFormat="1" ht="51">
      <c r="A381" s="682" t="s">
        <v>1708</v>
      </c>
      <c r="B381" s="690" t="s">
        <v>749</v>
      </c>
      <c r="C381" s="691"/>
      <c r="D381" s="691" t="s">
        <v>2498</v>
      </c>
      <c r="E381" s="691" t="s">
        <v>2499</v>
      </c>
      <c r="F381" s="689" t="s">
        <v>806</v>
      </c>
      <c r="G381" s="689" t="s">
        <v>786</v>
      </c>
      <c r="H381" s="692">
        <v>1</v>
      </c>
      <c r="I381" s="692">
        <v>10</v>
      </c>
      <c r="J381" s="694"/>
      <c r="K381" s="697">
        <f t="shared" si="30"/>
        <v>10</v>
      </c>
      <c r="L381" s="702">
        <f>IFERROR(IF(B381="funkcna poziadavka",VLOOKUP(G381,MODULY_CBA!$B$3:$E$23,4,0)*H381/SUMIFS($H$3:$H$168,$G$3:$G$168,G381,$B$3:$B$168,B381),),)</f>
        <v>12</v>
      </c>
      <c r="M381" s="697">
        <f>IFERROR(IF(B381="Funkcna poziadavka",VLOOKUP(G381,MODULY_CBA!$B$3:$E$23,3,0),),)</f>
        <v>0.99499999999999988</v>
      </c>
      <c r="N381" s="697">
        <f>IFERROR(IF(B381="funkcna poziadavka",VLOOKUP(G381,MODULY_CBA!$B$3:$E$23,2,0),),)</f>
        <v>0.99</v>
      </c>
      <c r="O381" s="696">
        <f t="shared" si="31"/>
        <v>21.671099999999996</v>
      </c>
      <c r="P381" s="695">
        <f>IFERROR(O381*VLOOKUP(G381,MODULY_CBA!$B$3:$F$23,5,0),)</f>
        <v>433.42199999999991</v>
      </c>
      <c r="Q381" s="700" t="str">
        <f>IFERROR(VLOOKUP(G381,MODULY_CBA!$B$3:$I$23,6,0),"")</f>
        <v>Inkrement 1</v>
      </c>
    </row>
    <row r="382" spans="1:17" s="693" customFormat="1">
      <c r="A382" s="682" t="s">
        <v>1711</v>
      </c>
      <c r="B382" s="699" t="s">
        <v>749</v>
      </c>
      <c r="C382" s="701"/>
      <c r="D382" s="701" t="s">
        <v>2500</v>
      </c>
      <c r="E382" s="701" t="s">
        <v>2501</v>
      </c>
      <c r="F382" s="698" t="s">
        <v>806</v>
      </c>
      <c r="G382" s="698" t="s">
        <v>786</v>
      </c>
      <c r="H382" s="703">
        <v>1</v>
      </c>
      <c r="I382" s="703">
        <v>10</v>
      </c>
      <c r="J382" s="694"/>
      <c r="K382" s="697">
        <f t="shared" si="30"/>
        <v>10</v>
      </c>
      <c r="L382" s="702">
        <f>IFERROR(IF(B382="funkcna poziadavka",VLOOKUP(G382,MODULY_CBA!$B$3:$E$23,4,0)*H382/SUMIFS($H$3:$H$168,$G$3:$G$168,G382,$B$3:$B$168,B382),),)</f>
        <v>12</v>
      </c>
      <c r="M382" s="697">
        <f>IFERROR(IF(B382="Funkcna poziadavka",VLOOKUP(G382,MODULY_CBA!$B$3:$E$23,3,0),),)</f>
        <v>0.99499999999999988</v>
      </c>
      <c r="N382" s="697">
        <f>IFERROR(IF(B382="funkcna poziadavka",VLOOKUP(G382,MODULY_CBA!$B$3:$E$23,2,0),),)</f>
        <v>0.99</v>
      </c>
      <c r="O382" s="696">
        <f t="shared" si="31"/>
        <v>21.671099999999996</v>
      </c>
      <c r="P382" s="695">
        <f>IFERROR(O382*VLOOKUP(G382,MODULY_CBA!$B$3:$F$23,5,0),)</f>
        <v>433.42199999999991</v>
      </c>
      <c r="Q382" s="700" t="str">
        <f>IFERROR(VLOOKUP(G382,MODULY_CBA!$B$3:$I$23,6,0),"")</f>
        <v>Inkrement 1</v>
      </c>
    </row>
    <row r="383" spans="1:17" ht="25.5">
      <c r="A383" s="682" t="s">
        <v>1714</v>
      </c>
      <c r="B383" s="402" t="s">
        <v>749</v>
      </c>
      <c r="C383" s="532"/>
      <c r="D383" s="532" t="s">
        <v>1833</v>
      </c>
      <c r="E383" s="532" t="s">
        <v>1834</v>
      </c>
      <c r="F383" s="390" t="s">
        <v>806</v>
      </c>
      <c r="G383" s="390" t="s">
        <v>786</v>
      </c>
      <c r="H383" s="381">
        <v>1</v>
      </c>
      <c r="I383" s="381">
        <v>10</v>
      </c>
      <c r="K383" s="381">
        <f t="shared" si="26"/>
        <v>10</v>
      </c>
      <c r="L383" s="644">
        <f>IFERROR(IF(B383="funkcna poziadavka",VLOOKUP(G383,MODULY_CBA!$B$3:$E$23,4,0)*H383/SUMIFS($H$3:$H$168,$G$3:$G$168,G383,$B$3:$B$168,B383),),)</f>
        <v>12</v>
      </c>
      <c r="M383" s="381">
        <f>IFERROR(IF(B383="Funkcna poziadavka",VLOOKUP(G383,MODULY_CBA!$B$3:$E$23,3,0),),)</f>
        <v>0.99499999999999988</v>
      </c>
      <c r="N383" s="381">
        <f>IFERROR(IF(B383="funkcna poziadavka",VLOOKUP(G383,MODULY_CBA!$B$3:$E$23,2,0),),)</f>
        <v>0.99</v>
      </c>
      <c r="O383" s="380">
        <f t="shared" si="27"/>
        <v>21.671099999999996</v>
      </c>
      <c r="P383" s="379">
        <f>IFERROR(O383*VLOOKUP(G383,MODULY_CBA!$B$3:$F$23,5,0),)</f>
        <v>433.42199999999991</v>
      </c>
      <c r="Q383" s="480" t="str">
        <f>IFERROR(VLOOKUP(G383,MODULY_CBA!$B$3:$I$23,6,0),"")</f>
        <v>Inkrement 1</v>
      </c>
    </row>
    <row r="384" spans="1:17" ht="38.25">
      <c r="A384" s="682" t="s">
        <v>1717</v>
      </c>
      <c r="B384" s="402" t="s">
        <v>749</v>
      </c>
      <c r="C384" s="532"/>
      <c r="D384" s="532" t="s">
        <v>1836</v>
      </c>
      <c r="E384" s="532" t="s">
        <v>1837</v>
      </c>
      <c r="F384" s="390" t="s">
        <v>806</v>
      </c>
      <c r="G384" s="390" t="s">
        <v>786</v>
      </c>
      <c r="H384" s="381">
        <v>1</v>
      </c>
      <c r="I384" s="381">
        <v>10</v>
      </c>
      <c r="K384" s="381">
        <f t="shared" si="26"/>
        <v>10</v>
      </c>
      <c r="L384" s="644">
        <f>IFERROR(IF(B384="funkcna poziadavka",VLOOKUP(G384,MODULY_CBA!$B$3:$E$23,4,0)*H384/SUMIFS($H$3:$H$168,$G$3:$G$168,G384,$B$3:$B$168,B384),),)</f>
        <v>12</v>
      </c>
      <c r="M384" s="381">
        <f>IFERROR(IF(B384="Funkcna poziadavka",VLOOKUP(G384,MODULY_CBA!$B$3:$E$23,3,0),),)</f>
        <v>0.99499999999999988</v>
      </c>
      <c r="N384" s="381">
        <f>IFERROR(IF(B384="funkcna poziadavka",VLOOKUP(G384,MODULY_CBA!$B$3:$E$23,2,0),),)</f>
        <v>0.99</v>
      </c>
      <c r="O384" s="380">
        <f t="shared" si="27"/>
        <v>21.671099999999996</v>
      </c>
      <c r="P384" s="379">
        <f>IFERROR(O384*VLOOKUP(G384,MODULY_CBA!$B$3:$F$23,5,0),)</f>
        <v>433.42199999999991</v>
      </c>
      <c r="Q384" s="480" t="str">
        <f>IFERROR(VLOOKUP(G384,MODULY_CBA!$B$3:$I$23,6,0),"")</f>
        <v>Inkrement 1</v>
      </c>
    </row>
    <row r="385" spans="1:17" ht="25.5">
      <c r="A385" s="682" t="s">
        <v>1720</v>
      </c>
      <c r="B385" s="402" t="s">
        <v>749</v>
      </c>
      <c r="C385" s="532"/>
      <c r="D385" s="532" t="s">
        <v>1839</v>
      </c>
      <c r="E385" s="532" t="s">
        <v>1840</v>
      </c>
      <c r="F385" s="390" t="s">
        <v>806</v>
      </c>
      <c r="G385" s="390" t="s">
        <v>786</v>
      </c>
      <c r="H385" s="381">
        <v>1</v>
      </c>
      <c r="I385" s="381">
        <v>10</v>
      </c>
      <c r="K385" s="381">
        <f t="shared" si="26"/>
        <v>10</v>
      </c>
      <c r="L385" s="644">
        <f>IFERROR(IF(B385="funkcna poziadavka",VLOOKUP(G385,MODULY_CBA!$B$3:$E$23,4,0)*H385/SUMIFS($H$3:$H$168,$G$3:$G$168,G385,$B$3:$B$168,B385),),)</f>
        <v>12</v>
      </c>
      <c r="M385" s="381">
        <f>IFERROR(IF(B385="Funkcna poziadavka",VLOOKUP(G385,MODULY_CBA!$B$3:$E$23,3,0),),)</f>
        <v>0.99499999999999988</v>
      </c>
      <c r="N385" s="381">
        <f>IFERROR(IF(B385="funkcna poziadavka",VLOOKUP(G385,MODULY_CBA!$B$3:$E$23,2,0),),)</f>
        <v>0.99</v>
      </c>
      <c r="O385" s="380">
        <f t="shared" si="27"/>
        <v>21.671099999999996</v>
      </c>
      <c r="P385" s="379">
        <f>IFERROR(O385*VLOOKUP(G385,MODULY_CBA!$B$3:$F$23,5,0),)</f>
        <v>433.42199999999991</v>
      </c>
      <c r="Q385" s="480" t="str">
        <f>IFERROR(VLOOKUP(G385,MODULY_CBA!$B$3:$I$23,6,0),"")</f>
        <v>Inkrement 1</v>
      </c>
    </row>
    <row r="386" spans="1:17">
      <c r="A386" s="682" t="s">
        <v>1723</v>
      </c>
      <c r="B386" s="402" t="s">
        <v>749</v>
      </c>
      <c r="C386" s="532"/>
      <c r="D386" s="532" t="s">
        <v>1842</v>
      </c>
      <c r="E386" s="532" t="s">
        <v>1843</v>
      </c>
      <c r="F386" s="390" t="s">
        <v>806</v>
      </c>
      <c r="G386" s="390" t="s">
        <v>786</v>
      </c>
      <c r="H386" s="381">
        <v>1</v>
      </c>
      <c r="I386" s="381">
        <v>10</v>
      </c>
      <c r="K386" s="381">
        <f t="shared" si="26"/>
        <v>10</v>
      </c>
      <c r="L386" s="644">
        <f>IFERROR(IF(B386="funkcna poziadavka",VLOOKUP(G386,MODULY_CBA!$B$3:$E$23,4,0)*H386/SUMIFS($H$3:$H$168,$G$3:$G$168,G386,$B$3:$B$168,B386),),)</f>
        <v>12</v>
      </c>
      <c r="M386" s="381">
        <f>IFERROR(IF(B386="Funkcna poziadavka",VLOOKUP(G386,MODULY_CBA!$B$3:$E$23,3,0),),)</f>
        <v>0.99499999999999988</v>
      </c>
      <c r="N386" s="381">
        <f>IFERROR(IF(B386="funkcna poziadavka",VLOOKUP(G386,MODULY_CBA!$B$3:$E$23,2,0),),)</f>
        <v>0.99</v>
      </c>
      <c r="O386" s="380">
        <f t="shared" si="27"/>
        <v>21.671099999999996</v>
      </c>
      <c r="P386" s="379">
        <f>IFERROR(O386*VLOOKUP(G386,MODULY_CBA!$B$3:$F$23,5,0),)</f>
        <v>433.42199999999991</v>
      </c>
      <c r="Q386" s="480" t="str">
        <f>IFERROR(VLOOKUP(G386,MODULY_CBA!$B$3:$I$23,6,0),"")</f>
        <v>Inkrement 1</v>
      </c>
    </row>
    <row r="387" spans="1:17" ht="38.25">
      <c r="A387" s="682" t="s">
        <v>1726</v>
      </c>
      <c r="B387" s="402" t="s">
        <v>749</v>
      </c>
      <c r="C387" s="532"/>
      <c r="D387" s="532" t="s">
        <v>1845</v>
      </c>
      <c r="E387" s="532" t="s">
        <v>1846</v>
      </c>
      <c r="F387" s="390" t="s">
        <v>806</v>
      </c>
      <c r="G387" s="390" t="s">
        <v>786</v>
      </c>
      <c r="H387" s="381">
        <v>1</v>
      </c>
      <c r="I387" s="381">
        <v>10</v>
      </c>
      <c r="K387" s="381">
        <f t="shared" ref="K387:K446" si="32">H387*I387</f>
        <v>10</v>
      </c>
      <c r="L387" s="644">
        <f>IFERROR(IF(B387="funkcna poziadavka",VLOOKUP(G387,MODULY_CBA!$B$3:$E$23,4,0)*H387/SUMIFS($H$3:$H$168,$G$3:$G$168,G387,$B$3:$B$168,B387),),)</f>
        <v>12</v>
      </c>
      <c r="M387" s="381">
        <f>IFERROR(IF(B387="Funkcna poziadavka",VLOOKUP(G387,MODULY_CBA!$B$3:$E$23,3,0),),)</f>
        <v>0.99499999999999988</v>
      </c>
      <c r="N387" s="381">
        <f>IFERROR(IF(B387="funkcna poziadavka",VLOOKUP(G387,MODULY_CBA!$B$3:$E$23,2,0),),)</f>
        <v>0.99</v>
      </c>
      <c r="O387" s="380">
        <f t="shared" ref="O387:O446" si="33">(K387+L387)*M387*N387</f>
        <v>21.671099999999996</v>
      </c>
      <c r="P387" s="379">
        <f>IFERROR(O387*VLOOKUP(G387,MODULY_CBA!$B$3:$F$23,5,0),)</f>
        <v>433.42199999999991</v>
      </c>
      <c r="Q387" s="480" t="str">
        <f>IFERROR(VLOOKUP(G387,MODULY_CBA!$B$3:$I$23,6,0),"")</f>
        <v>Inkrement 1</v>
      </c>
    </row>
    <row r="388" spans="1:17" ht="25.5">
      <c r="A388" s="682" t="s">
        <v>1729</v>
      </c>
      <c r="B388" s="402" t="s">
        <v>749</v>
      </c>
      <c r="C388" s="532"/>
      <c r="D388" s="532" t="s">
        <v>1848</v>
      </c>
      <c r="E388" s="532" t="s">
        <v>1849</v>
      </c>
      <c r="F388" s="390" t="s">
        <v>806</v>
      </c>
      <c r="G388" s="390" t="s">
        <v>786</v>
      </c>
      <c r="H388" s="381">
        <v>1</v>
      </c>
      <c r="I388" s="381">
        <v>10</v>
      </c>
      <c r="K388" s="381">
        <f t="shared" si="32"/>
        <v>10</v>
      </c>
      <c r="L388" s="644">
        <f>IFERROR(IF(B388="funkcna poziadavka",VLOOKUP(G388,MODULY_CBA!$B$3:$E$23,4,0)*H388/SUMIFS($H$3:$H$168,$G$3:$G$168,G388,$B$3:$B$168,B388),),)</f>
        <v>12</v>
      </c>
      <c r="M388" s="381">
        <f>IFERROR(IF(B388="Funkcna poziadavka",VLOOKUP(G388,MODULY_CBA!$B$3:$E$23,3,0),),)</f>
        <v>0.99499999999999988</v>
      </c>
      <c r="N388" s="381">
        <f>IFERROR(IF(B388="funkcna poziadavka",VLOOKUP(G388,MODULY_CBA!$B$3:$E$23,2,0),),)</f>
        <v>0.99</v>
      </c>
      <c r="O388" s="380">
        <f t="shared" si="33"/>
        <v>21.671099999999996</v>
      </c>
      <c r="P388" s="379">
        <f>IFERROR(O388*VLOOKUP(G388,MODULY_CBA!$B$3:$F$23,5,0),)</f>
        <v>433.42199999999991</v>
      </c>
      <c r="Q388" s="480" t="str">
        <f>IFERROR(VLOOKUP(G388,MODULY_CBA!$B$3:$I$23,6,0),"")</f>
        <v>Inkrement 1</v>
      </c>
    </row>
    <row r="389" spans="1:17" ht="38.25">
      <c r="A389" s="682" t="s">
        <v>1732</v>
      </c>
      <c r="B389" s="402" t="s">
        <v>749</v>
      </c>
      <c r="C389" s="532"/>
      <c r="D389" s="532" t="s">
        <v>1851</v>
      </c>
      <c r="E389" s="532" t="s">
        <v>1852</v>
      </c>
      <c r="F389" s="390" t="s">
        <v>806</v>
      </c>
      <c r="G389" s="390" t="s">
        <v>786</v>
      </c>
      <c r="H389" s="381">
        <v>1</v>
      </c>
      <c r="I389" s="381">
        <v>10</v>
      </c>
      <c r="K389" s="381">
        <f t="shared" si="32"/>
        <v>10</v>
      </c>
      <c r="L389" s="644">
        <f>IFERROR(IF(B389="funkcna poziadavka",VLOOKUP(G389,MODULY_CBA!$B$3:$E$23,4,0)*H389/SUMIFS($H$3:$H$168,$G$3:$G$168,G389,$B$3:$B$168,B389),),)</f>
        <v>12</v>
      </c>
      <c r="M389" s="381">
        <f>IFERROR(IF(B389="Funkcna poziadavka",VLOOKUP(G389,MODULY_CBA!$B$3:$E$23,3,0),),)</f>
        <v>0.99499999999999988</v>
      </c>
      <c r="N389" s="381">
        <f>IFERROR(IF(B389="funkcna poziadavka",VLOOKUP(G389,MODULY_CBA!$B$3:$E$23,2,0),),)</f>
        <v>0.99</v>
      </c>
      <c r="O389" s="380">
        <f t="shared" si="33"/>
        <v>21.671099999999996</v>
      </c>
      <c r="P389" s="379">
        <f>IFERROR(O389*VLOOKUP(G389,MODULY_CBA!$B$3:$F$23,5,0),)</f>
        <v>433.42199999999991</v>
      </c>
      <c r="Q389" s="480" t="str">
        <f>IFERROR(VLOOKUP(G389,MODULY_CBA!$B$3:$I$23,6,0),"")</f>
        <v>Inkrement 1</v>
      </c>
    </row>
    <row r="390" spans="1:17" ht="51">
      <c r="A390" s="682" t="s">
        <v>1735</v>
      </c>
      <c r="B390" s="402" t="s">
        <v>749</v>
      </c>
      <c r="C390" s="532"/>
      <c r="D390" s="532" t="s">
        <v>1854</v>
      </c>
      <c r="E390" s="532" t="s">
        <v>1855</v>
      </c>
      <c r="F390" s="390" t="s">
        <v>806</v>
      </c>
      <c r="G390" s="390" t="s">
        <v>786</v>
      </c>
      <c r="H390" s="381">
        <v>1</v>
      </c>
      <c r="I390" s="381">
        <v>10</v>
      </c>
      <c r="K390" s="381">
        <f t="shared" si="32"/>
        <v>10</v>
      </c>
      <c r="L390" s="644">
        <f>IFERROR(IF(B390="funkcna poziadavka",VLOOKUP(G390,MODULY_CBA!$B$3:$E$23,4,0)*H390/SUMIFS($H$3:$H$168,$G$3:$G$168,G390,$B$3:$B$168,B390),),)</f>
        <v>12</v>
      </c>
      <c r="M390" s="381">
        <f>IFERROR(IF(B390="Funkcna poziadavka",VLOOKUP(G390,MODULY_CBA!$B$3:$E$23,3,0),),)</f>
        <v>0.99499999999999988</v>
      </c>
      <c r="N390" s="381">
        <f>IFERROR(IF(B390="funkcna poziadavka",VLOOKUP(G390,MODULY_CBA!$B$3:$E$23,2,0),),)</f>
        <v>0.99</v>
      </c>
      <c r="O390" s="380">
        <f t="shared" si="33"/>
        <v>21.671099999999996</v>
      </c>
      <c r="P390" s="379">
        <f>IFERROR(O390*VLOOKUP(G390,MODULY_CBA!$B$3:$F$23,5,0),)</f>
        <v>433.42199999999991</v>
      </c>
      <c r="Q390" s="480" t="str">
        <f>IFERROR(VLOOKUP(G390,MODULY_CBA!$B$3:$I$23,6,0),"")</f>
        <v>Inkrement 1</v>
      </c>
    </row>
    <row r="391" spans="1:17" ht="51">
      <c r="A391" s="682" t="s">
        <v>1738</v>
      </c>
      <c r="B391" s="402" t="s">
        <v>749</v>
      </c>
      <c r="C391" s="532"/>
      <c r="D391" s="532" t="s">
        <v>1857</v>
      </c>
      <c r="E391" s="532" t="s">
        <v>1858</v>
      </c>
      <c r="F391" s="390" t="s">
        <v>806</v>
      </c>
      <c r="G391" s="390" t="s">
        <v>786</v>
      </c>
      <c r="H391" s="381">
        <v>1</v>
      </c>
      <c r="I391" s="381">
        <v>10</v>
      </c>
      <c r="K391" s="381">
        <f t="shared" si="32"/>
        <v>10</v>
      </c>
      <c r="L391" s="644">
        <f>IFERROR(IF(B391="funkcna poziadavka",VLOOKUP(G391,MODULY_CBA!$B$3:$E$23,4,0)*H391/SUMIFS($H$3:$H$168,$G$3:$G$168,G391,$B$3:$B$168,B391),),)</f>
        <v>12</v>
      </c>
      <c r="M391" s="381">
        <f>IFERROR(IF(B391="Funkcna poziadavka",VLOOKUP(G391,MODULY_CBA!$B$3:$E$23,3,0),),)</f>
        <v>0.99499999999999988</v>
      </c>
      <c r="N391" s="381">
        <f>IFERROR(IF(B391="funkcna poziadavka",VLOOKUP(G391,MODULY_CBA!$B$3:$E$23,2,0),),)</f>
        <v>0.99</v>
      </c>
      <c r="O391" s="380">
        <f t="shared" si="33"/>
        <v>21.671099999999996</v>
      </c>
      <c r="P391" s="379">
        <f>IFERROR(O391*VLOOKUP(G391,MODULY_CBA!$B$3:$F$23,5,0),)</f>
        <v>433.42199999999991</v>
      </c>
      <c r="Q391" s="480" t="str">
        <f>IFERROR(VLOOKUP(G391,MODULY_CBA!$B$3:$I$23,6,0),"")</f>
        <v>Inkrement 1</v>
      </c>
    </row>
    <row r="392" spans="1:17" ht="51">
      <c r="A392" s="682" t="s">
        <v>1741</v>
      </c>
      <c r="B392" s="402" t="s">
        <v>749</v>
      </c>
      <c r="C392" s="532"/>
      <c r="D392" s="532" t="s">
        <v>1860</v>
      </c>
      <c r="E392" s="532" t="s">
        <v>1861</v>
      </c>
      <c r="F392" s="390" t="s">
        <v>806</v>
      </c>
      <c r="G392" s="390" t="s">
        <v>786</v>
      </c>
      <c r="H392" s="381">
        <v>1</v>
      </c>
      <c r="I392" s="381">
        <v>10</v>
      </c>
      <c r="K392" s="381">
        <f t="shared" si="32"/>
        <v>10</v>
      </c>
      <c r="L392" s="644">
        <f>IFERROR(IF(B392="funkcna poziadavka",VLOOKUP(G392,MODULY_CBA!$B$3:$E$23,4,0)*H392/SUMIFS($H$3:$H$168,$G$3:$G$168,G392,$B$3:$B$168,B392),),)</f>
        <v>12</v>
      </c>
      <c r="M392" s="381">
        <f>IFERROR(IF(B392="Funkcna poziadavka",VLOOKUP(G392,MODULY_CBA!$B$3:$E$23,3,0),),)</f>
        <v>0.99499999999999988</v>
      </c>
      <c r="N392" s="381">
        <f>IFERROR(IF(B392="funkcna poziadavka",VLOOKUP(G392,MODULY_CBA!$B$3:$E$23,2,0),),)</f>
        <v>0.99</v>
      </c>
      <c r="O392" s="380">
        <f t="shared" si="33"/>
        <v>21.671099999999996</v>
      </c>
      <c r="P392" s="379">
        <f>IFERROR(O392*VLOOKUP(G392,MODULY_CBA!$B$3:$F$23,5,0),)</f>
        <v>433.42199999999991</v>
      </c>
      <c r="Q392" s="480" t="str">
        <f>IFERROR(VLOOKUP(G392,MODULY_CBA!$B$3:$I$23,6,0),"")</f>
        <v>Inkrement 1</v>
      </c>
    </row>
    <row r="393" spans="1:17" ht="76.5">
      <c r="A393" s="682" t="s">
        <v>1744</v>
      </c>
      <c r="B393" s="402" t="s">
        <v>749</v>
      </c>
      <c r="C393" s="532"/>
      <c r="D393" s="532" t="s">
        <v>1863</v>
      </c>
      <c r="E393" s="532" t="s">
        <v>1864</v>
      </c>
      <c r="F393" s="390" t="s">
        <v>806</v>
      </c>
      <c r="G393" s="390" t="s">
        <v>786</v>
      </c>
      <c r="H393" s="381">
        <v>1</v>
      </c>
      <c r="I393" s="381">
        <v>5</v>
      </c>
      <c r="K393" s="381">
        <f t="shared" si="32"/>
        <v>5</v>
      </c>
      <c r="L393" s="644">
        <f>IFERROR(IF(B393="funkcna poziadavka",VLOOKUP(G393,MODULY_CBA!$B$3:$E$23,4,0)*H393/SUMIFS($H$3:$H$168,$G$3:$G$168,G393,$B$3:$B$168,B393),),)</f>
        <v>12</v>
      </c>
      <c r="M393" s="381">
        <f>IFERROR(IF(B393="Funkcna poziadavka",VLOOKUP(G393,MODULY_CBA!$B$3:$E$23,3,0),),)</f>
        <v>0.99499999999999988</v>
      </c>
      <c r="N393" s="381">
        <f>IFERROR(IF(B393="funkcna poziadavka",VLOOKUP(G393,MODULY_CBA!$B$3:$E$23,2,0),),)</f>
        <v>0.99</v>
      </c>
      <c r="O393" s="380">
        <f t="shared" si="33"/>
        <v>16.745849999999997</v>
      </c>
      <c r="P393" s="379">
        <f>IFERROR(O393*VLOOKUP(G393,MODULY_CBA!$B$3:$F$23,5,0),)</f>
        <v>334.91699999999992</v>
      </c>
      <c r="Q393" s="480" t="str">
        <f>IFERROR(VLOOKUP(G393,MODULY_CBA!$B$3:$I$23,6,0),"")</f>
        <v>Inkrement 1</v>
      </c>
    </row>
    <row r="394" spans="1:17">
      <c r="A394" s="682" t="s">
        <v>1747</v>
      </c>
      <c r="B394" s="402" t="s">
        <v>749</v>
      </c>
      <c r="C394" s="532"/>
      <c r="D394" s="532" t="s">
        <v>1866</v>
      </c>
      <c r="E394" s="532" t="s">
        <v>1867</v>
      </c>
      <c r="F394" s="390" t="s">
        <v>806</v>
      </c>
      <c r="G394" s="390" t="s">
        <v>786</v>
      </c>
      <c r="H394" s="381">
        <v>1</v>
      </c>
      <c r="I394" s="381">
        <v>5</v>
      </c>
      <c r="K394" s="381">
        <f t="shared" si="32"/>
        <v>5</v>
      </c>
      <c r="L394" s="644">
        <f>IFERROR(IF(B394="funkcna poziadavka",VLOOKUP(G394,MODULY_CBA!$B$3:$E$23,4,0)*H394/SUMIFS($H$3:$H$168,$G$3:$G$168,G394,$B$3:$B$168,B394),),)</f>
        <v>12</v>
      </c>
      <c r="M394" s="381">
        <f>IFERROR(IF(B394="Funkcna poziadavka",VLOOKUP(G394,MODULY_CBA!$B$3:$E$23,3,0),),)</f>
        <v>0.99499999999999988</v>
      </c>
      <c r="N394" s="381">
        <f>IFERROR(IF(B394="funkcna poziadavka",VLOOKUP(G394,MODULY_CBA!$B$3:$E$23,2,0),),)</f>
        <v>0.99</v>
      </c>
      <c r="O394" s="380">
        <f t="shared" si="33"/>
        <v>16.745849999999997</v>
      </c>
      <c r="P394" s="379">
        <f>IFERROR(O394*VLOOKUP(G394,MODULY_CBA!$B$3:$F$23,5,0),)</f>
        <v>334.91699999999992</v>
      </c>
      <c r="Q394" s="480" t="str">
        <f>IFERROR(VLOOKUP(G394,MODULY_CBA!$B$3:$I$23,6,0),"")</f>
        <v>Inkrement 1</v>
      </c>
    </row>
    <row r="395" spans="1:17" ht="76.5">
      <c r="A395" s="682" t="s">
        <v>1750</v>
      </c>
      <c r="B395" s="402" t="s">
        <v>749</v>
      </c>
      <c r="C395" s="532"/>
      <c r="D395" s="532" t="s">
        <v>1869</v>
      </c>
      <c r="E395" s="532" t="s">
        <v>1870</v>
      </c>
      <c r="F395" s="390" t="s">
        <v>806</v>
      </c>
      <c r="G395" s="390" t="s">
        <v>786</v>
      </c>
      <c r="H395" s="381">
        <v>1</v>
      </c>
      <c r="I395" s="381">
        <v>5</v>
      </c>
      <c r="K395" s="381">
        <f t="shared" si="32"/>
        <v>5</v>
      </c>
      <c r="L395" s="644">
        <f>IFERROR(IF(B395="funkcna poziadavka",VLOOKUP(G395,MODULY_CBA!$B$3:$E$23,4,0)*H395/SUMIFS($H$3:$H$168,$G$3:$G$168,G395,$B$3:$B$168,B395),),)</f>
        <v>12</v>
      </c>
      <c r="M395" s="381">
        <f>IFERROR(IF(B395="Funkcna poziadavka",VLOOKUP(G395,MODULY_CBA!$B$3:$E$23,3,0),),)</f>
        <v>0.99499999999999988</v>
      </c>
      <c r="N395" s="381">
        <f>IFERROR(IF(B395="funkcna poziadavka",VLOOKUP(G395,MODULY_CBA!$B$3:$E$23,2,0),),)</f>
        <v>0.99</v>
      </c>
      <c r="O395" s="380">
        <f t="shared" si="33"/>
        <v>16.745849999999997</v>
      </c>
      <c r="P395" s="379">
        <f>IFERROR(O395*VLOOKUP(G395,MODULY_CBA!$B$3:$F$23,5,0),)</f>
        <v>334.91699999999992</v>
      </c>
      <c r="Q395" s="480" t="str">
        <f>IFERROR(VLOOKUP(G395,MODULY_CBA!$B$3:$I$23,6,0),"")</f>
        <v>Inkrement 1</v>
      </c>
    </row>
    <row r="396" spans="1:17" ht="38.25">
      <c r="A396" s="682" t="s">
        <v>1753</v>
      </c>
      <c r="B396" s="402" t="s">
        <v>749</v>
      </c>
      <c r="C396" s="532"/>
      <c r="D396" s="532" t="s">
        <v>1872</v>
      </c>
      <c r="E396" s="532" t="s">
        <v>1873</v>
      </c>
      <c r="F396" s="390" t="s">
        <v>806</v>
      </c>
      <c r="G396" s="390" t="s">
        <v>786</v>
      </c>
      <c r="H396" s="381">
        <v>1</v>
      </c>
      <c r="I396" s="381">
        <v>5</v>
      </c>
      <c r="K396" s="381">
        <f t="shared" si="32"/>
        <v>5</v>
      </c>
      <c r="L396" s="644">
        <f>IFERROR(IF(B396="funkcna poziadavka",VLOOKUP(G396,MODULY_CBA!$B$3:$E$23,4,0)*H396/SUMIFS($H$3:$H$168,$G$3:$G$168,G396,$B$3:$B$168,B396),),)</f>
        <v>12</v>
      </c>
      <c r="M396" s="381">
        <f>IFERROR(IF(B396="Funkcna poziadavka",VLOOKUP(G396,MODULY_CBA!$B$3:$E$23,3,0),),)</f>
        <v>0.99499999999999988</v>
      </c>
      <c r="N396" s="381">
        <f>IFERROR(IF(B396="funkcna poziadavka",VLOOKUP(G396,MODULY_CBA!$B$3:$E$23,2,0),),)</f>
        <v>0.99</v>
      </c>
      <c r="O396" s="380">
        <f t="shared" si="33"/>
        <v>16.745849999999997</v>
      </c>
      <c r="P396" s="379">
        <f>IFERROR(O396*VLOOKUP(G396,MODULY_CBA!$B$3:$F$23,5,0),)</f>
        <v>334.91699999999992</v>
      </c>
      <c r="Q396" s="480" t="str">
        <f>IFERROR(VLOOKUP(G396,MODULY_CBA!$B$3:$I$23,6,0),"")</f>
        <v>Inkrement 1</v>
      </c>
    </row>
    <row r="397" spans="1:17" ht="127.5">
      <c r="A397" s="682" t="s">
        <v>1756</v>
      </c>
      <c r="B397" s="402" t="s">
        <v>749</v>
      </c>
      <c r="C397" s="532"/>
      <c r="D397" s="532" t="s">
        <v>1875</v>
      </c>
      <c r="E397" s="532" t="s">
        <v>1876</v>
      </c>
      <c r="F397" s="390" t="s">
        <v>806</v>
      </c>
      <c r="G397" s="390" t="s">
        <v>786</v>
      </c>
      <c r="H397" s="381">
        <v>1</v>
      </c>
      <c r="I397" s="381">
        <v>10</v>
      </c>
      <c r="K397" s="381">
        <f t="shared" si="32"/>
        <v>10</v>
      </c>
      <c r="L397" s="644">
        <f>IFERROR(IF(B397="funkcna poziadavka",VLOOKUP(G397,MODULY_CBA!$B$3:$E$23,4,0)*H397/SUMIFS($H$3:$H$168,$G$3:$G$168,G397,$B$3:$B$168,B397),),)</f>
        <v>12</v>
      </c>
      <c r="M397" s="381">
        <f>IFERROR(IF(B397="Funkcna poziadavka",VLOOKUP(G397,MODULY_CBA!$B$3:$E$23,3,0),),)</f>
        <v>0.99499999999999988</v>
      </c>
      <c r="N397" s="381">
        <f>IFERROR(IF(B397="funkcna poziadavka",VLOOKUP(G397,MODULY_CBA!$B$3:$E$23,2,0),),)</f>
        <v>0.99</v>
      </c>
      <c r="O397" s="380">
        <f t="shared" si="33"/>
        <v>21.671099999999996</v>
      </c>
      <c r="P397" s="379">
        <f>IFERROR(O397*VLOOKUP(G397,MODULY_CBA!$B$3:$F$23,5,0),)</f>
        <v>433.42199999999991</v>
      </c>
      <c r="Q397" s="480" t="str">
        <f>IFERROR(VLOOKUP(G397,MODULY_CBA!$B$3:$I$23,6,0),"")</f>
        <v>Inkrement 1</v>
      </c>
    </row>
    <row r="398" spans="1:17" ht="25.5">
      <c r="A398" s="682" t="s">
        <v>1759</v>
      </c>
      <c r="B398" s="402" t="s">
        <v>749</v>
      </c>
      <c r="C398" s="532"/>
      <c r="D398" s="532" t="s">
        <v>1878</v>
      </c>
      <c r="E398" s="532" t="s">
        <v>1879</v>
      </c>
      <c r="F398" s="390" t="s">
        <v>806</v>
      </c>
      <c r="G398" s="390" t="s">
        <v>786</v>
      </c>
      <c r="H398" s="381">
        <v>1</v>
      </c>
      <c r="I398" s="381">
        <v>5</v>
      </c>
      <c r="K398" s="381">
        <f t="shared" si="32"/>
        <v>5</v>
      </c>
      <c r="L398" s="644">
        <f>IFERROR(IF(B398="funkcna poziadavka",VLOOKUP(G398,MODULY_CBA!$B$3:$E$23,4,0)*H398/SUMIFS($H$3:$H$168,$G$3:$G$168,G398,$B$3:$B$168,B398),),)</f>
        <v>12</v>
      </c>
      <c r="M398" s="381">
        <f>IFERROR(IF(B398="Funkcna poziadavka",VLOOKUP(G398,MODULY_CBA!$B$3:$E$23,3,0),),)</f>
        <v>0.99499999999999988</v>
      </c>
      <c r="N398" s="381">
        <f>IFERROR(IF(B398="funkcna poziadavka",VLOOKUP(G398,MODULY_CBA!$B$3:$E$23,2,0),),)</f>
        <v>0.99</v>
      </c>
      <c r="O398" s="380">
        <f t="shared" si="33"/>
        <v>16.745849999999997</v>
      </c>
      <c r="P398" s="379">
        <f>IFERROR(O398*VLOOKUP(G398,MODULY_CBA!$B$3:$F$23,5,0),)</f>
        <v>334.91699999999992</v>
      </c>
      <c r="Q398" s="480" t="str">
        <f>IFERROR(VLOOKUP(G398,MODULY_CBA!$B$3:$I$23,6,0),"")</f>
        <v>Inkrement 1</v>
      </c>
    </row>
    <row r="399" spans="1:17">
      <c r="A399" s="682" t="s">
        <v>1762</v>
      </c>
      <c r="B399" s="402" t="s">
        <v>749</v>
      </c>
      <c r="C399" s="532"/>
      <c r="D399" s="532" t="s">
        <v>1881</v>
      </c>
      <c r="E399" s="532" t="s">
        <v>1882</v>
      </c>
      <c r="F399" s="390" t="s">
        <v>806</v>
      </c>
      <c r="G399" s="390" t="s">
        <v>786</v>
      </c>
      <c r="H399" s="381">
        <v>1</v>
      </c>
      <c r="I399" s="381">
        <v>5</v>
      </c>
      <c r="K399" s="381">
        <f t="shared" si="32"/>
        <v>5</v>
      </c>
      <c r="L399" s="644">
        <f>IFERROR(IF(B399="funkcna poziadavka",VLOOKUP(G399,MODULY_CBA!$B$3:$E$23,4,0)*H399/SUMIFS($H$3:$H$168,$G$3:$G$168,G399,$B$3:$B$168,B399),),)</f>
        <v>12</v>
      </c>
      <c r="M399" s="381">
        <f>IFERROR(IF(B399="Funkcna poziadavka",VLOOKUP(G399,MODULY_CBA!$B$3:$E$23,3,0),),)</f>
        <v>0.99499999999999988</v>
      </c>
      <c r="N399" s="381">
        <f>IFERROR(IF(B399="funkcna poziadavka",VLOOKUP(G399,MODULY_CBA!$B$3:$E$23,2,0),),)</f>
        <v>0.99</v>
      </c>
      <c r="O399" s="380">
        <f t="shared" si="33"/>
        <v>16.745849999999997</v>
      </c>
      <c r="P399" s="379">
        <f>IFERROR(O399*VLOOKUP(G399,MODULY_CBA!$B$3:$F$23,5,0),)</f>
        <v>334.91699999999992</v>
      </c>
      <c r="Q399" s="480" t="str">
        <f>IFERROR(VLOOKUP(G399,MODULY_CBA!$B$3:$I$23,6,0),"")</f>
        <v>Inkrement 1</v>
      </c>
    </row>
    <row r="400" spans="1:17">
      <c r="A400" s="682" t="s">
        <v>1765</v>
      </c>
      <c r="B400" s="402" t="s">
        <v>749</v>
      </c>
      <c r="C400" s="532"/>
      <c r="D400" s="532" t="s">
        <v>1884</v>
      </c>
      <c r="E400" s="532" t="s">
        <v>1885</v>
      </c>
      <c r="F400" s="390" t="s">
        <v>806</v>
      </c>
      <c r="G400" s="390" t="s">
        <v>786</v>
      </c>
      <c r="H400" s="381">
        <v>1</v>
      </c>
      <c r="I400" s="381">
        <v>5</v>
      </c>
      <c r="K400" s="381">
        <f t="shared" si="32"/>
        <v>5</v>
      </c>
      <c r="L400" s="644">
        <f>IFERROR(IF(B400="funkcna poziadavka",VLOOKUP(G400,MODULY_CBA!$B$3:$E$23,4,0)*H400/SUMIFS($H$3:$H$168,$G$3:$G$168,G400,$B$3:$B$168,B400),),)</f>
        <v>12</v>
      </c>
      <c r="M400" s="381">
        <f>IFERROR(IF(B400="Funkcna poziadavka",VLOOKUP(G400,MODULY_CBA!$B$3:$E$23,3,0),),)</f>
        <v>0.99499999999999988</v>
      </c>
      <c r="N400" s="381">
        <f>IFERROR(IF(B400="funkcna poziadavka",VLOOKUP(G400,MODULY_CBA!$B$3:$E$23,2,0),),)</f>
        <v>0.99</v>
      </c>
      <c r="O400" s="380">
        <f t="shared" si="33"/>
        <v>16.745849999999997</v>
      </c>
      <c r="P400" s="379">
        <f>IFERROR(O400*VLOOKUP(G400,MODULY_CBA!$B$3:$F$23,5,0),)</f>
        <v>334.91699999999992</v>
      </c>
      <c r="Q400" s="480" t="str">
        <f>IFERROR(VLOOKUP(G400,MODULY_CBA!$B$3:$I$23,6,0),"")</f>
        <v>Inkrement 1</v>
      </c>
    </row>
    <row r="401" spans="1:17">
      <c r="A401" s="682" t="s">
        <v>1768</v>
      </c>
      <c r="B401" s="402" t="s">
        <v>749</v>
      </c>
      <c r="C401" s="532"/>
      <c r="D401" s="532" t="s">
        <v>1887</v>
      </c>
      <c r="E401" s="532" t="s">
        <v>1888</v>
      </c>
      <c r="F401" s="390" t="s">
        <v>806</v>
      </c>
      <c r="G401" s="390" t="s">
        <v>786</v>
      </c>
      <c r="H401" s="381">
        <v>1</v>
      </c>
      <c r="I401" s="381">
        <v>5</v>
      </c>
      <c r="K401" s="381">
        <f t="shared" si="32"/>
        <v>5</v>
      </c>
      <c r="L401" s="644">
        <f>IFERROR(IF(B401="funkcna poziadavka",VLOOKUP(G401,MODULY_CBA!$B$3:$E$23,4,0)*H401/SUMIFS($H$3:$H$168,$G$3:$G$168,G401,$B$3:$B$168,B401),),)</f>
        <v>12</v>
      </c>
      <c r="M401" s="381">
        <f>IFERROR(IF(B401="Funkcna poziadavka",VLOOKUP(G401,MODULY_CBA!$B$3:$E$23,3,0),),)</f>
        <v>0.99499999999999988</v>
      </c>
      <c r="N401" s="381">
        <f>IFERROR(IF(B401="funkcna poziadavka",VLOOKUP(G401,MODULY_CBA!$B$3:$E$23,2,0),),)</f>
        <v>0.99</v>
      </c>
      <c r="O401" s="380">
        <f t="shared" si="33"/>
        <v>16.745849999999997</v>
      </c>
      <c r="P401" s="379">
        <f>IFERROR(O401*VLOOKUP(G401,MODULY_CBA!$B$3:$F$23,5,0),)</f>
        <v>334.91699999999992</v>
      </c>
      <c r="Q401" s="480" t="str">
        <f>IFERROR(VLOOKUP(G401,MODULY_CBA!$B$3:$I$23,6,0),"")</f>
        <v>Inkrement 1</v>
      </c>
    </row>
    <row r="402" spans="1:17">
      <c r="A402" s="682" t="s">
        <v>1771</v>
      </c>
      <c r="B402" s="402" t="s">
        <v>749</v>
      </c>
      <c r="C402" s="532"/>
      <c r="D402" s="532" t="s">
        <v>1890</v>
      </c>
      <c r="E402" s="532" t="s">
        <v>1891</v>
      </c>
      <c r="F402" s="390" t="s">
        <v>806</v>
      </c>
      <c r="G402" s="390" t="s">
        <v>786</v>
      </c>
      <c r="H402" s="381">
        <v>1</v>
      </c>
      <c r="I402" s="381">
        <v>5</v>
      </c>
      <c r="K402" s="381">
        <f t="shared" si="32"/>
        <v>5</v>
      </c>
      <c r="L402" s="644">
        <f>IFERROR(IF(B402="funkcna poziadavka",VLOOKUP(G402,MODULY_CBA!$B$3:$E$23,4,0)*H402/SUMIFS($H$3:$H$168,$G$3:$G$168,G402,$B$3:$B$168,B402),),)</f>
        <v>12</v>
      </c>
      <c r="M402" s="381">
        <f>IFERROR(IF(B402="Funkcna poziadavka",VLOOKUP(G402,MODULY_CBA!$B$3:$E$23,3,0),),)</f>
        <v>0.99499999999999988</v>
      </c>
      <c r="N402" s="381">
        <f>IFERROR(IF(B402="funkcna poziadavka",VLOOKUP(G402,MODULY_CBA!$B$3:$E$23,2,0),),)</f>
        <v>0.99</v>
      </c>
      <c r="O402" s="380">
        <f t="shared" si="33"/>
        <v>16.745849999999997</v>
      </c>
      <c r="P402" s="379">
        <f>IFERROR(O402*VLOOKUP(G402,MODULY_CBA!$B$3:$F$23,5,0),)</f>
        <v>334.91699999999992</v>
      </c>
      <c r="Q402" s="480" t="str">
        <f>IFERROR(VLOOKUP(G402,MODULY_CBA!$B$3:$I$23,6,0),"")</f>
        <v>Inkrement 1</v>
      </c>
    </row>
    <row r="403" spans="1:17" ht="25.5">
      <c r="A403" s="682" t="s">
        <v>1774</v>
      </c>
      <c r="B403" s="402" t="s">
        <v>749</v>
      </c>
      <c r="C403" s="532"/>
      <c r="D403" s="532" t="s">
        <v>1893</v>
      </c>
      <c r="E403" s="532" t="s">
        <v>1894</v>
      </c>
      <c r="F403" s="390" t="s">
        <v>806</v>
      </c>
      <c r="G403" s="390" t="s">
        <v>786</v>
      </c>
      <c r="H403" s="381">
        <v>1</v>
      </c>
      <c r="I403" s="381">
        <v>10</v>
      </c>
      <c r="K403" s="381">
        <f t="shared" si="32"/>
        <v>10</v>
      </c>
      <c r="L403" s="644">
        <f>IFERROR(IF(B403="funkcna poziadavka",VLOOKUP(G403,MODULY_CBA!$B$3:$E$23,4,0)*H403/SUMIFS($H$3:$H$168,$G$3:$G$168,G403,$B$3:$B$168,B403),),)</f>
        <v>12</v>
      </c>
      <c r="M403" s="381">
        <f>IFERROR(IF(B403="Funkcna poziadavka",VLOOKUP(G403,MODULY_CBA!$B$3:$E$23,3,0),),)</f>
        <v>0.99499999999999988</v>
      </c>
      <c r="N403" s="381">
        <f>IFERROR(IF(B403="funkcna poziadavka",VLOOKUP(G403,MODULY_CBA!$B$3:$E$23,2,0),),)</f>
        <v>0.99</v>
      </c>
      <c r="O403" s="380">
        <f t="shared" si="33"/>
        <v>21.671099999999996</v>
      </c>
      <c r="P403" s="379">
        <f>IFERROR(O403*VLOOKUP(G403,MODULY_CBA!$B$3:$F$23,5,0),)</f>
        <v>433.42199999999991</v>
      </c>
      <c r="Q403" s="480" t="str">
        <f>IFERROR(VLOOKUP(G403,MODULY_CBA!$B$3:$I$23,6,0),"")</f>
        <v>Inkrement 1</v>
      </c>
    </row>
    <row r="404" spans="1:17">
      <c r="A404" s="682" t="s">
        <v>1777</v>
      </c>
      <c r="B404" s="402" t="s">
        <v>749</v>
      </c>
      <c r="C404" s="532"/>
      <c r="D404" s="532" t="s">
        <v>1896</v>
      </c>
      <c r="E404" s="532" t="s">
        <v>1882</v>
      </c>
      <c r="F404" s="390" t="s">
        <v>806</v>
      </c>
      <c r="G404" s="390" t="s">
        <v>786</v>
      </c>
      <c r="H404" s="381">
        <v>1</v>
      </c>
      <c r="I404" s="381">
        <v>5</v>
      </c>
      <c r="K404" s="381">
        <f t="shared" si="32"/>
        <v>5</v>
      </c>
      <c r="L404" s="644">
        <f>IFERROR(IF(B404="funkcna poziadavka",VLOOKUP(G404,MODULY_CBA!$B$3:$E$23,4,0)*H404/SUMIFS($H$3:$H$168,$G$3:$G$168,G404,$B$3:$B$168,B404),),)</f>
        <v>12</v>
      </c>
      <c r="M404" s="381">
        <f>IFERROR(IF(B404="Funkcna poziadavka",VLOOKUP(G404,MODULY_CBA!$B$3:$E$23,3,0),),)</f>
        <v>0.99499999999999988</v>
      </c>
      <c r="N404" s="381">
        <f>IFERROR(IF(B404="funkcna poziadavka",VLOOKUP(G404,MODULY_CBA!$B$3:$E$23,2,0),),)</f>
        <v>0.99</v>
      </c>
      <c r="O404" s="380">
        <f t="shared" si="33"/>
        <v>16.745849999999997</v>
      </c>
      <c r="P404" s="379">
        <f>IFERROR(O404*VLOOKUP(G404,MODULY_CBA!$B$3:$F$23,5,0),)</f>
        <v>334.91699999999992</v>
      </c>
      <c r="Q404" s="480" t="str">
        <f>IFERROR(VLOOKUP(G404,MODULY_CBA!$B$3:$I$23,6,0),"")</f>
        <v>Inkrement 1</v>
      </c>
    </row>
    <row r="405" spans="1:17" ht="25.5">
      <c r="A405" s="682" t="s">
        <v>1780</v>
      </c>
      <c r="B405" s="402" t="s">
        <v>749</v>
      </c>
      <c r="C405" s="532"/>
      <c r="D405" s="532" t="s">
        <v>1898</v>
      </c>
      <c r="E405" s="532" t="s">
        <v>1899</v>
      </c>
      <c r="F405" s="390" t="s">
        <v>806</v>
      </c>
      <c r="G405" s="390" t="s">
        <v>786</v>
      </c>
      <c r="H405" s="381">
        <v>1</v>
      </c>
      <c r="I405" s="381">
        <v>5</v>
      </c>
      <c r="K405" s="381">
        <f t="shared" si="32"/>
        <v>5</v>
      </c>
      <c r="L405" s="644">
        <f>IFERROR(IF(B405="funkcna poziadavka",VLOOKUP(G405,MODULY_CBA!$B$3:$E$23,4,0)*H405/SUMIFS($H$3:$H$168,$G$3:$G$168,G405,$B$3:$B$168,B405),),)</f>
        <v>12</v>
      </c>
      <c r="M405" s="381">
        <f>IFERROR(IF(B405="Funkcna poziadavka",VLOOKUP(G405,MODULY_CBA!$B$3:$E$23,3,0),),)</f>
        <v>0.99499999999999988</v>
      </c>
      <c r="N405" s="381">
        <f>IFERROR(IF(B405="funkcna poziadavka",VLOOKUP(G405,MODULY_CBA!$B$3:$E$23,2,0),),)</f>
        <v>0.99</v>
      </c>
      <c r="O405" s="380">
        <f t="shared" si="33"/>
        <v>16.745849999999997</v>
      </c>
      <c r="P405" s="379">
        <f>IFERROR(O405*VLOOKUP(G405,MODULY_CBA!$B$3:$F$23,5,0),)</f>
        <v>334.91699999999992</v>
      </c>
      <c r="Q405" s="480" t="str">
        <f>IFERROR(VLOOKUP(G405,MODULY_CBA!$B$3:$I$23,6,0),"")</f>
        <v>Inkrement 1</v>
      </c>
    </row>
    <row r="406" spans="1:17" ht="25.5">
      <c r="A406" s="682" t="s">
        <v>1783</v>
      </c>
      <c r="B406" s="402" t="s">
        <v>749</v>
      </c>
      <c r="C406" s="532"/>
      <c r="D406" s="532" t="s">
        <v>1901</v>
      </c>
      <c r="E406" s="532" t="s">
        <v>1902</v>
      </c>
      <c r="F406" s="390" t="s">
        <v>806</v>
      </c>
      <c r="G406" s="390" t="s">
        <v>786</v>
      </c>
      <c r="H406" s="381">
        <v>1</v>
      </c>
      <c r="I406" s="381">
        <v>5</v>
      </c>
      <c r="K406" s="381">
        <f t="shared" si="32"/>
        <v>5</v>
      </c>
      <c r="L406" s="644">
        <f>IFERROR(IF(B406="funkcna poziadavka",VLOOKUP(G406,MODULY_CBA!$B$3:$E$23,4,0)*H406/SUMIFS($H$3:$H$168,$G$3:$G$168,G406,$B$3:$B$168,B406),),)</f>
        <v>12</v>
      </c>
      <c r="M406" s="381">
        <f>IFERROR(IF(B406="Funkcna poziadavka",VLOOKUP(G406,MODULY_CBA!$B$3:$E$23,3,0),),)</f>
        <v>0.99499999999999988</v>
      </c>
      <c r="N406" s="381">
        <f>IFERROR(IF(B406="funkcna poziadavka",VLOOKUP(G406,MODULY_CBA!$B$3:$E$23,2,0),),)</f>
        <v>0.99</v>
      </c>
      <c r="O406" s="380">
        <f t="shared" si="33"/>
        <v>16.745849999999997</v>
      </c>
      <c r="P406" s="379">
        <f>IFERROR(O406*VLOOKUP(G406,MODULY_CBA!$B$3:$F$23,5,0),)</f>
        <v>334.91699999999992</v>
      </c>
      <c r="Q406" s="480" t="str">
        <f>IFERROR(VLOOKUP(G406,MODULY_CBA!$B$3:$I$23,6,0),"")</f>
        <v>Inkrement 1</v>
      </c>
    </row>
    <row r="407" spans="1:17" ht="25.5">
      <c r="A407" s="682" t="s">
        <v>1786</v>
      </c>
      <c r="B407" s="402" t="s">
        <v>749</v>
      </c>
      <c r="C407" s="532"/>
      <c r="D407" s="532" t="s">
        <v>1904</v>
      </c>
      <c r="E407" s="532" t="s">
        <v>1905</v>
      </c>
      <c r="F407" s="390" t="s">
        <v>806</v>
      </c>
      <c r="G407" s="390" t="s">
        <v>786</v>
      </c>
      <c r="H407" s="381">
        <v>1</v>
      </c>
      <c r="I407" s="381">
        <v>5</v>
      </c>
      <c r="K407" s="381">
        <f t="shared" si="32"/>
        <v>5</v>
      </c>
      <c r="L407" s="644">
        <f>IFERROR(IF(B407="funkcna poziadavka",VLOOKUP(G407,MODULY_CBA!$B$3:$E$23,4,0)*H407/SUMIFS($H$3:$H$168,$G$3:$G$168,G407,$B$3:$B$168,B407),),)</f>
        <v>12</v>
      </c>
      <c r="M407" s="381">
        <f>IFERROR(IF(B407="Funkcna poziadavka",VLOOKUP(G407,MODULY_CBA!$B$3:$E$23,3,0),),)</f>
        <v>0.99499999999999988</v>
      </c>
      <c r="N407" s="381">
        <f>IFERROR(IF(B407="funkcna poziadavka",VLOOKUP(G407,MODULY_CBA!$B$3:$E$23,2,0),),)</f>
        <v>0.99</v>
      </c>
      <c r="O407" s="380">
        <f t="shared" si="33"/>
        <v>16.745849999999997</v>
      </c>
      <c r="P407" s="379">
        <f>IFERROR(O407*VLOOKUP(G407,MODULY_CBA!$B$3:$F$23,5,0),)</f>
        <v>334.91699999999992</v>
      </c>
      <c r="Q407" s="480" t="str">
        <f>IFERROR(VLOOKUP(G407,MODULY_CBA!$B$3:$I$23,6,0),"")</f>
        <v>Inkrement 1</v>
      </c>
    </row>
    <row r="408" spans="1:17" ht="25.5">
      <c r="A408" s="682" t="s">
        <v>1789</v>
      </c>
      <c r="B408" s="402" t="s">
        <v>749</v>
      </c>
      <c r="C408" s="532"/>
      <c r="D408" s="532" t="s">
        <v>1907</v>
      </c>
      <c r="E408" s="532" t="s">
        <v>1908</v>
      </c>
      <c r="F408" s="390" t="s">
        <v>806</v>
      </c>
      <c r="G408" s="390" t="s">
        <v>786</v>
      </c>
      <c r="H408" s="381">
        <v>1</v>
      </c>
      <c r="I408" s="381">
        <v>5</v>
      </c>
      <c r="K408" s="381">
        <f t="shared" si="32"/>
        <v>5</v>
      </c>
      <c r="L408" s="644">
        <f>IFERROR(IF(B408="funkcna poziadavka",VLOOKUP(G408,MODULY_CBA!$B$3:$E$23,4,0)*H408/SUMIFS($H$3:$H$168,$G$3:$G$168,G408,$B$3:$B$168,B408),),)</f>
        <v>12</v>
      </c>
      <c r="M408" s="381">
        <f>IFERROR(IF(B408="Funkcna poziadavka",VLOOKUP(G408,MODULY_CBA!$B$3:$E$23,3,0),),)</f>
        <v>0.99499999999999988</v>
      </c>
      <c r="N408" s="381">
        <f>IFERROR(IF(B408="funkcna poziadavka",VLOOKUP(G408,MODULY_CBA!$B$3:$E$23,2,0),),)</f>
        <v>0.99</v>
      </c>
      <c r="O408" s="380">
        <f t="shared" si="33"/>
        <v>16.745849999999997</v>
      </c>
      <c r="P408" s="379">
        <f>IFERROR(O408*VLOOKUP(G408,MODULY_CBA!$B$3:$F$23,5,0),)</f>
        <v>334.91699999999992</v>
      </c>
      <c r="Q408" s="480" t="str">
        <f>IFERROR(VLOOKUP(G408,MODULY_CBA!$B$3:$I$23,6,0),"")</f>
        <v>Inkrement 1</v>
      </c>
    </row>
    <row r="409" spans="1:17" ht="25.5">
      <c r="A409" s="682" t="s">
        <v>1792</v>
      </c>
      <c r="B409" s="402" t="s">
        <v>749</v>
      </c>
      <c r="C409" s="532"/>
      <c r="D409" s="532" t="s">
        <v>1910</v>
      </c>
      <c r="E409" s="532" t="s">
        <v>1911</v>
      </c>
      <c r="F409" s="390" t="s">
        <v>806</v>
      </c>
      <c r="G409" s="390" t="s">
        <v>786</v>
      </c>
      <c r="H409" s="381">
        <v>1</v>
      </c>
      <c r="I409" s="381">
        <v>5</v>
      </c>
      <c r="K409" s="381">
        <f t="shared" si="32"/>
        <v>5</v>
      </c>
      <c r="L409" s="644">
        <f>IFERROR(IF(B409="funkcna poziadavka",VLOOKUP(G409,MODULY_CBA!$B$3:$E$23,4,0)*H409/SUMIFS($H$3:$H$168,$G$3:$G$168,G409,$B$3:$B$168,B409),),)</f>
        <v>12</v>
      </c>
      <c r="M409" s="381">
        <f>IFERROR(IF(B409="Funkcna poziadavka",VLOOKUP(G409,MODULY_CBA!$B$3:$E$23,3,0),),)</f>
        <v>0.99499999999999988</v>
      </c>
      <c r="N409" s="381">
        <f>IFERROR(IF(B409="funkcna poziadavka",VLOOKUP(G409,MODULY_CBA!$B$3:$E$23,2,0),),)</f>
        <v>0.99</v>
      </c>
      <c r="O409" s="380">
        <f t="shared" si="33"/>
        <v>16.745849999999997</v>
      </c>
      <c r="P409" s="379">
        <f>IFERROR(O409*VLOOKUP(G409,MODULY_CBA!$B$3:$F$23,5,0),)</f>
        <v>334.91699999999992</v>
      </c>
      <c r="Q409" s="480" t="str">
        <f>IFERROR(VLOOKUP(G409,MODULY_CBA!$B$3:$I$23,6,0),"")</f>
        <v>Inkrement 1</v>
      </c>
    </row>
    <row r="410" spans="1:17" ht="25.5">
      <c r="A410" s="682" t="s">
        <v>1795</v>
      </c>
      <c r="B410" s="402" t="s">
        <v>749</v>
      </c>
      <c r="C410" s="532"/>
      <c r="D410" s="532" t="s">
        <v>1913</v>
      </c>
      <c r="E410" s="532" t="s">
        <v>1914</v>
      </c>
      <c r="F410" s="390" t="s">
        <v>806</v>
      </c>
      <c r="G410" s="390" t="s">
        <v>786</v>
      </c>
      <c r="H410" s="381">
        <v>1</v>
      </c>
      <c r="I410" s="381">
        <v>5</v>
      </c>
      <c r="K410" s="381">
        <f t="shared" si="32"/>
        <v>5</v>
      </c>
      <c r="L410" s="644">
        <f>IFERROR(IF(B410="funkcna poziadavka",VLOOKUP(G410,MODULY_CBA!$B$3:$E$23,4,0)*H410/SUMIFS($H$3:$H$168,$G$3:$G$168,G410,$B$3:$B$168,B410),),)</f>
        <v>12</v>
      </c>
      <c r="M410" s="381">
        <f>IFERROR(IF(B410="Funkcna poziadavka",VLOOKUP(G410,MODULY_CBA!$B$3:$E$23,3,0),),)</f>
        <v>0.99499999999999988</v>
      </c>
      <c r="N410" s="381">
        <f>IFERROR(IF(B410="funkcna poziadavka",VLOOKUP(G410,MODULY_CBA!$B$3:$E$23,2,0),),)</f>
        <v>0.99</v>
      </c>
      <c r="O410" s="380">
        <f t="shared" si="33"/>
        <v>16.745849999999997</v>
      </c>
      <c r="P410" s="379">
        <f>IFERROR(O410*VLOOKUP(G410,MODULY_CBA!$B$3:$F$23,5,0),)</f>
        <v>334.91699999999992</v>
      </c>
      <c r="Q410" s="480" t="str">
        <f>IFERROR(VLOOKUP(G410,MODULY_CBA!$B$3:$I$23,6,0),"")</f>
        <v>Inkrement 1</v>
      </c>
    </row>
    <row r="411" spans="1:17" ht="25.5">
      <c r="A411" s="682" t="s">
        <v>1798</v>
      </c>
      <c r="B411" s="402" t="s">
        <v>749</v>
      </c>
      <c r="C411" s="532"/>
      <c r="D411" s="532" t="s">
        <v>1916</v>
      </c>
      <c r="E411" s="532" t="s">
        <v>1917</v>
      </c>
      <c r="F411" s="390" t="s">
        <v>806</v>
      </c>
      <c r="G411" s="390" t="s">
        <v>786</v>
      </c>
      <c r="H411" s="381">
        <v>1</v>
      </c>
      <c r="I411" s="381">
        <v>5</v>
      </c>
      <c r="K411" s="381">
        <f t="shared" si="32"/>
        <v>5</v>
      </c>
      <c r="L411" s="644">
        <f>IFERROR(IF(B411="funkcna poziadavka",VLOOKUP(G411,MODULY_CBA!$B$3:$E$23,4,0)*H411/SUMIFS($H$3:$H$168,$G$3:$G$168,G411,$B$3:$B$168,B411),),)</f>
        <v>12</v>
      </c>
      <c r="M411" s="381">
        <f>IFERROR(IF(B411="Funkcna poziadavka",VLOOKUP(G411,MODULY_CBA!$B$3:$E$23,3,0),),)</f>
        <v>0.99499999999999988</v>
      </c>
      <c r="N411" s="381">
        <f>IFERROR(IF(B411="funkcna poziadavka",VLOOKUP(G411,MODULY_CBA!$B$3:$E$23,2,0),),)</f>
        <v>0.99</v>
      </c>
      <c r="O411" s="380">
        <f t="shared" si="33"/>
        <v>16.745849999999997</v>
      </c>
      <c r="P411" s="379">
        <f>IFERROR(O411*VLOOKUP(G411,MODULY_CBA!$B$3:$F$23,5,0),)</f>
        <v>334.91699999999992</v>
      </c>
      <c r="Q411" s="480" t="str">
        <f>IFERROR(VLOOKUP(G411,MODULY_CBA!$B$3:$I$23,6,0),"")</f>
        <v>Inkrement 1</v>
      </c>
    </row>
    <row r="412" spans="1:17" ht="25.5">
      <c r="A412" s="682" t="s">
        <v>1801</v>
      </c>
      <c r="B412" s="402" t="s">
        <v>749</v>
      </c>
      <c r="C412" s="532"/>
      <c r="D412" s="532" t="s">
        <v>1919</v>
      </c>
      <c r="E412" s="532" t="s">
        <v>1920</v>
      </c>
      <c r="F412" s="390" t="s">
        <v>806</v>
      </c>
      <c r="G412" s="390" t="s">
        <v>786</v>
      </c>
      <c r="H412" s="381">
        <v>1</v>
      </c>
      <c r="I412" s="381">
        <v>5</v>
      </c>
      <c r="K412" s="381">
        <f t="shared" si="32"/>
        <v>5</v>
      </c>
      <c r="L412" s="644">
        <f>IFERROR(IF(B412="funkcna poziadavka",VLOOKUP(G412,MODULY_CBA!$B$3:$E$23,4,0)*H412/SUMIFS($H$3:$H$168,$G$3:$G$168,G412,$B$3:$B$168,B412),),)</f>
        <v>12</v>
      </c>
      <c r="M412" s="381">
        <f>IFERROR(IF(B412="Funkcna poziadavka",VLOOKUP(G412,MODULY_CBA!$B$3:$E$23,3,0),),)</f>
        <v>0.99499999999999988</v>
      </c>
      <c r="N412" s="381">
        <f>IFERROR(IF(B412="funkcna poziadavka",VLOOKUP(G412,MODULY_CBA!$B$3:$E$23,2,0),),)</f>
        <v>0.99</v>
      </c>
      <c r="O412" s="380">
        <f t="shared" si="33"/>
        <v>16.745849999999997</v>
      </c>
      <c r="P412" s="379">
        <f>IFERROR(O412*VLOOKUP(G412,MODULY_CBA!$B$3:$F$23,5,0),)</f>
        <v>334.91699999999992</v>
      </c>
      <c r="Q412" s="480" t="str">
        <f>IFERROR(VLOOKUP(G412,MODULY_CBA!$B$3:$I$23,6,0),"")</f>
        <v>Inkrement 1</v>
      </c>
    </row>
    <row r="413" spans="1:17" ht="38.25">
      <c r="A413" s="682" t="s">
        <v>1804</v>
      </c>
      <c r="B413" s="402" t="s">
        <v>749</v>
      </c>
      <c r="C413" s="532"/>
      <c r="D413" s="532" t="s">
        <v>1922</v>
      </c>
      <c r="E413" s="532" t="s">
        <v>1923</v>
      </c>
      <c r="F413" s="390" t="s">
        <v>806</v>
      </c>
      <c r="G413" s="390" t="s">
        <v>786</v>
      </c>
      <c r="H413" s="381">
        <v>1</v>
      </c>
      <c r="I413" s="381">
        <v>10</v>
      </c>
      <c r="K413" s="381">
        <f t="shared" si="32"/>
        <v>10</v>
      </c>
      <c r="L413" s="644">
        <f>IFERROR(IF(B413="funkcna poziadavka",VLOOKUP(G413,MODULY_CBA!$B$3:$E$23,4,0)*H413/SUMIFS($H$3:$H$168,$G$3:$G$168,G413,$B$3:$B$168,B413),),)</f>
        <v>12</v>
      </c>
      <c r="M413" s="381">
        <f>IFERROR(IF(B413="Funkcna poziadavka",VLOOKUP(G413,MODULY_CBA!$B$3:$E$23,3,0),),)</f>
        <v>0.99499999999999988</v>
      </c>
      <c r="N413" s="381">
        <f>IFERROR(IF(B413="funkcna poziadavka",VLOOKUP(G413,MODULY_CBA!$B$3:$E$23,2,0),),)</f>
        <v>0.99</v>
      </c>
      <c r="O413" s="380">
        <f t="shared" si="33"/>
        <v>21.671099999999996</v>
      </c>
      <c r="P413" s="379">
        <f>IFERROR(O413*VLOOKUP(G413,MODULY_CBA!$B$3:$F$23,5,0),)</f>
        <v>433.42199999999991</v>
      </c>
      <c r="Q413" s="480" t="str">
        <f>IFERROR(VLOOKUP(G413,MODULY_CBA!$B$3:$I$23,6,0),"")</f>
        <v>Inkrement 1</v>
      </c>
    </row>
    <row r="414" spans="1:17" ht="25.5">
      <c r="A414" s="682" t="s">
        <v>1807</v>
      </c>
      <c r="B414" s="402" t="s">
        <v>749</v>
      </c>
      <c r="C414" s="532"/>
      <c r="D414" s="532" t="s">
        <v>1925</v>
      </c>
      <c r="E414" s="532" t="s">
        <v>1926</v>
      </c>
      <c r="F414" s="390" t="s">
        <v>806</v>
      </c>
      <c r="G414" s="390" t="s">
        <v>786</v>
      </c>
      <c r="H414" s="381">
        <v>1</v>
      </c>
      <c r="I414" s="381">
        <v>5</v>
      </c>
      <c r="K414" s="381">
        <f t="shared" si="32"/>
        <v>5</v>
      </c>
      <c r="L414" s="644">
        <f>IFERROR(IF(B414="funkcna poziadavka",VLOOKUP(G414,MODULY_CBA!$B$3:$E$23,4,0)*H414/SUMIFS($H$3:$H$168,$G$3:$G$168,G414,$B$3:$B$168,B414),),)</f>
        <v>12</v>
      </c>
      <c r="M414" s="381">
        <f>IFERROR(IF(B414="Funkcna poziadavka",VLOOKUP(G414,MODULY_CBA!$B$3:$E$23,3,0),),)</f>
        <v>0.99499999999999988</v>
      </c>
      <c r="N414" s="381">
        <f>IFERROR(IF(B414="funkcna poziadavka",VLOOKUP(G414,MODULY_CBA!$B$3:$E$23,2,0),),)</f>
        <v>0.99</v>
      </c>
      <c r="O414" s="380">
        <f t="shared" si="33"/>
        <v>16.745849999999997</v>
      </c>
      <c r="P414" s="379">
        <f>IFERROR(O414*VLOOKUP(G414,MODULY_CBA!$B$3:$F$23,5,0),)</f>
        <v>334.91699999999992</v>
      </c>
      <c r="Q414" s="480" t="str">
        <f>IFERROR(VLOOKUP(G414,MODULY_CBA!$B$3:$I$23,6,0),"")</f>
        <v>Inkrement 1</v>
      </c>
    </row>
    <row r="415" spans="1:17" ht="25.5">
      <c r="A415" s="682" t="s">
        <v>1810</v>
      </c>
      <c r="B415" s="402" t="s">
        <v>749</v>
      </c>
      <c r="C415" s="532"/>
      <c r="D415" s="532" t="s">
        <v>1928</v>
      </c>
      <c r="E415" s="532" t="s">
        <v>1929</v>
      </c>
      <c r="F415" s="390" t="s">
        <v>806</v>
      </c>
      <c r="G415" s="390" t="s">
        <v>786</v>
      </c>
      <c r="H415" s="381">
        <v>1</v>
      </c>
      <c r="I415" s="381">
        <v>5</v>
      </c>
      <c r="K415" s="381">
        <f t="shared" si="32"/>
        <v>5</v>
      </c>
      <c r="L415" s="644">
        <f>IFERROR(IF(B415="funkcna poziadavka",VLOOKUP(G415,MODULY_CBA!$B$3:$E$23,4,0)*H415/SUMIFS($H$3:$H$168,$G$3:$G$168,G415,$B$3:$B$168,B415),),)</f>
        <v>12</v>
      </c>
      <c r="M415" s="381">
        <f>IFERROR(IF(B415="Funkcna poziadavka",VLOOKUP(G415,MODULY_CBA!$B$3:$E$23,3,0),),)</f>
        <v>0.99499999999999988</v>
      </c>
      <c r="N415" s="381">
        <f>IFERROR(IF(B415="funkcna poziadavka",VLOOKUP(G415,MODULY_CBA!$B$3:$E$23,2,0),),)</f>
        <v>0.99</v>
      </c>
      <c r="O415" s="380">
        <f t="shared" si="33"/>
        <v>16.745849999999997</v>
      </c>
      <c r="P415" s="379">
        <f>IFERROR(O415*VLOOKUP(G415,MODULY_CBA!$B$3:$F$23,5,0),)</f>
        <v>334.91699999999992</v>
      </c>
      <c r="Q415" s="480" t="str">
        <f>IFERROR(VLOOKUP(G415,MODULY_CBA!$B$3:$I$23,6,0),"")</f>
        <v>Inkrement 1</v>
      </c>
    </row>
    <row r="416" spans="1:17">
      <c r="A416" s="682" t="s">
        <v>1813</v>
      </c>
      <c r="B416" s="402" t="s">
        <v>749</v>
      </c>
      <c r="C416" s="532"/>
      <c r="D416" s="532" t="s">
        <v>1931</v>
      </c>
      <c r="E416" s="532" t="s">
        <v>1932</v>
      </c>
      <c r="F416" s="390" t="s">
        <v>806</v>
      </c>
      <c r="G416" s="390" t="s">
        <v>786</v>
      </c>
      <c r="H416" s="381">
        <v>1</v>
      </c>
      <c r="I416" s="381">
        <v>5</v>
      </c>
      <c r="K416" s="381">
        <f t="shared" si="32"/>
        <v>5</v>
      </c>
      <c r="L416" s="644">
        <f>IFERROR(IF(B416="funkcna poziadavka",VLOOKUP(G416,MODULY_CBA!$B$3:$E$23,4,0)*H416/SUMIFS($H$3:$H$168,$G$3:$G$168,G416,$B$3:$B$168,B416),),)</f>
        <v>12</v>
      </c>
      <c r="M416" s="381">
        <f>IFERROR(IF(B416="Funkcna poziadavka",VLOOKUP(G416,MODULY_CBA!$B$3:$E$23,3,0),),)</f>
        <v>0.99499999999999988</v>
      </c>
      <c r="N416" s="381">
        <f>IFERROR(IF(B416="funkcna poziadavka",VLOOKUP(G416,MODULY_CBA!$B$3:$E$23,2,0),),)</f>
        <v>0.99</v>
      </c>
      <c r="O416" s="380">
        <f t="shared" si="33"/>
        <v>16.745849999999997</v>
      </c>
      <c r="P416" s="379">
        <f>IFERROR(O416*VLOOKUP(G416,MODULY_CBA!$B$3:$F$23,5,0),)</f>
        <v>334.91699999999992</v>
      </c>
      <c r="Q416" s="480" t="str">
        <f>IFERROR(VLOOKUP(G416,MODULY_CBA!$B$3:$I$23,6,0),"")</f>
        <v>Inkrement 1</v>
      </c>
    </row>
    <row r="417" spans="1:17" ht="25.5">
      <c r="A417" s="682" t="s">
        <v>1816</v>
      </c>
      <c r="B417" s="402" t="s">
        <v>749</v>
      </c>
      <c r="C417" s="532"/>
      <c r="D417" s="532" t="s">
        <v>1934</v>
      </c>
      <c r="E417" s="532" t="s">
        <v>1935</v>
      </c>
      <c r="F417" s="390" t="s">
        <v>806</v>
      </c>
      <c r="G417" s="390" t="s">
        <v>786</v>
      </c>
      <c r="H417" s="381">
        <v>1</v>
      </c>
      <c r="I417" s="381">
        <v>5</v>
      </c>
      <c r="K417" s="381">
        <f t="shared" si="32"/>
        <v>5</v>
      </c>
      <c r="L417" s="644">
        <f>IFERROR(IF(B417="funkcna poziadavka",VLOOKUP(G417,MODULY_CBA!$B$3:$E$23,4,0)*H417/SUMIFS($H$3:$H$168,$G$3:$G$168,G417,$B$3:$B$168,B417),),)</f>
        <v>12</v>
      </c>
      <c r="M417" s="381">
        <f>IFERROR(IF(B417="Funkcna poziadavka",VLOOKUP(G417,MODULY_CBA!$B$3:$E$23,3,0),),)</f>
        <v>0.99499999999999988</v>
      </c>
      <c r="N417" s="381">
        <f>IFERROR(IF(B417="funkcna poziadavka",VLOOKUP(G417,MODULY_CBA!$B$3:$E$23,2,0),),)</f>
        <v>0.99</v>
      </c>
      <c r="O417" s="380">
        <f t="shared" si="33"/>
        <v>16.745849999999997</v>
      </c>
      <c r="P417" s="379">
        <f>IFERROR(O417*VLOOKUP(G417,MODULY_CBA!$B$3:$F$23,5,0),)</f>
        <v>334.91699999999992</v>
      </c>
      <c r="Q417" s="480" t="str">
        <f>IFERROR(VLOOKUP(G417,MODULY_CBA!$B$3:$I$23,6,0),"")</f>
        <v>Inkrement 1</v>
      </c>
    </row>
    <row r="418" spans="1:17" ht="25.5">
      <c r="A418" s="682" t="s">
        <v>1819</v>
      </c>
      <c r="B418" s="402" t="s">
        <v>749</v>
      </c>
      <c r="C418" s="532"/>
      <c r="D418" s="532" t="s">
        <v>1937</v>
      </c>
      <c r="E418" s="532" t="s">
        <v>1938</v>
      </c>
      <c r="F418" s="390" t="s">
        <v>806</v>
      </c>
      <c r="G418" s="390" t="s">
        <v>786</v>
      </c>
      <c r="H418" s="381">
        <v>1</v>
      </c>
      <c r="I418" s="381">
        <v>5</v>
      </c>
      <c r="K418" s="381">
        <f t="shared" si="32"/>
        <v>5</v>
      </c>
      <c r="L418" s="644">
        <f>IFERROR(IF(B418="funkcna poziadavka",VLOOKUP(G418,MODULY_CBA!$B$3:$E$23,4,0)*H418/SUMIFS($H$3:$H$168,$G$3:$G$168,G418,$B$3:$B$168,B418),),)</f>
        <v>12</v>
      </c>
      <c r="M418" s="381">
        <f>IFERROR(IF(B418="Funkcna poziadavka",VLOOKUP(G418,MODULY_CBA!$B$3:$E$23,3,0),),)</f>
        <v>0.99499999999999988</v>
      </c>
      <c r="N418" s="381">
        <f>IFERROR(IF(B418="funkcna poziadavka",VLOOKUP(G418,MODULY_CBA!$B$3:$E$23,2,0),),)</f>
        <v>0.99</v>
      </c>
      <c r="O418" s="380">
        <f t="shared" si="33"/>
        <v>16.745849999999997</v>
      </c>
      <c r="P418" s="379">
        <f>IFERROR(O418*VLOOKUP(G418,MODULY_CBA!$B$3:$F$23,5,0),)</f>
        <v>334.91699999999992</v>
      </c>
      <c r="Q418" s="480" t="str">
        <f>IFERROR(VLOOKUP(G418,MODULY_CBA!$B$3:$I$23,6,0),"")</f>
        <v>Inkrement 1</v>
      </c>
    </row>
    <row r="419" spans="1:17" ht="25.5">
      <c r="A419" s="682" t="s">
        <v>1822</v>
      </c>
      <c r="B419" s="402" t="s">
        <v>749</v>
      </c>
      <c r="C419" s="532"/>
      <c r="D419" s="532" t="s">
        <v>1940</v>
      </c>
      <c r="E419" s="532" t="s">
        <v>1941</v>
      </c>
      <c r="F419" s="390" t="s">
        <v>806</v>
      </c>
      <c r="G419" s="390" t="s">
        <v>786</v>
      </c>
      <c r="H419" s="381">
        <v>1</v>
      </c>
      <c r="I419" s="381">
        <v>15</v>
      </c>
      <c r="K419" s="381">
        <f t="shared" si="32"/>
        <v>15</v>
      </c>
      <c r="L419" s="644">
        <f>IFERROR(IF(B419="funkcna poziadavka",VLOOKUP(G419,MODULY_CBA!$B$3:$E$23,4,0)*H419/SUMIFS($H$3:$H$168,$G$3:$G$168,G419,$B$3:$B$168,B419),),)</f>
        <v>12</v>
      </c>
      <c r="M419" s="381">
        <f>IFERROR(IF(B419="Funkcna poziadavka",VLOOKUP(G419,MODULY_CBA!$B$3:$E$23,3,0),),)</f>
        <v>0.99499999999999988</v>
      </c>
      <c r="N419" s="381">
        <f>IFERROR(IF(B419="funkcna poziadavka",VLOOKUP(G419,MODULY_CBA!$B$3:$E$23,2,0),),)</f>
        <v>0.99</v>
      </c>
      <c r="O419" s="380">
        <f t="shared" si="33"/>
        <v>26.596349999999997</v>
      </c>
      <c r="P419" s="379">
        <f>IFERROR(O419*VLOOKUP(G419,MODULY_CBA!$B$3:$F$23,5,0),)</f>
        <v>531.92699999999991</v>
      </c>
      <c r="Q419" s="480" t="str">
        <f>IFERROR(VLOOKUP(G419,MODULY_CBA!$B$3:$I$23,6,0),"")</f>
        <v>Inkrement 1</v>
      </c>
    </row>
    <row r="420" spans="1:17">
      <c r="A420" s="682" t="s">
        <v>1825</v>
      </c>
      <c r="B420" s="402" t="s">
        <v>749</v>
      </c>
      <c r="C420" s="532"/>
      <c r="D420" s="532" t="s">
        <v>1943</v>
      </c>
      <c r="E420" s="532" t="s">
        <v>1944</v>
      </c>
      <c r="F420" s="390" t="s">
        <v>806</v>
      </c>
      <c r="G420" s="390" t="s">
        <v>786</v>
      </c>
      <c r="H420" s="381">
        <v>1</v>
      </c>
      <c r="I420" s="381">
        <v>5</v>
      </c>
      <c r="K420" s="381">
        <f t="shared" si="32"/>
        <v>5</v>
      </c>
      <c r="L420" s="644">
        <f>IFERROR(IF(B420="funkcna poziadavka",VLOOKUP(G420,MODULY_CBA!$B$3:$E$23,4,0)*H420/SUMIFS($H$3:$H$168,$G$3:$G$168,G420,$B$3:$B$168,B420),),)</f>
        <v>12</v>
      </c>
      <c r="M420" s="381">
        <f>IFERROR(IF(B420="Funkcna poziadavka",VLOOKUP(G420,MODULY_CBA!$B$3:$E$23,3,0),),)</f>
        <v>0.99499999999999988</v>
      </c>
      <c r="N420" s="381">
        <f>IFERROR(IF(B420="funkcna poziadavka",VLOOKUP(G420,MODULY_CBA!$B$3:$E$23,2,0),),)</f>
        <v>0.99</v>
      </c>
      <c r="O420" s="380">
        <f t="shared" si="33"/>
        <v>16.745849999999997</v>
      </c>
      <c r="P420" s="379">
        <f>IFERROR(O420*VLOOKUP(G420,MODULY_CBA!$B$3:$F$23,5,0),)</f>
        <v>334.91699999999992</v>
      </c>
      <c r="Q420" s="480" t="str">
        <f>IFERROR(VLOOKUP(G420,MODULY_CBA!$B$3:$I$23,6,0),"")</f>
        <v>Inkrement 1</v>
      </c>
    </row>
    <row r="421" spans="1:17" ht="38.25">
      <c r="A421" s="682" t="s">
        <v>1828</v>
      </c>
      <c r="B421" s="402" t="s">
        <v>749</v>
      </c>
      <c r="C421" s="532"/>
      <c r="D421" s="532" t="s">
        <v>1946</v>
      </c>
      <c r="E421" s="532" t="s">
        <v>1947</v>
      </c>
      <c r="F421" s="390" t="s">
        <v>806</v>
      </c>
      <c r="G421" s="390" t="s">
        <v>786</v>
      </c>
      <c r="H421" s="381">
        <v>1</v>
      </c>
      <c r="I421" s="381">
        <v>5</v>
      </c>
      <c r="K421" s="381">
        <f t="shared" si="32"/>
        <v>5</v>
      </c>
      <c r="L421" s="644">
        <f>IFERROR(IF(B421="funkcna poziadavka",VLOOKUP(G421,MODULY_CBA!$B$3:$E$23,4,0)*H421/SUMIFS($H$3:$H$168,$G$3:$G$168,G421,$B$3:$B$168,B421),),)</f>
        <v>12</v>
      </c>
      <c r="M421" s="381">
        <f>IFERROR(IF(B421="Funkcna poziadavka",VLOOKUP(G421,MODULY_CBA!$B$3:$E$23,3,0),),)</f>
        <v>0.99499999999999988</v>
      </c>
      <c r="N421" s="381">
        <f>IFERROR(IF(B421="funkcna poziadavka",VLOOKUP(G421,MODULY_CBA!$B$3:$E$23,2,0),),)</f>
        <v>0.99</v>
      </c>
      <c r="O421" s="380">
        <f t="shared" si="33"/>
        <v>16.745849999999997</v>
      </c>
      <c r="P421" s="379">
        <f>IFERROR(O421*VLOOKUP(G421,MODULY_CBA!$B$3:$F$23,5,0),)</f>
        <v>334.91699999999992</v>
      </c>
      <c r="Q421" s="480" t="str">
        <f>IFERROR(VLOOKUP(G421,MODULY_CBA!$B$3:$I$23,6,0),"")</f>
        <v>Inkrement 1</v>
      </c>
    </row>
    <row r="422" spans="1:17" ht="25.5">
      <c r="A422" s="682" t="s">
        <v>1829</v>
      </c>
      <c r="B422" s="402" t="s">
        <v>749</v>
      </c>
      <c r="C422" s="532"/>
      <c r="D422" s="532" t="s">
        <v>1949</v>
      </c>
      <c r="E422" s="532" t="s">
        <v>1950</v>
      </c>
      <c r="F422" s="390" t="s">
        <v>806</v>
      </c>
      <c r="G422" s="390" t="s">
        <v>786</v>
      </c>
      <c r="H422" s="381">
        <v>1</v>
      </c>
      <c r="I422" s="381">
        <v>10</v>
      </c>
      <c r="K422" s="381">
        <f t="shared" si="32"/>
        <v>10</v>
      </c>
      <c r="L422" s="644">
        <f>IFERROR(IF(B422="funkcna poziadavka",VLOOKUP(G422,MODULY_CBA!$B$3:$E$23,4,0)*H422/SUMIFS($H$3:$H$168,$G$3:$G$168,G422,$B$3:$B$168,B422),),)</f>
        <v>12</v>
      </c>
      <c r="M422" s="381">
        <f>IFERROR(IF(B422="Funkcna poziadavka",VLOOKUP(G422,MODULY_CBA!$B$3:$E$23,3,0),),)</f>
        <v>0.99499999999999988</v>
      </c>
      <c r="N422" s="381">
        <f>IFERROR(IF(B422="funkcna poziadavka",VLOOKUP(G422,MODULY_CBA!$B$3:$E$23,2,0),),)</f>
        <v>0.99</v>
      </c>
      <c r="O422" s="380">
        <f t="shared" si="33"/>
        <v>21.671099999999996</v>
      </c>
      <c r="P422" s="379">
        <f>IFERROR(O422*VLOOKUP(G422,MODULY_CBA!$B$3:$F$23,5,0),)</f>
        <v>433.42199999999991</v>
      </c>
      <c r="Q422" s="480" t="str">
        <f>IFERROR(VLOOKUP(G422,MODULY_CBA!$B$3:$I$23,6,0),"")</f>
        <v>Inkrement 1</v>
      </c>
    </row>
    <row r="423" spans="1:17" ht="25.5">
      <c r="A423" s="682" t="s">
        <v>1830</v>
      </c>
      <c r="B423" s="402" t="s">
        <v>749</v>
      </c>
      <c r="C423" s="532"/>
      <c r="D423" s="532" t="s">
        <v>1952</v>
      </c>
      <c r="E423" s="532" t="s">
        <v>1953</v>
      </c>
      <c r="F423" s="390" t="s">
        <v>806</v>
      </c>
      <c r="G423" s="390" t="s">
        <v>786</v>
      </c>
      <c r="H423" s="381">
        <v>1</v>
      </c>
      <c r="I423" s="381">
        <v>5</v>
      </c>
      <c r="K423" s="381">
        <f t="shared" si="32"/>
        <v>5</v>
      </c>
      <c r="L423" s="644">
        <f>IFERROR(IF(B423="funkcna poziadavka",VLOOKUP(G423,MODULY_CBA!$B$3:$E$23,4,0)*H423/SUMIFS($H$3:$H$168,$G$3:$G$168,G423,$B$3:$B$168,B423),),)</f>
        <v>12</v>
      </c>
      <c r="M423" s="381">
        <f>IFERROR(IF(B423="Funkcna poziadavka",VLOOKUP(G423,MODULY_CBA!$B$3:$E$23,3,0),),)</f>
        <v>0.99499999999999988</v>
      </c>
      <c r="N423" s="381">
        <f>IFERROR(IF(B423="funkcna poziadavka",VLOOKUP(G423,MODULY_CBA!$B$3:$E$23,2,0),),)</f>
        <v>0.99</v>
      </c>
      <c r="O423" s="380">
        <f t="shared" si="33"/>
        <v>16.745849999999997</v>
      </c>
      <c r="P423" s="379">
        <f>IFERROR(O423*VLOOKUP(G423,MODULY_CBA!$B$3:$F$23,5,0),)</f>
        <v>334.91699999999992</v>
      </c>
      <c r="Q423" s="480" t="str">
        <f>IFERROR(VLOOKUP(G423,MODULY_CBA!$B$3:$I$23,6,0),"")</f>
        <v>Inkrement 1</v>
      </c>
    </row>
    <row r="424" spans="1:17" ht="25.5">
      <c r="A424" s="682" t="s">
        <v>1831</v>
      </c>
      <c r="B424" s="402" t="s">
        <v>749</v>
      </c>
      <c r="C424" s="532"/>
      <c r="D424" s="532" t="s">
        <v>1955</v>
      </c>
      <c r="E424" s="532" t="s">
        <v>1956</v>
      </c>
      <c r="F424" s="390" t="s">
        <v>806</v>
      </c>
      <c r="G424" s="390" t="s">
        <v>786</v>
      </c>
      <c r="H424" s="381">
        <v>1</v>
      </c>
      <c r="I424" s="381">
        <v>5</v>
      </c>
      <c r="K424" s="381">
        <f t="shared" si="32"/>
        <v>5</v>
      </c>
      <c r="L424" s="644">
        <f>IFERROR(IF(B424="funkcna poziadavka",VLOOKUP(G424,MODULY_CBA!$B$3:$E$23,4,0)*H424/SUMIFS($H$3:$H$168,$G$3:$G$168,G424,$B$3:$B$168,B424),),)</f>
        <v>12</v>
      </c>
      <c r="M424" s="381">
        <f>IFERROR(IF(B424="Funkcna poziadavka",VLOOKUP(G424,MODULY_CBA!$B$3:$E$23,3,0),),)</f>
        <v>0.99499999999999988</v>
      </c>
      <c r="N424" s="381">
        <f>IFERROR(IF(B424="funkcna poziadavka",VLOOKUP(G424,MODULY_CBA!$B$3:$E$23,2,0),),)</f>
        <v>0.99</v>
      </c>
      <c r="O424" s="380">
        <f t="shared" si="33"/>
        <v>16.745849999999997</v>
      </c>
      <c r="P424" s="379">
        <f>IFERROR(O424*VLOOKUP(G424,MODULY_CBA!$B$3:$F$23,5,0),)</f>
        <v>334.91699999999992</v>
      </c>
      <c r="Q424" s="480" t="str">
        <f>IFERROR(VLOOKUP(G424,MODULY_CBA!$B$3:$I$23,6,0),"")</f>
        <v>Inkrement 1</v>
      </c>
    </row>
    <row r="425" spans="1:17" ht="25.5">
      <c r="A425" s="682" t="s">
        <v>1832</v>
      </c>
      <c r="B425" s="402" t="s">
        <v>749</v>
      </c>
      <c r="C425" s="532"/>
      <c r="D425" s="532" t="s">
        <v>1958</v>
      </c>
      <c r="E425" s="532" t="s">
        <v>1959</v>
      </c>
      <c r="F425" s="390" t="s">
        <v>806</v>
      </c>
      <c r="G425" s="390" t="s">
        <v>786</v>
      </c>
      <c r="H425" s="381">
        <v>1</v>
      </c>
      <c r="I425" s="381">
        <v>5</v>
      </c>
      <c r="K425" s="381">
        <f t="shared" si="32"/>
        <v>5</v>
      </c>
      <c r="L425" s="644">
        <f>IFERROR(IF(B425="funkcna poziadavka",VLOOKUP(G425,MODULY_CBA!$B$3:$E$23,4,0)*H425/SUMIFS($H$3:$H$168,$G$3:$G$168,G425,$B$3:$B$168,B425),),)</f>
        <v>12</v>
      </c>
      <c r="M425" s="381">
        <f>IFERROR(IF(B425="Funkcna poziadavka",VLOOKUP(G425,MODULY_CBA!$B$3:$E$23,3,0),),)</f>
        <v>0.99499999999999988</v>
      </c>
      <c r="N425" s="381">
        <f>IFERROR(IF(B425="funkcna poziadavka",VLOOKUP(G425,MODULY_CBA!$B$3:$E$23,2,0),),)</f>
        <v>0.99</v>
      </c>
      <c r="O425" s="380">
        <f t="shared" si="33"/>
        <v>16.745849999999997</v>
      </c>
      <c r="P425" s="379">
        <f>IFERROR(O425*VLOOKUP(G425,MODULY_CBA!$B$3:$F$23,5,0),)</f>
        <v>334.91699999999992</v>
      </c>
      <c r="Q425" s="480" t="str">
        <f>IFERROR(VLOOKUP(G425,MODULY_CBA!$B$3:$I$23,6,0),"")</f>
        <v>Inkrement 1</v>
      </c>
    </row>
    <row r="426" spans="1:17" ht="38.25">
      <c r="A426" s="682" t="s">
        <v>1835</v>
      </c>
      <c r="B426" s="402" t="s">
        <v>749</v>
      </c>
      <c r="C426" s="532"/>
      <c r="D426" s="532" t="s">
        <v>1961</v>
      </c>
      <c r="E426" s="532" t="s">
        <v>1962</v>
      </c>
      <c r="F426" s="390" t="s">
        <v>806</v>
      </c>
      <c r="G426" s="390" t="s">
        <v>786</v>
      </c>
      <c r="H426" s="381">
        <v>1</v>
      </c>
      <c r="I426" s="381">
        <v>5</v>
      </c>
      <c r="K426" s="381">
        <f t="shared" si="32"/>
        <v>5</v>
      </c>
      <c r="L426" s="644">
        <f>IFERROR(IF(B426="funkcna poziadavka",VLOOKUP(G426,MODULY_CBA!$B$3:$E$23,4,0)*H426/SUMIFS($H$3:$H$168,$G$3:$G$168,G426,$B$3:$B$168,B426),),)</f>
        <v>12</v>
      </c>
      <c r="M426" s="381">
        <f>IFERROR(IF(B426="Funkcna poziadavka",VLOOKUP(G426,MODULY_CBA!$B$3:$E$23,3,0),),)</f>
        <v>0.99499999999999988</v>
      </c>
      <c r="N426" s="381">
        <f>IFERROR(IF(B426="funkcna poziadavka",VLOOKUP(G426,MODULY_CBA!$B$3:$E$23,2,0),),)</f>
        <v>0.99</v>
      </c>
      <c r="O426" s="380">
        <f t="shared" si="33"/>
        <v>16.745849999999997</v>
      </c>
      <c r="P426" s="379">
        <f>IFERROR(O426*VLOOKUP(G426,MODULY_CBA!$B$3:$F$23,5,0),)</f>
        <v>334.91699999999992</v>
      </c>
      <c r="Q426" s="480" t="str">
        <f>IFERROR(VLOOKUP(G426,MODULY_CBA!$B$3:$I$23,6,0),"")</f>
        <v>Inkrement 1</v>
      </c>
    </row>
    <row r="427" spans="1:17" ht="25.5">
      <c r="A427" s="682" t="s">
        <v>1838</v>
      </c>
      <c r="B427" s="402" t="s">
        <v>749</v>
      </c>
      <c r="C427" s="532"/>
      <c r="D427" s="532" t="s">
        <v>1964</v>
      </c>
      <c r="E427" s="532" t="s">
        <v>1965</v>
      </c>
      <c r="F427" s="390" t="s">
        <v>806</v>
      </c>
      <c r="G427" s="390" t="s">
        <v>786</v>
      </c>
      <c r="H427" s="381">
        <v>1</v>
      </c>
      <c r="I427" s="381">
        <v>5</v>
      </c>
      <c r="K427" s="381">
        <f t="shared" si="32"/>
        <v>5</v>
      </c>
      <c r="L427" s="644">
        <f>IFERROR(IF(B427="funkcna poziadavka",VLOOKUP(G427,MODULY_CBA!$B$3:$E$23,4,0)*H427/SUMIFS($H$3:$H$168,$G$3:$G$168,G427,$B$3:$B$168,B427),),)</f>
        <v>12</v>
      </c>
      <c r="M427" s="381">
        <f>IFERROR(IF(B427="Funkcna poziadavka",VLOOKUP(G427,MODULY_CBA!$B$3:$E$23,3,0),),)</f>
        <v>0.99499999999999988</v>
      </c>
      <c r="N427" s="381">
        <f>IFERROR(IF(B427="funkcna poziadavka",VLOOKUP(G427,MODULY_CBA!$B$3:$E$23,2,0),),)</f>
        <v>0.99</v>
      </c>
      <c r="O427" s="380">
        <f t="shared" si="33"/>
        <v>16.745849999999997</v>
      </c>
      <c r="P427" s="379">
        <f>IFERROR(O427*VLOOKUP(G427,MODULY_CBA!$B$3:$F$23,5,0),)</f>
        <v>334.91699999999992</v>
      </c>
      <c r="Q427" s="480" t="str">
        <f>IFERROR(VLOOKUP(G427,MODULY_CBA!$B$3:$I$23,6,0),"")</f>
        <v>Inkrement 1</v>
      </c>
    </row>
    <row r="428" spans="1:17" ht="25.5">
      <c r="A428" s="682" t="s">
        <v>1841</v>
      </c>
      <c r="B428" s="402" t="s">
        <v>749</v>
      </c>
      <c r="C428" s="532"/>
      <c r="D428" s="532" t="s">
        <v>1967</v>
      </c>
      <c r="E428" s="532" t="s">
        <v>1968</v>
      </c>
      <c r="F428" s="390" t="s">
        <v>806</v>
      </c>
      <c r="G428" s="390" t="s">
        <v>786</v>
      </c>
      <c r="H428" s="381">
        <v>1</v>
      </c>
      <c r="I428" s="381">
        <v>5</v>
      </c>
      <c r="K428" s="381">
        <f t="shared" si="32"/>
        <v>5</v>
      </c>
      <c r="L428" s="644">
        <f>IFERROR(IF(B428="funkcna poziadavka",VLOOKUP(G428,MODULY_CBA!$B$3:$E$23,4,0)*H428/SUMIFS($H$3:$H$168,$G$3:$G$168,G428,$B$3:$B$168,B428),),)</f>
        <v>12</v>
      </c>
      <c r="M428" s="381">
        <f>IFERROR(IF(B428="Funkcna poziadavka",VLOOKUP(G428,MODULY_CBA!$B$3:$E$23,3,0),),)</f>
        <v>0.99499999999999988</v>
      </c>
      <c r="N428" s="381">
        <f>IFERROR(IF(B428="funkcna poziadavka",VLOOKUP(G428,MODULY_CBA!$B$3:$E$23,2,0),),)</f>
        <v>0.99</v>
      </c>
      <c r="O428" s="380">
        <f t="shared" si="33"/>
        <v>16.745849999999997</v>
      </c>
      <c r="P428" s="379">
        <f>IFERROR(O428*VLOOKUP(G428,MODULY_CBA!$B$3:$F$23,5,0),)</f>
        <v>334.91699999999992</v>
      </c>
      <c r="Q428" s="480" t="str">
        <f>IFERROR(VLOOKUP(G428,MODULY_CBA!$B$3:$I$23,6,0),"")</f>
        <v>Inkrement 1</v>
      </c>
    </row>
    <row r="429" spans="1:17">
      <c r="A429" s="682" t="s">
        <v>1844</v>
      </c>
      <c r="B429" s="402" t="s">
        <v>749</v>
      </c>
      <c r="C429" s="532"/>
      <c r="D429" s="532" t="s">
        <v>1970</v>
      </c>
      <c r="E429" s="532" t="s">
        <v>1971</v>
      </c>
      <c r="F429" s="390" t="s">
        <v>806</v>
      </c>
      <c r="G429" s="390" t="s">
        <v>786</v>
      </c>
      <c r="H429" s="381">
        <v>1</v>
      </c>
      <c r="I429" s="381">
        <v>5</v>
      </c>
      <c r="K429" s="381">
        <f t="shared" si="32"/>
        <v>5</v>
      </c>
      <c r="L429" s="644">
        <f>IFERROR(IF(B429="funkcna poziadavka",VLOOKUP(G429,MODULY_CBA!$B$3:$E$23,4,0)*H429/SUMIFS($H$3:$H$168,$G$3:$G$168,G429,$B$3:$B$168,B429),),)</f>
        <v>12</v>
      </c>
      <c r="M429" s="381">
        <f>IFERROR(IF(B429="Funkcna poziadavka",VLOOKUP(G429,MODULY_CBA!$B$3:$E$23,3,0),),)</f>
        <v>0.99499999999999988</v>
      </c>
      <c r="N429" s="381">
        <f>IFERROR(IF(B429="funkcna poziadavka",VLOOKUP(G429,MODULY_CBA!$B$3:$E$23,2,0),),)</f>
        <v>0.99</v>
      </c>
      <c r="O429" s="380">
        <f t="shared" si="33"/>
        <v>16.745849999999997</v>
      </c>
      <c r="P429" s="379">
        <f>IFERROR(O429*VLOOKUP(G429,MODULY_CBA!$B$3:$F$23,5,0),)</f>
        <v>334.91699999999992</v>
      </c>
      <c r="Q429" s="480" t="str">
        <f>IFERROR(VLOOKUP(G429,MODULY_CBA!$B$3:$I$23,6,0),"")</f>
        <v>Inkrement 1</v>
      </c>
    </row>
    <row r="430" spans="1:17" ht="25.5">
      <c r="A430" s="682" t="s">
        <v>1847</v>
      </c>
      <c r="B430" s="402" t="s">
        <v>749</v>
      </c>
      <c r="C430" s="532"/>
      <c r="D430" s="532" t="s">
        <v>1973</v>
      </c>
      <c r="E430" s="532" t="s">
        <v>1974</v>
      </c>
      <c r="F430" s="390" t="s">
        <v>806</v>
      </c>
      <c r="G430" s="390" t="s">
        <v>786</v>
      </c>
      <c r="H430" s="381">
        <v>1</v>
      </c>
      <c r="I430" s="381">
        <v>5</v>
      </c>
      <c r="K430" s="381">
        <f t="shared" si="32"/>
        <v>5</v>
      </c>
      <c r="L430" s="644">
        <f>IFERROR(IF(B430="funkcna poziadavka",VLOOKUP(G430,MODULY_CBA!$B$3:$E$23,4,0)*H430/SUMIFS($H$3:$H$168,$G$3:$G$168,G430,$B$3:$B$168,B430),),)</f>
        <v>12</v>
      </c>
      <c r="M430" s="381">
        <f>IFERROR(IF(B430="Funkcna poziadavka",VLOOKUP(G430,MODULY_CBA!$B$3:$E$23,3,0),),)</f>
        <v>0.99499999999999988</v>
      </c>
      <c r="N430" s="381">
        <f>IFERROR(IF(B430="funkcna poziadavka",VLOOKUP(G430,MODULY_CBA!$B$3:$E$23,2,0),),)</f>
        <v>0.99</v>
      </c>
      <c r="O430" s="380">
        <f t="shared" si="33"/>
        <v>16.745849999999997</v>
      </c>
      <c r="P430" s="379">
        <f>IFERROR(O430*VLOOKUP(G430,MODULY_CBA!$B$3:$F$23,5,0),)</f>
        <v>334.91699999999992</v>
      </c>
      <c r="Q430" s="480" t="str">
        <f>IFERROR(VLOOKUP(G430,MODULY_CBA!$B$3:$I$23,6,0),"")</f>
        <v>Inkrement 1</v>
      </c>
    </row>
    <row r="431" spans="1:17" ht="25.5" hidden="1">
      <c r="A431" s="402" t="s">
        <v>1850</v>
      </c>
      <c r="B431" s="402" t="s">
        <v>1095</v>
      </c>
      <c r="C431" s="532"/>
      <c r="D431" s="532" t="s">
        <v>1976</v>
      </c>
      <c r="E431" s="532" t="s">
        <v>1977</v>
      </c>
      <c r="F431" s="390" t="s">
        <v>806</v>
      </c>
      <c r="G431" s="390" t="s">
        <v>786</v>
      </c>
      <c r="H431" s="649"/>
      <c r="I431" s="381"/>
      <c r="K431" s="381">
        <f t="shared" si="32"/>
        <v>0</v>
      </c>
      <c r="L431" s="644">
        <f>IFERROR(IF(B431="funkcna poziadavka",VLOOKUP(G431,MODULY_CBA!$B$3:$E$23,4,0)*H431/SUMIFS($H$3:$H$168,$G$3:$G$168,G431,$B$3:$B$168,B431),),)</f>
        <v>0</v>
      </c>
      <c r="M431" s="381">
        <f>IFERROR(IF(B431="Funkcna poziadavka",VLOOKUP(G431,MODULY_CBA!$B$3:$E$23,3,0),),)</f>
        <v>0</v>
      </c>
      <c r="N431" s="381">
        <f>IFERROR(IF(B431="funkcna poziadavka",VLOOKUP(G431,MODULY_CBA!$B$3:$E$23,2,0),),)</f>
        <v>0</v>
      </c>
      <c r="O431" s="380">
        <f t="shared" si="33"/>
        <v>0</v>
      </c>
      <c r="P431" s="379">
        <f>IFERROR(O431*VLOOKUP(G431,MODULY_CBA!$B$3:$F$23,5,0),)</f>
        <v>0</v>
      </c>
      <c r="Q431" s="480" t="str">
        <f>IFERROR(VLOOKUP(G431,MODULY_CBA!$B$3:$I$23,6,0),"")</f>
        <v>Inkrement 1</v>
      </c>
    </row>
    <row r="432" spans="1:17" ht="25.5" hidden="1">
      <c r="A432" s="402" t="s">
        <v>1853</v>
      </c>
      <c r="B432" s="402" t="s">
        <v>1095</v>
      </c>
      <c r="C432" s="532"/>
      <c r="D432" s="532" t="s">
        <v>1979</v>
      </c>
      <c r="E432" s="532" t="s">
        <v>1980</v>
      </c>
      <c r="F432" s="390" t="s">
        <v>806</v>
      </c>
      <c r="G432" s="390" t="s">
        <v>786</v>
      </c>
      <c r="H432" s="649"/>
      <c r="I432" s="381"/>
      <c r="K432" s="381">
        <f t="shared" si="32"/>
        <v>0</v>
      </c>
      <c r="L432" s="644">
        <f>IFERROR(IF(B432="funkcna poziadavka",VLOOKUP(G432,MODULY_CBA!$B$3:$E$23,4,0)*H432/SUMIFS($H$3:$H$168,$G$3:$G$168,G432,$B$3:$B$168,B432),),)</f>
        <v>0</v>
      </c>
      <c r="M432" s="381">
        <f>IFERROR(IF(B432="Funkcna poziadavka",VLOOKUP(G432,MODULY_CBA!$B$3:$E$23,3,0),),)</f>
        <v>0</v>
      </c>
      <c r="N432" s="381">
        <f>IFERROR(IF(B432="funkcna poziadavka",VLOOKUP(G432,MODULY_CBA!$B$3:$E$23,2,0),),)</f>
        <v>0</v>
      </c>
      <c r="O432" s="380">
        <f t="shared" si="33"/>
        <v>0</v>
      </c>
      <c r="P432" s="379">
        <f>IFERROR(O432*VLOOKUP(G432,MODULY_CBA!$B$3:$F$23,5,0),)</f>
        <v>0</v>
      </c>
      <c r="Q432" s="480" t="str">
        <f>IFERROR(VLOOKUP(G432,MODULY_CBA!$B$3:$I$23,6,0),"")</f>
        <v>Inkrement 1</v>
      </c>
    </row>
    <row r="433" spans="1:17" ht="25.5" hidden="1">
      <c r="A433" s="402" t="s">
        <v>1856</v>
      </c>
      <c r="B433" s="402" t="s">
        <v>1095</v>
      </c>
      <c r="C433" s="532"/>
      <c r="D433" s="532" t="s">
        <v>1982</v>
      </c>
      <c r="E433" s="532" t="s">
        <v>1983</v>
      </c>
      <c r="F433" s="390" t="s">
        <v>806</v>
      </c>
      <c r="G433" s="390" t="s">
        <v>786</v>
      </c>
      <c r="H433" s="649"/>
      <c r="I433" s="381"/>
      <c r="K433" s="381">
        <f t="shared" si="32"/>
        <v>0</v>
      </c>
      <c r="L433" s="644">
        <f>IFERROR(IF(B433="funkcna poziadavka",VLOOKUP(G433,MODULY_CBA!$B$3:$E$23,4,0)*H433/SUMIFS($H$3:$H$168,$G$3:$G$168,G433,$B$3:$B$168,B433),),)</f>
        <v>0</v>
      </c>
      <c r="M433" s="381">
        <f>IFERROR(IF(B433="Funkcna poziadavka",VLOOKUP(G433,MODULY_CBA!$B$3:$E$23,3,0),),)</f>
        <v>0</v>
      </c>
      <c r="N433" s="381">
        <f>IFERROR(IF(B433="funkcna poziadavka",VLOOKUP(G433,MODULY_CBA!$B$3:$E$23,2,0),),)</f>
        <v>0</v>
      </c>
      <c r="O433" s="380">
        <f t="shared" si="33"/>
        <v>0</v>
      </c>
      <c r="P433" s="379">
        <f>IFERROR(O433*VLOOKUP(G433,MODULY_CBA!$B$3:$F$23,5,0),)</f>
        <v>0</v>
      </c>
      <c r="Q433" s="480" t="str">
        <f>IFERROR(VLOOKUP(G433,MODULY_CBA!$B$3:$I$23,6,0),"")</f>
        <v>Inkrement 1</v>
      </c>
    </row>
    <row r="434" spans="1:17" ht="25.5" hidden="1">
      <c r="A434" s="402" t="s">
        <v>1859</v>
      </c>
      <c r="B434" s="402" t="s">
        <v>1095</v>
      </c>
      <c r="C434" s="532"/>
      <c r="D434" s="532" t="s">
        <v>1985</v>
      </c>
      <c r="E434" s="532" t="s">
        <v>1986</v>
      </c>
      <c r="F434" s="390" t="s">
        <v>806</v>
      </c>
      <c r="G434" s="390" t="s">
        <v>786</v>
      </c>
      <c r="H434" s="649"/>
      <c r="I434" s="381"/>
      <c r="K434" s="381">
        <f t="shared" si="32"/>
        <v>0</v>
      </c>
      <c r="L434" s="644">
        <f>IFERROR(IF(B434="funkcna poziadavka",VLOOKUP(G434,MODULY_CBA!$B$3:$E$23,4,0)*H434/SUMIFS($H$3:$H$168,$G$3:$G$168,G434,$B$3:$B$168,B434),),)</f>
        <v>0</v>
      </c>
      <c r="M434" s="381">
        <f>IFERROR(IF(B434="Funkcna poziadavka",VLOOKUP(G434,MODULY_CBA!$B$3:$E$23,3,0),),)</f>
        <v>0</v>
      </c>
      <c r="N434" s="381">
        <f>IFERROR(IF(B434="funkcna poziadavka",VLOOKUP(G434,MODULY_CBA!$B$3:$E$23,2,0),),)</f>
        <v>0</v>
      </c>
      <c r="O434" s="380">
        <f t="shared" si="33"/>
        <v>0</v>
      </c>
      <c r="P434" s="379">
        <f>IFERROR(O434*VLOOKUP(G434,MODULY_CBA!$B$3:$F$23,5,0),)</f>
        <v>0</v>
      </c>
      <c r="Q434" s="480" t="str">
        <f>IFERROR(VLOOKUP(G434,MODULY_CBA!$B$3:$I$23,6,0),"")</f>
        <v>Inkrement 1</v>
      </c>
    </row>
    <row r="435" spans="1:17" hidden="1">
      <c r="A435" s="402" t="s">
        <v>1862</v>
      </c>
      <c r="B435" s="402" t="s">
        <v>1095</v>
      </c>
      <c r="C435" s="532"/>
      <c r="D435" s="532" t="s">
        <v>1988</v>
      </c>
      <c r="E435" s="532" t="s">
        <v>1989</v>
      </c>
      <c r="F435" s="390" t="s">
        <v>806</v>
      </c>
      <c r="G435" s="390" t="s">
        <v>786</v>
      </c>
      <c r="H435" s="649"/>
      <c r="I435" s="381"/>
      <c r="K435" s="381">
        <f t="shared" si="32"/>
        <v>0</v>
      </c>
      <c r="L435" s="644">
        <f>IFERROR(IF(B435="funkcna poziadavka",VLOOKUP(G435,MODULY_CBA!$B$3:$E$23,4,0)*H435/SUMIFS($H$3:$H$168,$G$3:$G$168,G435,$B$3:$B$168,B435),),)</f>
        <v>0</v>
      </c>
      <c r="M435" s="381">
        <f>IFERROR(IF(B435="Funkcna poziadavka",VLOOKUP(G435,MODULY_CBA!$B$3:$E$23,3,0),),)</f>
        <v>0</v>
      </c>
      <c r="N435" s="381">
        <f>IFERROR(IF(B435="funkcna poziadavka",VLOOKUP(G435,MODULY_CBA!$B$3:$E$23,2,0),),)</f>
        <v>0</v>
      </c>
      <c r="O435" s="380">
        <f t="shared" si="33"/>
        <v>0</v>
      </c>
      <c r="P435" s="379">
        <f>IFERROR(O435*VLOOKUP(G435,MODULY_CBA!$B$3:$F$23,5,0),)</f>
        <v>0</v>
      </c>
      <c r="Q435" s="480" t="str">
        <f>IFERROR(VLOOKUP(G435,MODULY_CBA!$B$3:$I$23,6,0),"")</f>
        <v>Inkrement 1</v>
      </c>
    </row>
    <row r="436" spans="1:17" ht="51" hidden="1">
      <c r="A436" s="402" t="s">
        <v>1865</v>
      </c>
      <c r="B436" s="402" t="s">
        <v>1095</v>
      </c>
      <c r="C436" s="532"/>
      <c r="D436" s="532" t="s">
        <v>1991</v>
      </c>
      <c r="E436" s="532" t="s">
        <v>1992</v>
      </c>
      <c r="F436" s="390" t="s">
        <v>806</v>
      </c>
      <c r="G436" s="390" t="s">
        <v>786</v>
      </c>
      <c r="H436" s="649"/>
      <c r="I436" s="381"/>
      <c r="K436" s="381">
        <f t="shared" si="32"/>
        <v>0</v>
      </c>
      <c r="L436" s="644">
        <f>IFERROR(IF(B436="funkcna poziadavka",VLOOKUP(G436,MODULY_CBA!$B$3:$E$23,4,0)*H436/SUMIFS($H$3:$H$168,$G$3:$G$168,G436,$B$3:$B$168,B436),),)</f>
        <v>0</v>
      </c>
      <c r="M436" s="381">
        <f>IFERROR(IF(B436="Funkcna poziadavka",VLOOKUP(G436,MODULY_CBA!$B$3:$E$23,3,0),),)</f>
        <v>0</v>
      </c>
      <c r="N436" s="381">
        <f>IFERROR(IF(B436="funkcna poziadavka",VLOOKUP(G436,MODULY_CBA!$B$3:$E$23,2,0),),)</f>
        <v>0</v>
      </c>
      <c r="O436" s="380">
        <f t="shared" si="33"/>
        <v>0</v>
      </c>
      <c r="P436" s="379">
        <f>IFERROR(O436*VLOOKUP(G436,MODULY_CBA!$B$3:$F$23,5,0),)</f>
        <v>0</v>
      </c>
      <c r="Q436" s="480" t="str">
        <f>IFERROR(VLOOKUP(G436,MODULY_CBA!$B$3:$I$23,6,0),"")</f>
        <v>Inkrement 1</v>
      </c>
    </row>
    <row r="437" spans="1:17" ht="38.25" hidden="1">
      <c r="A437" s="402" t="s">
        <v>1868</v>
      </c>
      <c r="B437" s="402" t="s">
        <v>1095</v>
      </c>
      <c r="C437" s="532"/>
      <c r="D437" s="532" t="s">
        <v>1994</v>
      </c>
      <c r="E437" s="532" t="s">
        <v>1995</v>
      </c>
      <c r="F437" s="390" t="s">
        <v>806</v>
      </c>
      <c r="G437" s="390" t="s">
        <v>786</v>
      </c>
      <c r="H437" s="649"/>
      <c r="I437" s="381"/>
      <c r="K437" s="381">
        <f t="shared" si="32"/>
        <v>0</v>
      </c>
      <c r="L437" s="644">
        <f>IFERROR(IF(B437="funkcna poziadavka",VLOOKUP(G437,MODULY_CBA!$B$3:$E$23,4,0)*H437/SUMIFS($H$3:$H$168,$G$3:$G$168,G437,$B$3:$B$168,B437),),)</f>
        <v>0</v>
      </c>
      <c r="M437" s="381">
        <f>IFERROR(IF(B437="Funkcna poziadavka",VLOOKUP(G437,MODULY_CBA!$B$3:$E$23,3,0),),)</f>
        <v>0</v>
      </c>
      <c r="N437" s="381">
        <f>IFERROR(IF(B437="funkcna poziadavka",VLOOKUP(G437,MODULY_CBA!$B$3:$E$23,2,0),),)</f>
        <v>0</v>
      </c>
      <c r="O437" s="380">
        <f t="shared" si="33"/>
        <v>0</v>
      </c>
      <c r="P437" s="379">
        <f>IFERROR(O437*VLOOKUP(G437,MODULY_CBA!$B$3:$F$23,5,0),)</f>
        <v>0</v>
      </c>
      <c r="Q437" s="480" t="str">
        <f>IFERROR(VLOOKUP(G437,MODULY_CBA!$B$3:$I$23,6,0),"")</f>
        <v>Inkrement 1</v>
      </c>
    </row>
    <row r="438" spans="1:17" hidden="1">
      <c r="A438" s="402" t="s">
        <v>1871</v>
      </c>
      <c r="B438" s="402" t="s">
        <v>1095</v>
      </c>
      <c r="C438" s="532"/>
      <c r="D438" s="532" t="s">
        <v>1997</v>
      </c>
      <c r="E438" s="532" t="s">
        <v>1998</v>
      </c>
      <c r="F438" s="390" t="s">
        <v>806</v>
      </c>
      <c r="G438" s="390" t="s">
        <v>786</v>
      </c>
      <c r="H438" s="649"/>
      <c r="I438" s="381"/>
      <c r="K438" s="381">
        <f t="shared" si="32"/>
        <v>0</v>
      </c>
      <c r="L438" s="644">
        <f>IFERROR(IF(B438="funkcna poziadavka",VLOOKUP(G438,MODULY_CBA!$B$3:$E$23,4,0)*H438/SUMIFS($H$3:$H$168,$G$3:$G$168,G438,$B$3:$B$168,B438),),)</f>
        <v>0</v>
      </c>
      <c r="M438" s="381">
        <f>IFERROR(IF(B438="Funkcna poziadavka",VLOOKUP(G438,MODULY_CBA!$B$3:$E$23,3,0),),)</f>
        <v>0</v>
      </c>
      <c r="N438" s="381">
        <f>IFERROR(IF(B438="funkcna poziadavka",VLOOKUP(G438,MODULY_CBA!$B$3:$E$23,2,0),),)</f>
        <v>0</v>
      </c>
      <c r="O438" s="380">
        <f t="shared" si="33"/>
        <v>0</v>
      </c>
      <c r="P438" s="379">
        <f>IFERROR(O438*VLOOKUP(G438,MODULY_CBA!$B$3:$F$23,5,0),)</f>
        <v>0</v>
      </c>
      <c r="Q438" s="480" t="str">
        <f>IFERROR(VLOOKUP(G438,MODULY_CBA!$B$3:$I$23,6,0),"")</f>
        <v>Inkrement 1</v>
      </c>
    </row>
    <row r="439" spans="1:17" ht="38.25" hidden="1">
      <c r="A439" s="402" t="s">
        <v>1874</v>
      </c>
      <c r="B439" s="402" t="s">
        <v>1095</v>
      </c>
      <c r="C439" s="532"/>
      <c r="D439" s="532" t="s">
        <v>2000</v>
      </c>
      <c r="E439" s="532" t="s">
        <v>2001</v>
      </c>
      <c r="F439" s="390" t="s">
        <v>806</v>
      </c>
      <c r="G439" s="390" t="s">
        <v>786</v>
      </c>
      <c r="H439" s="649"/>
      <c r="I439" s="381"/>
      <c r="K439" s="381">
        <f t="shared" si="32"/>
        <v>0</v>
      </c>
      <c r="L439" s="644">
        <f>IFERROR(IF(B439="funkcna poziadavka",VLOOKUP(G439,MODULY_CBA!$B$3:$E$23,4,0)*H439/SUMIFS($H$3:$H$168,$G$3:$G$168,G439,$B$3:$B$168,B439),),)</f>
        <v>0</v>
      </c>
      <c r="M439" s="381">
        <f>IFERROR(IF(B439="Funkcna poziadavka",VLOOKUP(G439,MODULY_CBA!$B$3:$E$23,3,0),),)</f>
        <v>0</v>
      </c>
      <c r="N439" s="381">
        <f>IFERROR(IF(B439="funkcna poziadavka",VLOOKUP(G439,MODULY_CBA!$B$3:$E$23,2,0),),)</f>
        <v>0</v>
      </c>
      <c r="O439" s="380">
        <f t="shared" si="33"/>
        <v>0</v>
      </c>
      <c r="P439" s="379">
        <f>IFERROR(O439*VLOOKUP(G439,MODULY_CBA!$B$3:$F$23,5,0),)</f>
        <v>0</v>
      </c>
      <c r="Q439" s="480" t="str">
        <f>IFERROR(VLOOKUP(G439,MODULY_CBA!$B$3:$I$23,6,0),"")</f>
        <v>Inkrement 1</v>
      </c>
    </row>
    <row r="440" spans="1:17" ht="51" hidden="1">
      <c r="A440" s="402" t="s">
        <v>1877</v>
      </c>
      <c r="B440" s="402" t="s">
        <v>1095</v>
      </c>
      <c r="C440" s="532"/>
      <c r="D440" s="532" t="s">
        <v>2003</v>
      </c>
      <c r="E440" s="532" t="s">
        <v>2004</v>
      </c>
      <c r="F440" s="390" t="s">
        <v>806</v>
      </c>
      <c r="G440" s="390" t="s">
        <v>786</v>
      </c>
      <c r="H440" s="649"/>
      <c r="I440" s="381"/>
      <c r="K440" s="381">
        <f t="shared" si="32"/>
        <v>0</v>
      </c>
      <c r="L440" s="644">
        <f>IFERROR(IF(B440="funkcna poziadavka",VLOOKUP(G440,MODULY_CBA!$B$3:$E$23,4,0)*H440/SUMIFS($H$3:$H$168,$G$3:$G$168,G440,$B$3:$B$168,B440),),)</f>
        <v>0</v>
      </c>
      <c r="M440" s="381">
        <f>IFERROR(IF(B440="Funkcna poziadavka",VLOOKUP(G440,MODULY_CBA!$B$3:$E$23,3,0),),)</f>
        <v>0</v>
      </c>
      <c r="N440" s="381">
        <f>IFERROR(IF(B440="funkcna poziadavka",VLOOKUP(G440,MODULY_CBA!$B$3:$E$23,2,0),),)</f>
        <v>0</v>
      </c>
      <c r="O440" s="380">
        <f t="shared" si="33"/>
        <v>0</v>
      </c>
      <c r="P440" s="379">
        <f>IFERROR(O440*VLOOKUP(G440,MODULY_CBA!$B$3:$F$23,5,0),)</f>
        <v>0</v>
      </c>
      <c r="Q440" s="480" t="str">
        <f>IFERROR(VLOOKUP(G440,MODULY_CBA!$B$3:$I$23,6,0),"")</f>
        <v>Inkrement 1</v>
      </c>
    </row>
    <row r="441" spans="1:17" ht="76.5" hidden="1">
      <c r="A441" s="402" t="s">
        <v>1880</v>
      </c>
      <c r="B441" s="402" t="s">
        <v>1095</v>
      </c>
      <c r="C441" s="532"/>
      <c r="D441" s="532" t="s">
        <v>2006</v>
      </c>
      <c r="E441" s="532" t="s">
        <v>2007</v>
      </c>
      <c r="F441" s="390" t="s">
        <v>806</v>
      </c>
      <c r="G441" s="390" t="s">
        <v>786</v>
      </c>
      <c r="H441" s="649"/>
      <c r="I441" s="381"/>
      <c r="K441" s="381">
        <f t="shared" si="32"/>
        <v>0</v>
      </c>
      <c r="L441" s="644">
        <f>IFERROR(IF(B441="funkcna poziadavka",VLOOKUP(G441,MODULY_CBA!$B$3:$E$23,4,0)*H441/SUMIFS($H$3:$H$168,$G$3:$G$168,G441,$B$3:$B$168,B441),),)</f>
        <v>0</v>
      </c>
      <c r="M441" s="381">
        <f>IFERROR(IF(B441="Funkcna poziadavka",VLOOKUP(G441,MODULY_CBA!$B$3:$E$23,3,0),),)</f>
        <v>0</v>
      </c>
      <c r="N441" s="381">
        <f>IFERROR(IF(B441="funkcna poziadavka",VLOOKUP(G441,MODULY_CBA!$B$3:$E$23,2,0),),)</f>
        <v>0</v>
      </c>
      <c r="O441" s="380">
        <f t="shared" si="33"/>
        <v>0</v>
      </c>
      <c r="P441" s="379">
        <f>IFERROR(O441*VLOOKUP(G441,MODULY_CBA!$B$3:$F$23,5,0),)</f>
        <v>0</v>
      </c>
      <c r="Q441" s="480" t="str">
        <f>IFERROR(VLOOKUP(G441,MODULY_CBA!$B$3:$I$23,6,0),"")</f>
        <v>Inkrement 1</v>
      </c>
    </row>
    <row r="442" spans="1:17" ht="38.25" hidden="1">
      <c r="A442" s="402" t="s">
        <v>1883</v>
      </c>
      <c r="B442" s="402" t="s">
        <v>1095</v>
      </c>
      <c r="C442" s="532"/>
      <c r="D442" s="532" t="s">
        <v>2009</v>
      </c>
      <c r="E442" s="532" t="s">
        <v>2010</v>
      </c>
      <c r="F442" s="390" t="s">
        <v>806</v>
      </c>
      <c r="G442" s="390" t="s">
        <v>786</v>
      </c>
      <c r="H442" s="649"/>
      <c r="I442" s="381"/>
      <c r="K442" s="381">
        <f t="shared" si="32"/>
        <v>0</v>
      </c>
      <c r="L442" s="644">
        <f>IFERROR(IF(B442="funkcna poziadavka",VLOOKUP(G442,MODULY_CBA!$B$3:$E$23,4,0)*H442/SUMIFS($H$3:$H$168,$G$3:$G$168,G442,$B$3:$B$168,B442),),)</f>
        <v>0</v>
      </c>
      <c r="M442" s="381">
        <f>IFERROR(IF(B442="Funkcna poziadavka",VLOOKUP(G442,MODULY_CBA!$B$3:$E$23,3,0),),)</f>
        <v>0</v>
      </c>
      <c r="N442" s="381">
        <f>IFERROR(IF(B442="funkcna poziadavka",VLOOKUP(G442,MODULY_CBA!$B$3:$E$23,2,0),),)</f>
        <v>0</v>
      </c>
      <c r="O442" s="380">
        <f t="shared" si="33"/>
        <v>0</v>
      </c>
      <c r="P442" s="379">
        <f>IFERROR(O442*VLOOKUP(G442,MODULY_CBA!$B$3:$F$23,5,0),)</f>
        <v>0</v>
      </c>
      <c r="Q442" s="480" t="str">
        <f>IFERROR(VLOOKUP(G442,MODULY_CBA!$B$3:$I$23,6,0),"")</f>
        <v>Inkrement 1</v>
      </c>
    </row>
    <row r="443" spans="1:17" ht="25.5" hidden="1">
      <c r="A443" s="402" t="s">
        <v>1886</v>
      </c>
      <c r="B443" s="402" t="s">
        <v>1095</v>
      </c>
      <c r="C443" s="532"/>
      <c r="D443" s="532" t="s">
        <v>2012</v>
      </c>
      <c r="E443" s="532" t="s">
        <v>2013</v>
      </c>
      <c r="F443" s="390" t="s">
        <v>806</v>
      </c>
      <c r="G443" s="390" t="s">
        <v>786</v>
      </c>
      <c r="H443" s="649"/>
      <c r="I443" s="381"/>
      <c r="K443" s="381">
        <f t="shared" si="32"/>
        <v>0</v>
      </c>
      <c r="L443" s="644">
        <f>IFERROR(IF(B443="funkcna poziadavka",VLOOKUP(G443,MODULY_CBA!$B$3:$E$23,4,0)*H443/SUMIFS($H$3:$H$168,$G$3:$G$168,G443,$B$3:$B$168,B443),),)</f>
        <v>0</v>
      </c>
      <c r="M443" s="381">
        <f>IFERROR(IF(B443="Funkcna poziadavka",VLOOKUP(G443,MODULY_CBA!$B$3:$E$23,3,0),),)</f>
        <v>0</v>
      </c>
      <c r="N443" s="381">
        <f>IFERROR(IF(B443="funkcna poziadavka",VLOOKUP(G443,MODULY_CBA!$B$3:$E$23,2,0),),)</f>
        <v>0</v>
      </c>
      <c r="O443" s="380">
        <f t="shared" si="33"/>
        <v>0</v>
      </c>
      <c r="P443" s="379">
        <f>IFERROR(O443*VLOOKUP(G443,MODULY_CBA!$B$3:$F$23,5,0),)</f>
        <v>0</v>
      </c>
      <c r="Q443" s="480" t="str">
        <f>IFERROR(VLOOKUP(G443,MODULY_CBA!$B$3:$I$23,6,0),"")</f>
        <v>Inkrement 1</v>
      </c>
    </row>
    <row r="444" spans="1:17">
      <c r="A444" s="682" t="s">
        <v>1889</v>
      </c>
      <c r="B444" s="402" t="s">
        <v>749</v>
      </c>
      <c r="C444" s="532"/>
      <c r="D444" s="532" t="s">
        <v>2015</v>
      </c>
      <c r="E444" s="532" t="s">
        <v>2016</v>
      </c>
      <c r="F444" s="390" t="s">
        <v>806</v>
      </c>
      <c r="G444" s="390" t="s">
        <v>787</v>
      </c>
      <c r="H444" s="381">
        <v>1</v>
      </c>
      <c r="I444" s="381">
        <v>5</v>
      </c>
      <c r="K444" s="381">
        <f t="shared" si="32"/>
        <v>5</v>
      </c>
      <c r="L444" s="644">
        <f>IFERROR(IF(B444="funkcna poziadavka",VLOOKUP(G444,MODULY_CBA!$B$3:$E$23,4,0)*H444/SUMIFS($H$3:$H$168,$G$3:$G$168,G444,$B$3:$B$168,B444),),)</f>
        <v>6</v>
      </c>
      <c r="M444" s="381">
        <f>IFERROR(IF(B444="Funkcna poziadavka",VLOOKUP(G444,MODULY_CBA!$B$3:$E$23,3,0),),)</f>
        <v>0.99499999999999988</v>
      </c>
      <c r="N444" s="381">
        <f>IFERROR(IF(B444="funkcna poziadavka",VLOOKUP(G444,MODULY_CBA!$B$3:$E$23,2,0),),)</f>
        <v>0.99</v>
      </c>
      <c r="O444" s="380">
        <f t="shared" si="33"/>
        <v>10.835549999999998</v>
      </c>
      <c r="P444" s="379">
        <f>IFERROR(O444*VLOOKUP(G444,MODULY_CBA!$B$3:$F$23,5,0),)</f>
        <v>216.71099999999996</v>
      </c>
      <c r="Q444" s="480" t="str">
        <f>IFERROR(VLOOKUP(G444,MODULY_CBA!$B$3:$I$23,6,0),"")</f>
        <v>Inkrement 1</v>
      </c>
    </row>
    <row r="445" spans="1:17" ht="38.25">
      <c r="A445" s="682" t="s">
        <v>1892</v>
      </c>
      <c r="B445" s="402" t="s">
        <v>749</v>
      </c>
      <c r="C445" s="532"/>
      <c r="D445" s="532" t="s">
        <v>2018</v>
      </c>
      <c r="E445" s="532" t="s">
        <v>2019</v>
      </c>
      <c r="F445" s="390" t="s">
        <v>806</v>
      </c>
      <c r="G445" s="390" t="s">
        <v>788</v>
      </c>
      <c r="H445" s="381">
        <v>1</v>
      </c>
      <c r="I445" s="381">
        <v>5</v>
      </c>
      <c r="K445" s="381">
        <f t="shared" si="32"/>
        <v>5</v>
      </c>
      <c r="L445" s="644">
        <f>IFERROR(IF(B445="funkcna poziadavka",VLOOKUP(G445,MODULY_CBA!$B$3:$E$23,4,0)*H445/SUMIFS($H$3:$H$168,$G$3:$G$168,G445,$B$3:$B$168,B445),),)</f>
        <v>1.875</v>
      </c>
      <c r="M445" s="381">
        <f>IFERROR(IF(B445="Funkcna poziadavka",VLOOKUP(G445,MODULY_CBA!$B$3:$E$23,3,0),),)</f>
        <v>0.99499999999999988</v>
      </c>
      <c r="N445" s="381">
        <f>IFERROR(IF(B445="funkcna poziadavka",VLOOKUP(G445,MODULY_CBA!$B$3:$E$23,2,0),),)</f>
        <v>0.99</v>
      </c>
      <c r="O445" s="380">
        <f t="shared" si="33"/>
        <v>6.7722187499999995</v>
      </c>
      <c r="P445" s="379">
        <f>IFERROR(O445*VLOOKUP(G445,MODULY_CBA!$B$3:$F$23,5,0),)</f>
        <v>135.44437499999998</v>
      </c>
      <c r="Q445" s="480" t="str">
        <f>IFERROR(VLOOKUP(G445,MODULY_CBA!$B$3:$I$23,6,0),"")</f>
        <v>Inkrement 1</v>
      </c>
    </row>
    <row r="446" spans="1:17" ht="38.25">
      <c r="A446" s="682" t="s">
        <v>1895</v>
      </c>
      <c r="B446" s="402" t="s">
        <v>749</v>
      </c>
      <c r="C446" s="532"/>
      <c r="D446" s="532" t="s">
        <v>2021</v>
      </c>
      <c r="E446" s="532" t="s">
        <v>2022</v>
      </c>
      <c r="F446" s="390" t="s">
        <v>806</v>
      </c>
      <c r="G446" s="390" t="s">
        <v>788</v>
      </c>
      <c r="H446" s="381">
        <v>1</v>
      </c>
      <c r="I446" s="381">
        <v>10</v>
      </c>
      <c r="K446" s="381">
        <f t="shared" si="32"/>
        <v>10</v>
      </c>
      <c r="L446" s="644">
        <f>IFERROR(IF(B446="funkcna poziadavka",VLOOKUP(G446,MODULY_CBA!$B$3:$E$23,4,0)*H446/SUMIFS($H$3:$H$168,$G$3:$G$168,G446,$B$3:$B$168,B446),),)</f>
        <v>1.875</v>
      </c>
      <c r="M446" s="381">
        <f>IFERROR(IF(B446="Funkcna poziadavka",VLOOKUP(G446,MODULY_CBA!$B$3:$E$23,3,0),),)</f>
        <v>0.99499999999999988</v>
      </c>
      <c r="N446" s="381">
        <f>IFERROR(IF(B446="funkcna poziadavka",VLOOKUP(G446,MODULY_CBA!$B$3:$E$23,2,0),),)</f>
        <v>0.99</v>
      </c>
      <c r="O446" s="380">
        <f t="shared" si="33"/>
        <v>11.697468749999999</v>
      </c>
      <c r="P446" s="379">
        <f>IFERROR(O446*VLOOKUP(G446,MODULY_CBA!$B$3:$F$23,5,0),)</f>
        <v>233.94937499999997</v>
      </c>
      <c r="Q446" s="480" t="str">
        <f>IFERROR(VLOOKUP(G446,MODULY_CBA!$B$3:$I$23,6,0),"")</f>
        <v>Inkrement 1</v>
      </c>
    </row>
    <row r="447" spans="1:17" ht="25.5">
      <c r="A447" s="682" t="s">
        <v>1897</v>
      </c>
      <c r="B447" s="402" t="s">
        <v>749</v>
      </c>
      <c r="C447" s="532"/>
      <c r="D447" s="532" t="s">
        <v>2024</v>
      </c>
      <c r="E447" s="532" t="s">
        <v>2025</v>
      </c>
      <c r="F447" s="390" t="s">
        <v>806</v>
      </c>
      <c r="G447" s="390" t="s">
        <v>788</v>
      </c>
      <c r="H447" s="381">
        <v>1</v>
      </c>
      <c r="I447" s="381">
        <v>5</v>
      </c>
      <c r="K447" s="381">
        <f t="shared" ref="K447:K510" si="34">H447*I447</f>
        <v>5</v>
      </c>
      <c r="L447" s="644">
        <f>IFERROR(IF(B447="funkcna poziadavka",VLOOKUP(G447,MODULY_CBA!$B$3:$E$23,4,0)*H447/SUMIFS($H$3:$H$168,$G$3:$G$168,G447,$B$3:$B$168,B447),),)</f>
        <v>1.875</v>
      </c>
      <c r="M447" s="381">
        <f>IFERROR(IF(B447="Funkcna poziadavka",VLOOKUP(G447,MODULY_CBA!$B$3:$E$23,3,0),),)</f>
        <v>0.99499999999999988</v>
      </c>
      <c r="N447" s="381">
        <f>IFERROR(IF(B447="funkcna poziadavka",VLOOKUP(G447,MODULY_CBA!$B$3:$E$23,2,0),),)</f>
        <v>0.99</v>
      </c>
      <c r="O447" s="380">
        <f t="shared" ref="O447:O510" si="35">(K447+L447)*M447*N447</f>
        <v>6.7722187499999995</v>
      </c>
      <c r="P447" s="379">
        <f>IFERROR(O447*VLOOKUP(G447,MODULY_CBA!$B$3:$F$23,5,0),)</f>
        <v>135.44437499999998</v>
      </c>
      <c r="Q447" s="480" t="str">
        <f>IFERROR(VLOOKUP(G447,MODULY_CBA!$B$3:$I$23,6,0),"")</f>
        <v>Inkrement 1</v>
      </c>
    </row>
    <row r="448" spans="1:17" ht="25.5">
      <c r="A448" s="682" t="s">
        <v>1900</v>
      </c>
      <c r="B448" s="402" t="s">
        <v>749</v>
      </c>
      <c r="C448" s="532"/>
      <c r="D448" s="532" t="s">
        <v>2027</v>
      </c>
      <c r="E448" s="532" t="s">
        <v>2028</v>
      </c>
      <c r="F448" s="390" t="s">
        <v>806</v>
      </c>
      <c r="G448" s="390" t="s">
        <v>788</v>
      </c>
      <c r="H448" s="381">
        <v>1</v>
      </c>
      <c r="I448" s="381">
        <v>5</v>
      </c>
      <c r="K448" s="381">
        <f t="shared" si="34"/>
        <v>5</v>
      </c>
      <c r="L448" s="644">
        <f>IFERROR(IF(B448="funkcna poziadavka",VLOOKUP(G448,MODULY_CBA!$B$3:$E$23,4,0)*H448/SUMIFS($H$3:$H$168,$G$3:$G$168,G448,$B$3:$B$168,B448),),)</f>
        <v>1.875</v>
      </c>
      <c r="M448" s="381">
        <f>IFERROR(IF(B448="Funkcna poziadavka",VLOOKUP(G448,MODULY_CBA!$B$3:$E$23,3,0),),)</f>
        <v>0.99499999999999988</v>
      </c>
      <c r="N448" s="381">
        <f>IFERROR(IF(B448="funkcna poziadavka",VLOOKUP(G448,MODULY_CBA!$B$3:$E$23,2,0),),)</f>
        <v>0.99</v>
      </c>
      <c r="O448" s="380">
        <f t="shared" si="35"/>
        <v>6.7722187499999995</v>
      </c>
      <c r="P448" s="379">
        <f>IFERROR(O448*VLOOKUP(G448,MODULY_CBA!$B$3:$F$23,5,0),)</f>
        <v>135.44437499999998</v>
      </c>
      <c r="Q448" s="480" t="str">
        <f>IFERROR(VLOOKUP(G448,MODULY_CBA!$B$3:$I$23,6,0),"")</f>
        <v>Inkrement 1</v>
      </c>
    </row>
    <row r="449" spans="1:17" ht="25.5">
      <c r="A449" s="682" t="s">
        <v>1903</v>
      </c>
      <c r="B449" s="402" t="s">
        <v>749</v>
      </c>
      <c r="C449" s="532"/>
      <c r="D449" s="532" t="s">
        <v>2030</v>
      </c>
      <c r="E449" s="532" t="s">
        <v>2031</v>
      </c>
      <c r="F449" s="390" t="s">
        <v>806</v>
      </c>
      <c r="G449" s="390" t="s">
        <v>788</v>
      </c>
      <c r="H449" s="381">
        <v>1</v>
      </c>
      <c r="I449" s="381">
        <v>5</v>
      </c>
      <c r="K449" s="381">
        <f t="shared" si="34"/>
        <v>5</v>
      </c>
      <c r="L449" s="644">
        <f>IFERROR(IF(B449="funkcna poziadavka",VLOOKUP(G449,MODULY_CBA!$B$3:$E$23,4,0)*H449/SUMIFS($H$3:$H$168,$G$3:$G$168,G449,$B$3:$B$168,B449),),)</f>
        <v>1.875</v>
      </c>
      <c r="M449" s="381">
        <f>IFERROR(IF(B449="Funkcna poziadavka",VLOOKUP(G449,MODULY_CBA!$B$3:$E$23,3,0),),)</f>
        <v>0.99499999999999988</v>
      </c>
      <c r="N449" s="381">
        <f>IFERROR(IF(B449="funkcna poziadavka",VLOOKUP(G449,MODULY_CBA!$B$3:$E$23,2,0),),)</f>
        <v>0.99</v>
      </c>
      <c r="O449" s="380">
        <f t="shared" si="35"/>
        <v>6.7722187499999995</v>
      </c>
      <c r="P449" s="379">
        <f>IFERROR(O449*VLOOKUP(G449,MODULY_CBA!$B$3:$F$23,5,0),)</f>
        <v>135.44437499999998</v>
      </c>
      <c r="Q449" s="480" t="str">
        <f>IFERROR(VLOOKUP(G449,MODULY_CBA!$B$3:$I$23,6,0),"")</f>
        <v>Inkrement 1</v>
      </c>
    </row>
    <row r="450" spans="1:17" ht="38.25">
      <c r="A450" s="682" t="s">
        <v>1906</v>
      </c>
      <c r="B450" s="402" t="s">
        <v>749</v>
      </c>
      <c r="C450" s="532"/>
      <c r="D450" s="532" t="s">
        <v>2033</v>
      </c>
      <c r="E450" s="532" t="s">
        <v>2034</v>
      </c>
      <c r="F450" s="390" t="s">
        <v>806</v>
      </c>
      <c r="G450" s="390" t="s">
        <v>788</v>
      </c>
      <c r="H450" s="381">
        <v>1</v>
      </c>
      <c r="I450" s="381">
        <v>5</v>
      </c>
      <c r="K450" s="381">
        <f t="shared" si="34"/>
        <v>5</v>
      </c>
      <c r="L450" s="644">
        <f>IFERROR(IF(B450="funkcna poziadavka",VLOOKUP(G450,MODULY_CBA!$B$3:$E$23,4,0)*H450/SUMIFS($H$3:$H$168,$G$3:$G$168,G450,$B$3:$B$168,B450),),)</f>
        <v>1.875</v>
      </c>
      <c r="M450" s="381">
        <f>IFERROR(IF(B450="Funkcna poziadavka",VLOOKUP(G450,MODULY_CBA!$B$3:$E$23,3,0),),)</f>
        <v>0.99499999999999988</v>
      </c>
      <c r="N450" s="381">
        <f>IFERROR(IF(B450="funkcna poziadavka",VLOOKUP(G450,MODULY_CBA!$B$3:$E$23,2,0),),)</f>
        <v>0.99</v>
      </c>
      <c r="O450" s="380">
        <f t="shared" si="35"/>
        <v>6.7722187499999995</v>
      </c>
      <c r="P450" s="379">
        <f>IFERROR(O450*VLOOKUP(G450,MODULY_CBA!$B$3:$F$23,5,0),)</f>
        <v>135.44437499999998</v>
      </c>
      <c r="Q450" s="480" t="str">
        <f>IFERROR(VLOOKUP(G450,MODULY_CBA!$B$3:$I$23,6,0),"")</f>
        <v>Inkrement 1</v>
      </c>
    </row>
    <row r="451" spans="1:17" ht="25.5">
      <c r="A451" s="682" t="s">
        <v>1909</v>
      </c>
      <c r="B451" s="402" t="s">
        <v>749</v>
      </c>
      <c r="C451" s="532"/>
      <c r="D451" s="532" t="s">
        <v>2036</v>
      </c>
      <c r="E451" s="532" t="s">
        <v>2037</v>
      </c>
      <c r="F451" s="390" t="s">
        <v>806</v>
      </c>
      <c r="G451" s="390" t="s">
        <v>788</v>
      </c>
      <c r="H451" s="381">
        <v>1</v>
      </c>
      <c r="I451" s="381">
        <v>5</v>
      </c>
      <c r="K451" s="381">
        <f t="shared" si="34"/>
        <v>5</v>
      </c>
      <c r="L451" s="644">
        <f>IFERROR(IF(B451="funkcna poziadavka",VLOOKUP(G451,MODULY_CBA!$B$3:$E$23,4,0)*H451/SUMIFS($H$3:$H$168,$G$3:$G$168,G451,$B$3:$B$168,B451),),)</f>
        <v>1.875</v>
      </c>
      <c r="M451" s="381">
        <f>IFERROR(IF(B451="Funkcna poziadavka",VLOOKUP(G451,MODULY_CBA!$B$3:$E$23,3,0),),)</f>
        <v>0.99499999999999988</v>
      </c>
      <c r="N451" s="381">
        <f>IFERROR(IF(B451="funkcna poziadavka",VLOOKUP(G451,MODULY_CBA!$B$3:$E$23,2,0),),)</f>
        <v>0.99</v>
      </c>
      <c r="O451" s="380">
        <f t="shared" si="35"/>
        <v>6.7722187499999995</v>
      </c>
      <c r="P451" s="379">
        <f>IFERROR(O451*VLOOKUP(G451,MODULY_CBA!$B$3:$F$23,5,0),)</f>
        <v>135.44437499999998</v>
      </c>
      <c r="Q451" s="480" t="str">
        <f>IFERROR(VLOOKUP(G451,MODULY_CBA!$B$3:$I$23,6,0),"")</f>
        <v>Inkrement 1</v>
      </c>
    </row>
    <row r="452" spans="1:17" ht="38.25">
      <c r="A452" s="682" t="s">
        <v>1912</v>
      </c>
      <c r="B452" s="402" t="s">
        <v>749</v>
      </c>
      <c r="C452" s="532"/>
      <c r="D452" s="532" t="s">
        <v>2039</v>
      </c>
      <c r="E452" s="532" t="s">
        <v>2040</v>
      </c>
      <c r="F452" s="390" t="s">
        <v>806</v>
      </c>
      <c r="G452" s="390" t="s">
        <v>788</v>
      </c>
      <c r="H452" s="381">
        <v>1</v>
      </c>
      <c r="I452" s="381">
        <v>5</v>
      </c>
      <c r="K452" s="381">
        <f t="shared" si="34"/>
        <v>5</v>
      </c>
      <c r="L452" s="644">
        <f>IFERROR(IF(B452="funkcna poziadavka",VLOOKUP(G452,MODULY_CBA!$B$3:$E$23,4,0)*H452/SUMIFS($H$3:$H$168,$G$3:$G$168,G452,$B$3:$B$168,B452),),)</f>
        <v>1.875</v>
      </c>
      <c r="M452" s="381">
        <f>IFERROR(IF(B452="Funkcna poziadavka",VLOOKUP(G452,MODULY_CBA!$B$3:$E$23,3,0),),)</f>
        <v>0.99499999999999988</v>
      </c>
      <c r="N452" s="381">
        <f>IFERROR(IF(B452="funkcna poziadavka",VLOOKUP(G452,MODULY_CBA!$B$3:$E$23,2,0),),)</f>
        <v>0.99</v>
      </c>
      <c r="O452" s="380">
        <f t="shared" si="35"/>
        <v>6.7722187499999995</v>
      </c>
      <c r="P452" s="379">
        <f>IFERROR(O452*VLOOKUP(G452,MODULY_CBA!$B$3:$F$23,5,0),)</f>
        <v>135.44437499999998</v>
      </c>
      <c r="Q452" s="480" t="str">
        <f>IFERROR(VLOOKUP(G452,MODULY_CBA!$B$3:$I$23,6,0),"")</f>
        <v>Inkrement 1</v>
      </c>
    </row>
    <row r="453" spans="1:17" ht="38.25">
      <c r="A453" s="682" t="s">
        <v>1915</v>
      </c>
      <c r="B453" s="402" t="s">
        <v>749</v>
      </c>
      <c r="C453" s="532"/>
      <c r="D453" s="532" t="s">
        <v>2042</v>
      </c>
      <c r="E453" s="532" t="s">
        <v>2043</v>
      </c>
      <c r="F453" s="390" t="s">
        <v>806</v>
      </c>
      <c r="G453" s="390" t="s">
        <v>788</v>
      </c>
      <c r="H453" s="381">
        <v>1</v>
      </c>
      <c r="I453" s="381">
        <v>5</v>
      </c>
      <c r="K453" s="381">
        <f t="shared" si="34"/>
        <v>5</v>
      </c>
      <c r="L453" s="644">
        <f>IFERROR(IF(B453="funkcna poziadavka",VLOOKUP(G453,MODULY_CBA!$B$3:$E$23,4,0)*H453/SUMIFS($H$3:$H$168,$G$3:$G$168,G453,$B$3:$B$168,B453),),)</f>
        <v>1.875</v>
      </c>
      <c r="M453" s="381">
        <f>IFERROR(IF(B453="Funkcna poziadavka",VLOOKUP(G453,MODULY_CBA!$B$3:$E$23,3,0),),)</f>
        <v>0.99499999999999988</v>
      </c>
      <c r="N453" s="381">
        <f>IFERROR(IF(B453="funkcna poziadavka",VLOOKUP(G453,MODULY_CBA!$B$3:$E$23,2,0),),)</f>
        <v>0.99</v>
      </c>
      <c r="O453" s="380">
        <f t="shared" si="35"/>
        <v>6.7722187499999995</v>
      </c>
      <c r="P453" s="379">
        <f>IFERROR(O453*VLOOKUP(G453,MODULY_CBA!$B$3:$F$23,5,0),)</f>
        <v>135.44437499999998</v>
      </c>
      <c r="Q453" s="480" t="str">
        <f>IFERROR(VLOOKUP(G453,MODULY_CBA!$B$3:$I$23,6,0),"")</f>
        <v>Inkrement 1</v>
      </c>
    </row>
    <row r="454" spans="1:17" ht="25.5">
      <c r="A454" s="682" t="s">
        <v>1918</v>
      </c>
      <c r="B454" s="402" t="s">
        <v>749</v>
      </c>
      <c r="C454" s="532"/>
      <c r="D454" s="532" t="s">
        <v>2045</v>
      </c>
      <c r="E454" s="532" t="s">
        <v>2046</v>
      </c>
      <c r="F454" s="390" t="s">
        <v>806</v>
      </c>
      <c r="G454" s="390" t="s">
        <v>788</v>
      </c>
      <c r="H454" s="381">
        <v>1</v>
      </c>
      <c r="I454" s="381">
        <v>10</v>
      </c>
      <c r="K454" s="381">
        <f t="shared" si="34"/>
        <v>10</v>
      </c>
      <c r="L454" s="644">
        <f>IFERROR(IF(B454="funkcna poziadavka",VLOOKUP(G454,MODULY_CBA!$B$3:$E$23,4,0)*H454/SUMIFS($H$3:$H$168,$G$3:$G$168,G454,$B$3:$B$168,B454),),)</f>
        <v>1.875</v>
      </c>
      <c r="M454" s="381">
        <f>IFERROR(IF(B454="Funkcna poziadavka",VLOOKUP(G454,MODULY_CBA!$B$3:$E$23,3,0),),)</f>
        <v>0.99499999999999988</v>
      </c>
      <c r="N454" s="381">
        <f>IFERROR(IF(B454="funkcna poziadavka",VLOOKUP(G454,MODULY_CBA!$B$3:$E$23,2,0),),)</f>
        <v>0.99</v>
      </c>
      <c r="O454" s="380">
        <f t="shared" si="35"/>
        <v>11.697468749999999</v>
      </c>
      <c r="P454" s="379">
        <f>IFERROR(O454*VLOOKUP(G454,MODULY_CBA!$B$3:$F$23,5,0),)</f>
        <v>233.94937499999997</v>
      </c>
      <c r="Q454" s="480" t="str">
        <f>IFERROR(VLOOKUP(G454,MODULY_CBA!$B$3:$I$23,6,0),"")</f>
        <v>Inkrement 1</v>
      </c>
    </row>
    <row r="455" spans="1:17" ht="25.5">
      <c r="A455" s="682" t="s">
        <v>1921</v>
      </c>
      <c r="B455" s="402" t="s">
        <v>749</v>
      </c>
      <c r="C455" s="532"/>
      <c r="D455" s="532" t="s">
        <v>2048</v>
      </c>
      <c r="E455" s="532" t="s">
        <v>2049</v>
      </c>
      <c r="F455" s="390" t="s">
        <v>806</v>
      </c>
      <c r="G455" s="390" t="s">
        <v>788</v>
      </c>
      <c r="H455" s="381">
        <v>1</v>
      </c>
      <c r="I455" s="381">
        <v>5</v>
      </c>
      <c r="K455" s="381">
        <f t="shared" si="34"/>
        <v>5</v>
      </c>
      <c r="L455" s="644">
        <f>IFERROR(IF(B455="funkcna poziadavka",VLOOKUP(G455,MODULY_CBA!$B$3:$E$23,4,0)*H455/SUMIFS($H$3:$H$168,$G$3:$G$168,G455,$B$3:$B$168,B455),),)</f>
        <v>1.875</v>
      </c>
      <c r="M455" s="381">
        <f>IFERROR(IF(B455="Funkcna poziadavka",VLOOKUP(G455,MODULY_CBA!$B$3:$E$23,3,0),),)</f>
        <v>0.99499999999999988</v>
      </c>
      <c r="N455" s="381">
        <f>IFERROR(IF(B455="funkcna poziadavka",VLOOKUP(G455,MODULY_CBA!$B$3:$E$23,2,0),),)</f>
        <v>0.99</v>
      </c>
      <c r="O455" s="380">
        <f t="shared" si="35"/>
        <v>6.7722187499999995</v>
      </c>
      <c r="P455" s="379">
        <f>IFERROR(O455*VLOOKUP(G455,MODULY_CBA!$B$3:$F$23,5,0),)</f>
        <v>135.44437499999998</v>
      </c>
      <c r="Q455" s="480" t="str">
        <f>IFERROR(VLOOKUP(G455,MODULY_CBA!$B$3:$I$23,6,0),"")</f>
        <v>Inkrement 1</v>
      </c>
    </row>
    <row r="456" spans="1:17" ht="51">
      <c r="A456" s="682" t="s">
        <v>1924</v>
      </c>
      <c r="B456" s="402" t="s">
        <v>749</v>
      </c>
      <c r="C456" s="532"/>
      <c r="D456" s="532" t="s">
        <v>2051</v>
      </c>
      <c r="E456" s="532" t="s">
        <v>2052</v>
      </c>
      <c r="F456" s="390" t="s">
        <v>806</v>
      </c>
      <c r="G456" s="390" t="s">
        <v>788</v>
      </c>
      <c r="H456" s="381">
        <v>1</v>
      </c>
      <c r="I456" s="381">
        <v>5</v>
      </c>
      <c r="K456" s="381">
        <f t="shared" si="34"/>
        <v>5</v>
      </c>
      <c r="L456" s="644">
        <f>IFERROR(IF(B456="funkcna poziadavka",VLOOKUP(G456,MODULY_CBA!$B$3:$E$23,4,0)*H456/SUMIFS($H$3:$H$168,$G$3:$G$168,G456,$B$3:$B$168,B456),),)</f>
        <v>1.875</v>
      </c>
      <c r="M456" s="381">
        <f>IFERROR(IF(B456="Funkcna poziadavka",VLOOKUP(G456,MODULY_CBA!$B$3:$E$23,3,0),),)</f>
        <v>0.99499999999999988</v>
      </c>
      <c r="N456" s="381">
        <f>IFERROR(IF(B456="funkcna poziadavka",VLOOKUP(G456,MODULY_CBA!$B$3:$E$23,2,0),),)</f>
        <v>0.99</v>
      </c>
      <c r="O456" s="380">
        <f t="shared" si="35"/>
        <v>6.7722187499999995</v>
      </c>
      <c r="P456" s="379">
        <f>IFERROR(O456*VLOOKUP(G456,MODULY_CBA!$B$3:$F$23,5,0),)</f>
        <v>135.44437499999998</v>
      </c>
      <c r="Q456" s="480" t="str">
        <f>IFERROR(VLOOKUP(G456,MODULY_CBA!$B$3:$I$23,6,0),"")</f>
        <v>Inkrement 1</v>
      </c>
    </row>
    <row r="457" spans="1:17" ht="25.5">
      <c r="A457" s="682" t="s">
        <v>1927</v>
      </c>
      <c r="B457" s="402" t="s">
        <v>749</v>
      </c>
      <c r="C457" s="532"/>
      <c r="D457" s="532" t="s">
        <v>2054</v>
      </c>
      <c r="E457" s="532" t="s">
        <v>2055</v>
      </c>
      <c r="F457" s="390" t="s">
        <v>806</v>
      </c>
      <c r="G457" s="390" t="s">
        <v>788</v>
      </c>
      <c r="H457" s="381">
        <v>1</v>
      </c>
      <c r="I457" s="381">
        <v>5</v>
      </c>
      <c r="K457" s="381">
        <f t="shared" si="34"/>
        <v>5</v>
      </c>
      <c r="L457" s="644">
        <f>IFERROR(IF(B457="funkcna poziadavka",VLOOKUP(G457,MODULY_CBA!$B$3:$E$23,4,0)*H457/SUMIFS($H$3:$H$168,$G$3:$G$168,G457,$B$3:$B$168,B457),),)</f>
        <v>1.875</v>
      </c>
      <c r="M457" s="381">
        <f>IFERROR(IF(B457="Funkcna poziadavka",VLOOKUP(G457,MODULY_CBA!$B$3:$E$23,3,0),),)</f>
        <v>0.99499999999999988</v>
      </c>
      <c r="N457" s="381">
        <f>IFERROR(IF(B457="funkcna poziadavka",VLOOKUP(G457,MODULY_CBA!$B$3:$E$23,2,0),),)</f>
        <v>0.99</v>
      </c>
      <c r="O457" s="380">
        <f t="shared" si="35"/>
        <v>6.7722187499999995</v>
      </c>
      <c r="P457" s="379">
        <f>IFERROR(O457*VLOOKUP(G457,MODULY_CBA!$B$3:$F$23,5,0),)</f>
        <v>135.44437499999998</v>
      </c>
      <c r="Q457" s="480" t="str">
        <f>IFERROR(VLOOKUP(G457,MODULY_CBA!$B$3:$I$23,6,0),"")</f>
        <v>Inkrement 1</v>
      </c>
    </row>
    <row r="458" spans="1:17">
      <c r="A458" s="682" t="s">
        <v>1930</v>
      </c>
      <c r="B458" s="402" t="s">
        <v>749</v>
      </c>
      <c r="C458" s="532"/>
      <c r="D458" s="532" t="s">
        <v>2057</v>
      </c>
      <c r="E458" s="532" t="s">
        <v>2058</v>
      </c>
      <c r="F458" s="390" t="s">
        <v>806</v>
      </c>
      <c r="G458" s="390" t="s">
        <v>788</v>
      </c>
      <c r="H458" s="381">
        <v>1</v>
      </c>
      <c r="I458" s="381">
        <v>5</v>
      </c>
      <c r="K458" s="381">
        <f t="shared" si="34"/>
        <v>5</v>
      </c>
      <c r="L458" s="644">
        <f>IFERROR(IF(B458="funkcna poziadavka",VLOOKUP(G458,MODULY_CBA!$B$3:$E$23,4,0)*H458/SUMIFS($H$3:$H$168,$G$3:$G$168,G458,$B$3:$B$168,B458),),)</f>
        <v>1.875</v>
      </c>
      <c r="M458" s="381">
        <f>IFERROR(IF(B458="Funkcna poziadavka",VLOOKUP(G458,MODULY_CBA!$B$3:$E$23,3,0),),)</f>
        <v>0.99499999999999988</v>
      </c>
      <c r="N458" s="381">
        <f>IFERROR(IF(B458="funkcna poziadavka",VLOOKUP(G458,MODULY_CBA!$B$3:$E$23,2,0),),)</f>
        <v>0.99</v>
      </c>
      <c r="O458" s="380">
        <f t="shared" si="35"/>
        <v>6.7722187499999995</v>
      </c>
      <c r="P458" s="379">
        <f>IFERROR(O458*VLOOKUP(G458,MODULY_CBA!$B$3:$F$23,5,0),)</f>
        <v>135.44437499999998</v>
      </c>
      <c r="Q458" s="480" t="str">
        <f>IFERROR(VLOOKUP(G458,MODULY_CBA!$B$3:$I$23,6,0),"")</f>
        <v>Inkrement 1</v>
      </c>
    </row>
    <row r="459" spans="1:17" ht="25.5">
      <c r="A459" s="682" t="s">
        <v>1933</v>
      </c>
      <c r="B459" s="402" t="s">
        <v>749</v>
      </c>
      <c r="C459" s="532"/>
      <c r="D459" s="532" t="s">
        <v>2060</v>
      </c>
      <c r="E459" s="532" t="s">
        <v>2061</v>
      </c>
      <c r="F459" s="390" t="s">
        <v>806</v>
      </c>
      <c r="G459" s="390" t="s">
        <v>788</v>
      </c>
      <c r="H459" s="381">
        <v>1</v>
      </c>
      <c r="I459" s="381">
        <v>5</v>
      </c>
      <c r="K459" s="381">
        <f t="shared" si="34"/>
        <v>5</v>
      </c>
      <c r="L459" s="644">
        <f>IFERROR(IF(B459="funkcna poziadavka",VLOOKUP(G459,MODULY_CBA!$B$3:$E$23,4,0)*H459/SUMIFS($H$3:$H$168,$G$3:$G$168,G459,$B$3:$B$168,B459),),)</f>
        <v>1.875</v>
      </c>
      <c r="M459" s="381">
        <f>IFERROR(IF(B459="Funkcna poziadavka",VLOOKUP(G459,MODULY_CBA!$B$3:$E$23,3,0),),)</f>
        <v>0.99499999999999988</v>
      </c>
      <c r="N459" s="381">
        <f>IFERROR(IF(B459="funkcna poziadavka",VLOOKUP(G459,MODULY_CBA!$B$3:$E$23,2,0),),)</f>
        <v>0.99</v>
      </c>
      <c r="O459" s="380">
        <f t="shared" si="35"/>
        <v>6.7722187499999995</v>
      </c>
      <c r="P459" s="379">
        <f>IFERROR(O459*VLOOKUP(G459,MODULY_CBA!$B$3:$F$23,5,0),)</f>
        <v>135.44437499999998</v>
      </c>
      <c r="Q459" s="480" t="str">
        <f>IFERROR(VLOOKUP(G459,MODULY_CBA!$B$3:$I$23,6,0),"")</f>
        <v>Inkrement 1</v>
      </c>
    </row>
    <row r="460" spans="1:17">
      <c r="A460" s="682" t="s">
        <v>1936</v>
      </c>
      <c r="B460" s="402" t="s">
        <v>749</v>
      </c>
      <c r="C460" s="532"/>
      <c r="D460" s="532" t="s">
        <v>2063</v>
      </c>
      <c r="E460" s="532" t="s">
        <v>2064</v>
      </c>
      <c r="F460" s="390" t="s">
        <v>806</v>
      </c>
      <c r="G460" s="390" t="s">
        <v>788</v>
      </c>
      <c r="H460" s="381">
        <v>1</v>
      </c>
      <c r="I460" s="381">
        <v>5</v>
      </c>
      <c r="K460" s="381">
        <f t="shared" si="34"/>
        <v>5</v>
      </c>
      <c r="L460" s="644">
        <f>IFERROR(IF(B460="funkcna poziadavka",VLOOKUP(G460,MODULY_CBA!$B$3:$E$23,4,0)*H460/SUMIFS($H$3:$H$168,$G$3:$G$168,G460,$B$3:$B$168,B460),),)</f>
        <v>1.875</v>
      </c>
      <c r="M460" s="381">
        <f>IFERROR(IF(B460="Funkcna poziadavka",VLOOKUP(G460,MODULY_CBA!$B$3:$E$23,3,0),),)</f>
        <v>0.99499999999999988</v>
      </c>
      <c r="N460" s="381">
        <f>IFERROR(IF(B460="funkcna poziadavka",VLOOKUP(G460,MODULY_CBA!$B$3:$E$23,2,0),),)</f>
        <v>0.99</v>
      </c>
      <c r="O460" s="380">
        <f t="shared" si="35"/>
        <v>6.7722187499999995</v>
      </c>
      <c r="P460" s="379">
        <f>IFERROR(O460*VLOOKUP(G460,MODULY_CBA!$B$3:$F$23,5,0),)</f>
        <v>135.44437499999998</v>
      </c>
      <c r="Q460" s="480" t="str">
        <f>IFERROR(VLOOKUP(G460,MODULY_CBA!$B$3:$I$23,6,0),"")</f>
        <v>Inkrement 1</v>
      </c>
    </row>
    <row r="461" spans="1:17">
      <c r="A461" s="682" t="s">
        <v>1939</v>
      </c>
      <c r="B461" s="402" t="s">
        <v>749</v>
      </c>
      <c r="C461" s="532"/>
      <c r="D461" s="532" t="s">
        <v>2066</v>
      </c>
      <c r="E461" s="532" t="s">
        <v>2067</v>
      </c>
      <c r="F461" s="390" t="s">
        <v>806</v>
      </c>
      <c r="G461" s="390" t="s">
        <v>788</v>
      </c>
      <c r="H461" s="381">
        <v>1</v>
      </c>
      <c r="I461" s="381">
        <v>5</v>
      </c>
      <c r="K461" s="381">
        <f t="shared" si="34"/>
        <v>5</v>
      </c>
      <c r="L461" s="644">
        <f>IFERROR(IF(B461="funkcna poziadavka",VLOOKUP(G461,MODULY_CBA!$B$3:$E$23,4,0)*H461/SUMIFS($H$3:$H$168,$G$3:$G$168,G461,$B$3:$B$168,B461),),)</f>
        <v>1.875</v>
      </c>
      <c r="M461" s="381">
        <f>IFERROR(IF(B461="Funkcna poziadavka",VLOOKUP(G461,MODULY_CBA!$B$3:$E$23,3,0),),)</f>
        <v>0.99499999999999988</v>
      </c>
      <c r="N461" s="381">
        <f>IFERROR(IF(B461="funkcna poziadavka",VLOOKUP(G461,MODULY_CBA!$B$3:$E$23,2,0),),)</f>
        <v>0.99</v>
      </c>
      <c r="O461" s="380">
        <f t="shared" si="35"/>
        <v>6.7722187499999995</v>
      </c>
      <c r="P461" s="379">
        <f>IFERROR(O461*VLOOKUP(G461,MODULY_CBA!$B$3:$F$23,5,0),)</f>
        <v>135.44437499999998</v>
      </c>
      <c r="Q461" s="480" t="str">
        <f>IFERROR(VLOOKUP(G461,MODULY_CBA!$B$3:$I$23,6,0),"")</f>
        <v>Inkrement 1</v>
      </c>
    </row>
    <row r="462" spans="1:17" ht="25.5">
      <c r="A462" s="682" t="s">
        <v>1942</v>
      </c>
      <c r="B462" s="402" t="s">
        <v>749</v>
      </c>
      <c r="C462" s="532"/>
      <c r="D462" s="532" t="s">
        <v>2069</v>
      </c>
      <c r="E462" s="532" t="s">
        <v>2070</v>
      </c>
      <c r="F462" s="390" t="s">
        <v>806</v>
      </c>
      <c r="G462" s="390" t="s">
        <v>788</v>
      </c>
      <c r="H462" s="381">
        <v>1</v>
      </c>
      <c r="I462" s="381">
        <v>5</v>
      </c>
      <c r="K462" s="381">
        <f t="shared" si="34"/>
        <v>5</v>
      </c>
      <c r="L462" s="644">
        <f>IFERROR(IF(B462="funkcna poziadavka",VLOOKUP(G462,MODULY_CBA!$B$3:$E$23,4,0)*H462/SUMIFS($H$3:$H$168,$G$3:$G$168,G462,$B$3:$B$168,B462),),)</f>
        <v>1.875</v>
      </c>
      <c r="M462" s="381">
        <f>IFERROR(IF(B462="Funkcna poziadavka",VLOOKUP(G462,MODULY_CBA!$B$3:$E$23,3,0),),)</f>
        <v>0.99499999999999988</v>
      </c>
      <c r="N462" s="381">
        <f>IFERROR(IF(B462="funkcna poziadavka",VLOOKUP(G462,MODULY_CBA!$B$3:$E$23,2,0),),)</f>
        <v>0.99</v>
      </c>
      <c r="O462" s="380">
        <f t="shared" si="35"/>
        <v>6.7722187499999995</v>
      </c>
      <c r="P462" s="379">
        <f>IFERROR(O462*VLOOKUP(G462,MODULY_CBA!$B$3:$F$23,5,0),)</f>
        <v>135.44437499999998</v>
      </c>
      <c r="Q462" s="480" t="str">
        <f>IFERROR(VLOOKUP(G462,MODULY_CBA!$B$3:$I$23,6,0),"")</f>
        <v>Inkrement 1</v>
      </c>
    </row>
    <row r="463" spans="1:17" ht="25.5">
      <c r="A463" s="682" t="s">
        <v>1945</v>
      </c>
      <c r="B463" s="402" t="s">
        <v>749</v>
      </c>
      <c r="C463" s="532"/>
      <c r="D463" s="532" t="s">
        <v>2072</v>
      </c>
      <c r="E463" s="532" t="s">
        <v>2073</v>
      </c>
      <c r="F463" s="390" t="s">
        <v>806</v>
      </c>
      <c r="G463" s="390" t="s">
        <v>788</v>
      </c>
      <c r="H463" s="381">
        <v>1</v>
      </c>
      <c r="I463" s="381">
        <v>5</v>
      </c>
      <c r="K463" s="381">
        <f t="shared" si="34"/>
        <v>5</v>
      </c>
      <c r="L463" s="644">
        <f>IFERROR(IF(B463="funkcna poziadavka",VLOOKUP(G463,MODULY_CBA!$B$3:$E$23,4,0)*H463/SUMIFS($H$3:$H$168,$G$3:$G$168,G463,$B$3:$B$168,B463),),)</f>
        <v>1.875</v>
      </c>
      <c r="M463" s="381">
        <f>IFERROR(IF(B463="Funkcna poziadavka",VLOOKUP(G463,MODULY_CBA!$B$3:$E$23,3,0),),)</f>
        <v>0.99499999999999988</v>
      </c>
      <c r="N463" s="381">
        <f>IFERROR(IF(B463="funkcna poziadavka",VLOOKUP(G463,MODULY_CBA!$B$3:$E$23,2,0),),)</f>
        <v>0.99</v>
      </c>
      <c r="O463" s="380">
        <f t="shared" si="35"/>
        <v>6.7722187499999995</v>
      </c>
      <c r="P463" s="379">
        <f>IFERROR(O463*VLOOKUP(G463,MODULY_CBA!$B$3:$F$23,5,0),)</f>
        <v>135.44437499999998</v>
      </c>
      <c r="Q463" s="480" t="str">
        <f>IFERROR(VLOOKUP(G463,MODULY_CBA!$B$3:$I$23,6,0),"")</f>
        <v>Inkrement 1</v>
      </c>
    </row>
    <row r="464" spans="1:17" ht="25.5">
      <c r="A464" s="682" t="s">
        <v>1948</v>
      </c>
      <c r="B464" s="402" t="s">
        <v>749</v>
      </c>
      <c r="C464" s="532"/>
      <c r="D464" s="532" t="s">
        <v>2075</v>
      </c>
      <c r="E464" s="532" t="s">
        <v>2076</v>
      </c>
      <c r="F464" s="390" t="s">
        <v>806</v>
      </c>
      <c r="G464" s="390" t="s">
        <v>788</v>
      </c>
      <c r="H464" s="381">
        <v>1</v>
      </c>
      <c r="I464" s="381">
        <v>5</v>
      </c>
      <c r="K464" s="381">
        <f t="shared" si="34"/>
        <v>5</v>
      </c>
      <c r="L464" s="644">
        <f>IFERROR(IF(B464="funkcna poziadavka",VLOOKUP(G464,MODULY_CBA!$B$3:$E$23,4,0)*H464/SUMIFS($H$3:$H$168,$G$3:$G$168,G464,$B$3:$B$168,B464),),)</f>
        <v>1.875</v>
      </c>
      <c r="M464" s="381">
        <f>IFERROR(IF(B464="Funkcna poziadavka",VLOOKUP(G464,MODULY_CBA!$B$3:$E$23,3,0),),)</f>
        <v>0.99499999999999988</v>
      </c>
      <c r="N464" s="381">
        <f>IFERROR(IF(B464="funkcna poziadavka",VLOOKUP(G464,MODULY_CBA!$B$3:$E$23,2,0),),)</f>
        <v>0.99</v>
      </c>
      <c r="O464" s="380">
        <f t="shared" si="35"/>
        <v>6.7722187499999995</v>
      </c>
      <c r="P464" s="379">
        <f>IFERROR(O464*VLOOKUP(G464,MODULY_CBA!$B$3:$F$23,5,0),)</f>
        <v>135.44437499999998</v>
      </c>
      <c r="Q464" s="480" t="str">
        <f>IFERROR(VLOOKUP(G464,MODULY_CBA!$B$3:$I$23,6,0),"")</f>
        <v>Inkrement 1</v>
      </c>
    </row>
    <row r="465" spans="1:17" ht="25.5">
      <c r="A465" s="682" t="s">
        <v>1951</v>
      </c>
      <c r="B465" s="402" t="s">
        <v>749</v>
      </c>
      <c r="C465" s="532"/>
      <c r="D465" s="532" t="s">
        <v>2078</v>
      </c>
      <c r="E465" s="532" t="s">
        <v>2079</v>
      </c>
      <c r="F465" s="390" t="s">
        <v>806</v>
      </c>
      <c r="G465" s="390" t="s">
        <v>788</v>
      </c>
      <c r="H465" s="381">
        <v>1</v>
      </c>
      <c r="I465" s="381">
        <v>5</v>
      </c>
      <c r="K465" s="381">
        <f t="shared" si="34"/>
        <v>5</v>
      </c>
      <c r="L465" s="644">
        <f>IFERROR(IF(B465="funkcna poziadavka",VLOOKUP(G465,MODULY_CBA!$B$3:$E$23,4,0)*H465/SUMIFS($H$3:$H$168,$G$3:$G$168,G465,$B$3:$B$168,B465),),)</f>
        <v>1.875</v>
      </c>
      <c r="M465" s="381">
        <f>IFERROR(IF(B465="Funkcna poziadavka",VLOOKUP(G465,MODULY_CBA!$B$3:$E$23,3,0),),)</f>
        <v>0.99499999999999988</v>
      </c>
      <c r="N465" s="381">
        <f>IFERROR(IF(B465="funkcna poziadavka",VLOOKUP(G465,MODULY_CBA!$B$3:$E$23,2,0),),)</f>
        <v>0.99</v>
      </c>
      <c r="O465" s="380">
        <f t="shared" si="35"/>
        <v>6.7722187499999995</v>
      </c>
      <c r="P465" s="379">
        <f>IFERROR(O465*VLOOKUP(G465,MODULY_CBA!$B$3:$F$23,5,0),)</f>
        <v>135.44437499999998</v>
      </c>
      <c r="Q465" s="480" t="str">
        <f>IFERROR(VLOOKUP(G465,MODULY_CBA!$B$3:$I$23,6,0),"")</f>
        <v>Inkrement 1</v>
      </c>
    </row>
    <row r="466" spans="1:17">
      <c r="A466" s="682" t="s">
        <v>1954</v>
      </c>
      <c r="B466" s="402" t="s">
        <v>749</v>
      </c>
      <c r="C466" s="532"/>
      <c r="D466" s="532" t="s">
        <v>2081</v>
      </c>
      <c r="E466" s="532" t="s">
        <v>2082</v>
      </c>
      <c r="F466" s="390" t="s">
        <v>806</v>
      </c>
      <c r="G466" s="390" t="s">
        <v>788</v>
      </c>
      <c r="H466" s="381">
        <v>1</v>
      </c>
      <c r="I466" s="381">
        <v>5</v>
      </c>
      <c r="K466" s="381">
        <f t="shared" si="34"/>
        <v>5</v>
      </c>
      <c r="L466" s="644">
        <f>IFERROR(IF(B466="funkcna poziadavka",VLOOKUP(G466,MODULY_CBA!$B$3:$E$23,4,0)*H466/SUMIFS($H$3:$H$168,$G$3:$G$168,G466,$B$3:$B$168,B466),),)</f>
        <v>1.875</v>
      </c>
      <c r="M466" s="381">
        <f>IFERROR(IF(B466="Funkcna poziadavka",VLOOKUP(G466,MODULY_CBA!$B$3:$E$23,3,0),),)</f>
        <v>0.99499999999999988</v>
      </c>
      <c r="N466" s="381">
        <f>IFERROR(IF(B466="funkcna poziadavka",VLOOKUP(G466,MODULY_CBA!$B$3:$E$23,2,0),),)</f>
        <v>0.99</v>
      </c>
      <c r="O466" s="380">
        <f t="shared" si="35"/>
        <v>6.7722187499999995</v>
      </c>
      <c r="P466" s="379">
        <f>IFERROR(O466*VLOOKUP(G466,MODULY_CBA!$B$3:$F$23,5,0),)</f>
        <v>135.44437499999998</v>
      </c>
      <c r="Q466" s="480" t="str">
        <f>IFERROR(VLOOKUP(G466,MODULY_CBA!$B$3:$I$23,6,0),"")</f>
        <v>Inkrement 1</v>
      </c>
    </row>
    <row r="467" spans="1:17" ht="25.5">
      <c r="A467" s="682" t="s">
        <v>1957</v>
      </c>
      <c r="B467" s="402" t="s">
        <v>749</v>
      </c>
      <c r="C467" s="532"/>
      <c r="D467" s="532" t="s">
        <v>2084</v>
      </c>
      <c r="E467" s="532" t="s">
        <v>2085</v>
      </c>
      <c r="F467" s="390" t="s">
        <v>806</v>
      </c>
      <c r="G467" s="390" t="s">
        <v>788</v>
      </c>
      <c r="H467" s="381">
        <v>1</v>
      </c>
      <c r="I467" s="381">
        <v>5</v>
      </c>
      <c r="K467" s="381">
        <f t="shared" si="34"/>
        <v>5</v>
      </c>
      <c r="L467" s="644">
        <f>IFERROR(IF(B467="funkcna poziadavka",VLOOKUP(G467,MODULY_CBA!$B$3:$E$23,4,0)*H467/SUMIFS($H$3:$H$168,$G$3:$G$168,G467,$B$3:$B$168,B467),),)</f>
        <v>1.875</v>
      </c>
      <c r="M467" s="381">
        <f>IFERROR(IF(B467="Funkcna poziadavka",VLOOKUP(G467,MODULY_CBA!$B$3:$E$23,3,0),),)</f>
        <v>0.99499999999999988</v>
      </c>
      <c r="N467" s="381">
        <f>IFERROR(IF(B467="funkcna poziadavka",VLOOKUP(G467,MODULY_CBA!$B$3:$E$23,2,0),),)</f>
        <v>0.99</v>
      </c>
      <c r="O467" s="380">
        <f t="shared" si="35"/>
        <v>6.7722187499999995</v>
      </c>
      <c r="P467" s="379">
        <f>IFERROR(O467*VLOOKUP(G467,MODULY_CBA!$B$3:$F$23,5,0),)</f>
        <v>135.44437499999998</v>
      </c>
      <c r="Q467" s="480" t="str">
        <f>IFERROR(VLOOKUP(G467,MODULY_CBA!$B$3:$I$23,6,0),"")</f>
        <v>Inkrement 1</v>
      </c>
    </row>
    <row r="468" spans="1:17" ht="25.5">
      <c r="A468" s="682" t="s">
        <v>1960</v>
      </c>
      <c r="B468" s="402" t="s">
        <v>749</v>
      </c>
      <c r="C468" s="532"/>
      <c r="D468" s="532" t="s">
        <v>2087</v>
      </c>
      <c r="E468" s="532" t="s">
        <v>2088</v>
      </c>
      <c r="F468" s="390" t="s">
        <v>806</v>
      </c>
      <c r="G468" s="390" t="s">
        <v>788</v>
      </c>
      <c r="H468" s="381">
        <v>1</v>
      </c>
      <c r="I468" s="381">
        <v>5</v>
      </c>
      <c r="K468" s="381">
        <f t="shared" si="34"/>
        <v>5</v>
      </c>
      <c r="L468" s="644">
        <f>IFERROR(IF(B468="funkcna poziadavka",VLOOKUP(G468,MODULY_CBA!$B$3:$E$23,4,0)*H468/SUMIFS($H$3:$H$168,$G$3:$G$168,G468,$B$3:$B$168,B468),),)</f>
        <v>1.875</v>
      </c>
      <c r="M468" s="381">
        <f>IFERROR(IF(B468="Funkcna poziadavka",VLOOKUP(G468,MODULY_CBA!$B$3:$E$23,3,0),),)</f>
        <v>0.99499999999999988</v>
      </c>
      <c r="N468" s="381">
        <f>IFERROR(IF(B468="funkcna poziadavka",VLOOKUP(G468,MODULY_CBA!$B$3:$E$23,2,0),),)</f>
        <v>0.99</v>
      </c>
      <c r="O468" s="380">
        <f t="shared" si="35"/>
        <v>6.7722187499999995</v>
      </c>
      <c r="P468" s="379">
        <f>IFERROR(O468*VLOOKUP(G468,MODULY_CBA!$B$3:$F$23,5,0),)</f>
        <v>135.44437499999998</v>
      </c>
      <c r="Q468" s="480" t="str">
        <f>IFERROR(VLOOKUP(G468,MODULY_CBA!$B$3:$I$23,6,0),"")</f>
        <v>Inkrement 1</v>
      </c>
    </row>
    <row r="469" spans="1:17">
      <c r="A469" s="682" t="s">
        <v>1963</v>
      </c>
      <c r="B469" s="402" t="s">
        <v>749</v>
      </c>
      <c r="C469" s="532"/>
      <c r="D469" s="532" t="s">
        <v>2090</v>
      </c>
      <c r="E469" s="532" t="s">
        <v>2091</v>
      </c>
      <c r="F469" s="390" t="s">
        <v>806</v>
      </c>
      <c r="G469" s="390" t="s">
        <v>788</v>
      </c>
      <c r="H469" s="381">
        <v>1</v>
      </c>
      <c r="I469" s="381">
        <v>5</v>
      </c>
      <c r="K469" s="381">
        <f t="shared" si="34"/>
        <v>5</v>
      </c>
      <c r="L469" s="644">
        <f>IFERROR(IF(B469="funkcna poziadavka",VLOOKUP(G469,MODULY_CBA!$B$3:$E$23,4,0)*H469/SUMIFS($H$3:$H$168,$G$3:$G$168,G469,$B$3:$B$168,B469),),)</f>
        <v>1.875</v>
      </c>
      <c r="M469" s="381">
        <f>IFERROR(IF(B469="Funkcna poziadavka",VLOOKUP(G469,MODULY_CBA!$B$3:$E$23,3,0),),)</f>
        <v>0.99499999999999988</v>
      </c>
      <c r="N469" s="381">
        <f>IFERROR(IF(B469="funkcna poziadavka",VLOOKUP(G469,MODULY_CBA!$B$3:$E$23,2,0),),)</f>
        <v>0.99</v>
      </c>
      <c r="O469" s="380">
        <f t="shared" si="35"/>
        <v>6.7722187499999995</v>
      </c>
      <c r="P469" s="379">
        <f>IFERROR(O469*VLOOKUP(G469,MODULY_CBA!$B$3:$F$23,5,0),)</f>
        <v>135.44437499999998</v>
      </c>
      <c r="Q469" s="480" t="str">
        <f>IFERROR(VLOOKUP(G469,MODULY_CBA!$B$3:$I$23,6,0),"")</f>
        <v>Inkrement 1</v>
      </c>
    </row>
    <row r="470" spans="1:17">
      <c r="A470" s="682" t="s">
        <v>1966</v>
      </c>
      <c r="B470" s="402" t="s">
        <v>749</v>
      </c>
      <c r="C470" s="532"/>
      <c r="D470" s="532" t="s">
        <v>2093</v>
      </c>
      <c r="E470" s="532" t="s">
        <v>2094</v>
      </c>
      <c r="F470" s="390" t="s">
        <v>806</v>
      </c>
      <c r="G470" s="390" t="s">
        <v>788</v>
      </c>
      <c r="H470" s="381">
        <v>1</v>
      </c>
      <c r="I470" s="381">
        <v>5</v>
      </c>
      <c r="K470" s="381">
        <f t="shared" si="34"/>
        <v>5</v>
      </c>
      <c r="L470" s="644">
        <f>IFERROR(IF(B470="funkcna poziadavka",VLOOKUP(G470,MODULY_CBA!$B$3:$E$23,4,0)*H470/SUMIFS($H$3:$H$168,$G$3:$G$168,G470,$B$3:$B$168,B470),),)</f>
        <v>1.875</v>
      </c>
      <c r="M470" s="381">
        <f>IFERROR(IF(B470="Funkcna poziadavka",VLOOKUP(G470,MODULY_CBA!$B$3:$E$23,3,0),),)</f>
        <v>0.99499999999999988</v>
      </c>
      <c r="N470" s="381">
        <f>IFERROR(IF(B470="funkcna poziadavka",VLOOKUP(G470,MODULY_CBA!$B$3:$E$23,2,0),),)</f>
        <v>0.99</v>
      </c>
      <c r="O470" s="380">
        <f t="shared" si="35"/>
        <v>6.7722187499999995</v>
      </c>
      <c r="P470" s="379">
        <f>IFERROR(O470*VLOOKUP(G470,MODULY_CBA!$B$3:$F$23,5,0),)</f>
        <v>135.44437499999998</v>
      </c>
      <c r="Q470" s="480" t="str">
        <f>IFERROR(VLOOKUP(G470,MODULY_CBA!$B$3:$I$23,6,0),"")</f>
        <v>Inkrement 1</v>
      </c>
    </row>
    <row r="471" spans="1:17">
      <c r="A471" s="682" t="s">
        <v>1969</v>
      </c>
      <c r="B471" s="402" t="s">
        <v>749</v>
      </c>
      <c r="C471" s="532"/>
      <c r="D471" s="532" t="s">
        <v>2096</v>
      </c>
      <c r="E471" s="532" t="s">
        <v>2097</v>
      </c>
      <c r="F471" s="390" t="s">
        <v>806</v>
      </c>
      <c r="G471" s="390" t="s">
        <v>788</v>
      </c>
      <c r="H471" s="381">
        <v>1</v>
      </c>
      <c r="I471" s="381">
        <v>5</v>
      </c>
      <c r="K471" s="381">
        <f t="shared" si="34"/>
        <v>5</v>
      </c>
      <c r="L471" s="644">
        <f>IFERROR(IF(B471="funkcna poziadavka",VLOOKUP(G471,MODULY_CBA!$B$3:$E$23,4,0)*H471/SUMIFS($H$3:$H$168,$G$3:$G$168,G471,$B$3:$B$168,B471),),)</f>
        <v>1.875</v>
      </c>
      <c r="M471" s="381">
        <f>IFERROR(IF(B471="Funkcna poziadavka",VLOOKUP(G471,MODULY_CBA!$B$3:$E$23,3,0),),)</f>
        <v>0.99499999999999988</v>
      </c>
      <c r="N471" s="381">
        <f>IFERROR(IF(B471="funkcna poziadavka",VLOOKUP(G471,MODULY_CBA!$B$3:$E$23,2,0),),)</f>
        <v>0.99</v>
      </c>
      <c r="O471" s="380">
        <f t="shared" si="35"/>
        <v>6.7722187499999995</v>
      </c>
      <c r="P471" s="379">
        <f>IFERROR(O471*VLOOKUP(G471,MODULY_CBA!$B$3:$F$23,5,0),)</f>
        <v>135.44437499999998</v>
      </c>
      <c r="Q471" s="480" t="str">
        <f>IFERROR(VLOOKUP(G471,MODULY_CBA!$B$3:$I$23,6,0),"")</f>
        <v>Inkrement 1</v>
      </c>
    </row>
    <row r="472" spans="1:17" ht="38.25">
      <c r="A472" s="682" t="s">
        <v>1972</v>
      </c>
      <c r="B472" s="402" t="s">
        <v>749</v>
      </c>
      <c r="C472" s="532"/>
      <c r="D472" s="532" t="s">
        <v>2099</v>
      </c>
      <c r="E472" s="532" t="s">
        <v>2100</v>
      </c>
      <c r="F472" s="390" t="s">
        <v>806</v>
      </c>
      <c r="G472" s="390" t="s">
        <v>788</v>
      </c>
      <c r="H472" s="381">
        <v>1</v>
      </c>
      <c r="I472" s="381">
        <v>10</v>
      </c>
      <c r="K472" s="381">
        <f t="shared" si="34"/>
        <v>10</v>
      </c>
      <c r="L472" s="644">
        <f>IFERROR(IF(B472="funkcna poziadavka",VLOOKUP(G472,MODULY_CBA!$B$3:$E$23,4,0)*H472/SUMIFS($H$3:$H$168,$G$3:$G$168,G472,$B$3:$B$168,B472),),)</f>
        <v>1.875</v>
      </c>
      <c r="M472" s="381">
        <f>IFERROR(IF(B472="Funkcna poziadavka",VLOOKUP(G472,MODULY_CBA!$B$3:$E$23,3,0),),)</f>
        <v>0.99499999999999988</v>
      </c>
      <c r="N472" s="381">
        <f>IFERROR(IF(B472="funkcna poziadavka",VLOOKUP(G472,MODULY_CBA!$B$3:$E$23,2,0),),)</f>
        <v>0.99</v>
      </c>
      <c r="O472" s="380">
        <f t="shared" si="35"/>
        <v>11.697468749999999</v>
      </c>
      <c r="P472" s="379">
        <f>IFERROR(O472*VLOOKUP(G472,MODULY_CBA!$B$3:$F$23,5,0),)</f>
        <v>233.94937499999997</v>
      </c>
      <c r="Q472" s="480" t="str">
        <f>IFERROR(VLOOKUP(G472,MODULY_CBA!$B$3:$I$23,6,0),"")</f>
        <v>Inkrement 1</v>
      </c>
    </row>
    <row r="473" spans="1:17" ht="25.5">
      <c r="A473" s="682" t="s">
        <v>1975</v>
      </c>
      <c r="B473" s="402" t="s">
        <v>749</v>
      </c>
      <c r="C473" s="532"/>
      <c r="D473" s="532" t="s">
        <v>2102</v>
      </c>
      <c r="E473" s="532" t="s">
        <v>2103</v>
      </c>
      <c r="F473" s="390" t="s">
        <v>806</v>
      </c>
      <c r="G473" s="390" t="s">
        <v>788</v>
      </c>
      <c r="H473" s="381">
        <v>1</v>
      </c>
      <c r="I473" s="381">
        <v>5</v>
      </c>
      <c r="K473" s="381">
        <f t="shared" si="34"/>
        <v>5</v>
      </c>
      <c r="L473" s="644">
        <f>IFERROR(IF(B473="funkcna poziadavka",VLOOKUP(G473,MODULY_CBA!$B$3:$E$23,4,0)*H473/SUMIFS($H$3:$H$168,$G$3:$G$168,G473,$B$3:$B$168,B473),),)</f>
        <v>1.875</v>
      </c>
      <c r="M473" s="381">
        <f>IFERROR(IF(B473="Funkcna poziadavka",VLOOKUP(G473,MODULY_CBA!$B$3:$E$23,3,0),),)</f>
        <v>0.99499999999999988</v>
      </c>
      <c r="N473" s="381">
        <f>IFERROR(IF(B473="funkcna poziadavka",VLOOKUP(G473,MODULY_CBA!$B$3:$E$23,2,0),),)</f>
        <v>0.99</v>
      </c>
      <c r="O473" s="380">
        <f t="shared" si="35"/>
        <v>6.7722187499999995</v>
      </c>
      <c r="P473" s="379">
        <f>IFERROR(O473*VLOOKUP(G473,MODULY_CBA!$B$3:$F$23,5,0),)</f>
        <v>135.44437499999998</v>
      </c>
      <c r="Q473" s="480" t="str">
        <f>IFERROR(VLOOKUP(G473,MODULY_CBA!$B$3:$I$23,6,0),"")</f>
        <v>Inkrement 1</v>
      </c>
    </row>
    <row r="474" spans="1:17" ht="25.5">
      <c r="A474" s="682" t="s">
        <v>1978</v>
      </c>
      <c r="B474" s="402" t="s">
        <v>749</v>
      </c>
      <c r="C474" s="532"/>
      <c r="D474" s="532" t="s">
        <v>2105</v>
      </c>
      <c r="E474" s="532" t="s">
        <v>2106</v>
      </c>
      <c r="F474" s="390" t="s">
        <v>806</v>
      </c>
      <c r="G474" s="390" t="s">
        <v>788</v>
      </c>
      <c r="H474" s="381">
        <v>1</v>
      </c>
      <c r="I474" s="381">
        <v>5</v>
      </c>
      <c r="K474" s="381">
        <f t="shared" si="34"/>
        <v>5</v>
      </c>
      <c r="L474" s="644">
        <f>IFERROR(IF(B474="funkcna poziadavka",VLOOKUP(G474,MODULY_CBA!$B$3:$E$23,4,0)*H474/SUMIFS($H$3:$H$168,$G$3:$G$168,G474,$B$3:$B$168,B474),),)</f>
        <v>1.875</v>
      </c>
      <c r="M474" s="381">
        <f>IFERROR(IF(B474="Funkcna poziadavka",VLOOKUP(G474,MODULY_CBA!$B$3:$E$23,3,0),),)</f>
        <v>0.99499999999999988</v>
      </c>
      <c r="N474" s="381">
        <f>IFERROR(IF(B474="funkcna poziadavka",VLOOKUP(G474,MODULY_CBA!$B$3:$E$23,2,0),),)</f>
        <v>0.99</v>
      </c>
      <c r="O474" s="380">
        <f t="shared" si="35"/>
        <v>6.7722187499999995</v>
      </c>
      <c r="P474" s="379">
        <f>IFERROR(O474*VLOOKUP(G474,MODULY_CBA!$B$3:$F$23,5,0),)</f>
        <v>135.44437499999998</v>
      </c>
      <c r="Q474" s="480" t="str">
        <f>IFERROR(VLOOKUP(G474,MODULY_CBA!$B$3:$I$23,6,0),"")</f>
        <v>Inkrement 1</v>
      </c>
    </row>
    <row r="475" spans="1:17" ht="51">
      <c r="A475" s="682" t="s">
        <v>1981</v>
      </c>
      <c r="B475" s="402" t="s">
        <v>749</v>
      </c>
      <c r="C475" s="532"/>
      <c r="D475" s="532" t="s">
        <v>2108</v>
      </c>
      <c r="E475" s="532" t="s">
        <v>2109</v>
      </c>
      <c r="F475" s="390" t="s">
        <v>806</v>
      </c>
      <c r="G475" s="390" t="s">
        <v>788</v>
      </c>
      <c r="H475" s="381">
        <v>1</v>
      </c>
      <c r="I475" s="381">
        <v>5</v>
      </c>
      <c r="K475" s="381">
        <f t="shared" si="34"/>
        <v>5</v>
      </c>
      <c r="L475" s="644">
        <f>IFERROR(IF(B475="funkcna poziadavka",VLOOKUP(G475,MODULY_CBA!$B$3:$E$23,4,0)*H475/SUMIFS($H$3:$H$168,$G$3:$G$168,G475,$B$3:$B$168,B475),),)</f>
        <v>1.875</v>
      </c>
      <c r="M475" s="381">
        <f>IFERROR(IF(B475="Funkcna poziadavka",VLOOKUP(G475,MODULY_CBA!$B$3:$E$23,3,0),),)</f>
        <v>0.99499999999999988</v>
      </c>
      <c r="N475" s="381">
        <f>IFERROR(IF(B475="funkcna poziadavka",VLOOKUP(G475,MODULY_CBA!$B$3:$E$23,2,0),),)</f>
        <v>0.99</v>
      </c>
      <c r="O475" s="380">
        <f t="shared" si="35"/>
        <v>6.7722187499999995</v>
      </c>
      <c r="P475" s="379">
        <f>IFERROR(O475*VLOOKUP(G475,MODULY_CBA!$B$3:$F$23,5,0),)</f>
        <v>135.44437499999998</v>
      </c>
      <c r="Q475" s="480" t="str">
        <f>IFERROR(VLOOKUP(G475,MODULY_CBA!$B$3:$I$23,6,0),"")</f>
        <v>Inkrement 1</v>
      </c>
    </row>
    <row r="476" spans="1:17" ht="25.5">
      <c r="A476" s="682" t="s">
        <v>1984</v>
      </c>
      <c r="B476" s="402" t="s">
        <v>749</v>
      </c>
      <c r="C476" s="532"/>
      <c r="D476" s="532" t="s">
        <v>2111</v>
      </c>
      <c r="E476" s="532" t="s">
        <v>2112</v>
      </c>
      <c r="F476" s="390" t="s">
        <v>806</v>
      </c>
      <c r="G476" s="390" t="s">
        <v>788</v>
      </c>
      <c r="H476" s="381">
        <v>1</v>
      </c>
      <c r="I476" s="381">
        <v>5</v>
      </c>
      <c r="K476" s="381">
        <f t="shared" si="34"/>
        <v>5</v>
      </c>
      <c r="L476" s="644">
        <f>IFERROR(IF(B476="funkcna poziadavka",VLOOKUP(G476,MODULY_CBA!$B$3:$E$23,4,0)*H476/SUMIFS($H$3:$H$168,$G$3:$G$168,G476,$B$3:$B$168,B476),),)</f>
        <v>1.875</v>
      </c>
      <c r="M476" s="381">
        <f>IFERROR(IF(B476="Funkcna poziadavka",VLOOKUP(G476,MODULY_CBA!$B$3:$E$23,3,0),),)</f>
        <v>0.99499999999999988</v>
      </c>
      <c r="N476" s="381">
        <f>IFERROR(IF(B476="funkcna poziadavka",VLOOKUP(G476,MODULY_CBA!$B$3:$E$23,2,0),),)</f>
        <v>0.99</v>
      </c>
      <c r="O476" s="380">
        <f t="shared" si="35"/>
        <v>6.7722187499999995</v>
      </c>
      <c r="P476" s="379">
        <f>IFERROR(O476*VLOOKUP(G476,MODULY_CBA!$B$3:$F$23,5,0),)</f>
        <v>135.44437499999998</v>
      </c>
      <c r="Q476" s="480" t="str">
        <f>IFERROR(VLOOKUP(G476,MODULY_CBA!$B$3:$I$23,6,0),"")</f>
        <v>Inkrement 1</v>
      </c>
    </row>
    <row r="477" spans="1:17" ht="25.5">
      <c r="A477" s="682" t="s">
        <v>1987</v>
      </c>
      <c r="B477" s="402" t="s">
        <v>749</v>
      </c>
      <c r="C477" s="532"/>
      <c r="D477" s="532" t="s">
        <v>2114</v>
      </c>
      <c r="E477" s="532" t="s">
        <v>2115</v>
      </c>
      <c r="F477" s="390" t="s">
        <v>806</v>
      </c>
      <c r="G477" s="390" t="s">
        <v>788</v>
      </c>
      <c r="H477" s="381">
        <v>1</v>
      </c>
      <c r="I477" s="381">
        <v>5</v>
      </c>
      <c r="K477" s="381">
        <f t="shared" si="34"/>
        <v>5</v>
      </c>
      <c r="L477" s="644">
        <f>IFERROR(IF(B477="funkcna poziadavka",VLOOKUP(G477,MODULY_CBA!$B$3:$E$23,4,0)*H477/SUMIFS($H$3:$H$168,$G$3:$G$168,G477,$B$3:$B$168,B477),),)</f>
        <v>1.875</v>
      </c>
      <c r="M477" s="381">
        <f>IFERROR(IF(B477="Funkcna poziadavka",VLOOKUP(G477,MODULY_CBA!$B$3:$E$23,3,0),),)</f>
        <v>0.99499999999999988</v>
      </c>
      <c r="N477" s="381">
        <f>IFERROR(IF(B477="funkcna poziadavka",VLOOKUP(G477,MODULY_CBA!$B$3:$E$23,2,0),),)</f>
        <v>0.99</v>
      </c>
      <c r="O477" s="380">
        <f t="shared" si="35"/>
        <v>6.7722187499999995</v>
      </c>
      <c r="P477" s="379">
        <f>IFERROR(O477*VLOOKUP(G477,MODULY_CBA!$B$3:$F$23,5,0),)</f>
        <v>135.44437499999998</v>
      </c>
      <c r="Q477" s="480" t="str">
        <f>IFERROR(VLOOKUP(G477,MODULY_CBA!$B$3:$I$23,6,0),"")</f>
        <v>Inkrement 1</v>
      </c>
    </row>
    <row r="478" spans="1:17">
      <c r="A478" s="682" t="s">
        <v>1990</v>
      </c>
      <c r="B478" s="402" t="s">
        <v>749</v>
      </c>
      <c r="C478" s="532"/>
      <c r="D478" s="532" t="s">
        <v>2117</v>
      </c>
      <c r="E478" s="532" t="s">
        <v>2118</v>
      </c>
      <c r="F478" s="390" t="s">
        <v>806</v>
      </c>
      <c r="G478" s="390" t="s">
        <v>788</v>
      </c>
      <c r="H478" s="381">
        <v>1</v>
      </c>
      <c r="I478" s="381">
        <v>5</v>
      </c>
      <c r="K478" s="381">
        <f t="shared" si="34"/>
        <v>5</v>
      </c>
      <c r="L478" s="644">
        <f>IFERROR(IF(B478="funkcna poziadavka",VLOOKUP(G478,MODULY_CBA!$B$3:$E$23,4,0)*H478/SUMIFS($H$3:$H$168,$G$3:$G$168,G478,$B$3:$B$168,B478),),)</f>
        <v>1.875</v>
      </c>
      <c r="M478" s="381">
        <f>IFERROR(IF(B478="Funkcna poziadavka",VLOOKUP(G478,MODULY_CBA!$B$3:$E$23,3,0),),)</f>
        <v>0.99499999999999988</v>
      </c>
      <c r="N478" s="381">
        <f>IFERROR(IF(B478="funkcna poziadavka",VLOOKUP(G478,MODULY_CBA!$B$3:$E$23,2,0),),)</f>
        <v>0.99</v>
      </c>
      <c r="O478" s="380">
        <f t="shared" si="35"/>
        <v>6.7722187499999995</v>
      </c>
      <c r="P478" s="379">
        <f>IFERROR(O478*VLOOKUP(G478,MODULY_CBA!$B$3:$F$23,5,0),)</f>
        <v>135.44437499999998</v>
      </c>
      <c r="Q478" s="480" t="str">
        <f>IFERROR(VLOOKUP(G478,MODULY_CBA!$B$3:$I$23,6,0),"")</f>
        <v>Inkrement 1</v>
      </c>
    </row>
    <row r="479" spans="1:17" ht="25.5">
      <c r="A479" s="682" t="s">
        <v>1993</v>
      </c>
      <c r="B479" s="402" t="s">
        <v>749</v>
      </c>
      <c r="C479" s="532"/>
      <c r="D479" s="532" t="s">
        <v>2120</v>
      </c>
      <c r="E479" s="532" t="s">
        <v>2121</v>
      </c>
      <c r="F479" s="390" t="s">
        <v>806</v>
      </c>
      <c r="G479" s="390" t="s">
        <v>788</v>
      </c>
      <c r="H479" s="381">
        <v>1</v>
      </c>
      <c r="I479" s="381">
        <v>5</v>
      </c>
      <c r="K479" s="381">
        <f t="shared" si="34"/>
        <v>5</v>
      </c>
      <c r="L479" s="644">
        <f>IFERROR(IF(B479="funkcna poziadavka",VLOOKUP(G479,MODULY_CBA!$B$3:$E$23,4,0)*H479/SUMIFS($H$3:$H$168,$G$3:$G$168,G479,$B$3:$B$168,B479),),)</f>
        <v>1.875</v>
      </c>
      <c r="M479" s="381">
        <f>IFERROR(IF(B479="Funkcna poziadavka",VLOOKUP(G479,MODULY_CBA!$B$3:$E$23,3,0),),)</f>
        <v>0.99499999999999988</v>
      </c>
      <c r="N479" s="381">
        <f>IFERROR(IF(B479="funkcna poziadavka",VLOOKUP(G479,MODULY_CBA!$B$3:$E$23,2,0),),)</f>
        <v>0.99</v>
      </c>
      <c r="O479" s="380">
        <f t="shared" si="35"/>
        <v>6.7722187499999995</v>
      </c>
      <c r="P479" s="379">
        <f>IFERROR(O479*VLOOKUP(G479,MODULY_CBA!$B$3:$F$23,5,0),)</f>
        <v>135.44437499999998</v>
      </c>
      <c r="Q479" s="480" t="str">
        <f>IFERROR(VLOOKUP(G479,MODULY_CBA!$B$3:$I$23,6,0),"")</f>
        <v>Inkrement 1</v>
      </c>
    </row>
    <row r="480" spans="1:17" ht="25.5">
      <c r="A480" s="682" t="s">
        <v>1996</v>
      </c>
      <c r="B480" s="402" t="s">
        <v>749</v>
      </c>
      <c r="C480" s="532"/>
      <c r="D480" s="532" t="s">
        <v>2123</v>
      </c>
      <c r="E480" s="532" t="s">
        <v>2124</v>
      </c>
      <c r="F480" s="390" t="s">
        <v>806</v>
      </c>
      <c r="G480" s="390" t="s">
        <v>788</v>
      </c>
      <c r="H480" s="381">
        <v>1</v>
      </c>
      <c r="I480" s="381">
        <v>10</v>
      </c>
      <c r="K480" s="381">
        <f t="shared" si="34"/>
        <v>10</v>
      </c>
      <c r="L480" s="644">
        <f>IFERROR(IF(B480="funkcna poziadavka",VLOOKUP(G480,MODULY_CBA!$B$3:$E$23,4,0)*H480/SUMIFS($H$3:$H$168,$G$3:$G$168,G480,$B$3:$B$168,B480),),)</f>
        <v>1.875</v>
      </c>
      <c r="M480" s="381">
        <f>IFERROR(IF(B480="Funkcna poziadavka",VLOOKUP(G480,MODULY_CBA!$B$3:$E$23,3,0),),)</f>
        <v>0.99499999999999988</v>
      </c>
      <c r="N480" s="381">
        <f>IFERROR(IF(B480="funkcna poziadavka",VLOOKUP(G480,MODULY_CBA!$B$3:$E$23,2,0),),)</f>
        <v>0.99</v>
      </c>
      <c r="O480" s="380">
        <f t="shared" si="35"/>
        <v>11.697468749999999</v>
      </c>
      <c r="P480" s="379">
        <f>IFERROR(O480*VLOOKUP(G480,MODULY_CBA!$B$3:$F$23,5,0),)</f>
        <v>233.94937499999997</v>
      </c>
      <c r="Q480" s="480" t="str">
        <f>IFERROR(VLOOKUP(G480,MODULY_CBA!$B$3:$I$23,6,0),"")</f>
        <v>Inkrement 1</v>
      </c>
    </row>
    <row r="481" spans="1:17" ht="25.5">
      <c r="A481" s="682" t="s">
        <v>1999</v>
      </c>
      <c r="B481" s="402" t="s">
        <v>749</v>
      </c>
      <c r="C481" s="532"/>
      <c r="D481" s="532" t="s">
        <v>2126</v>
      </c>
      <c r="E481" s="532" t="s">
        <v>2127</v>
      </c>
      <c r="F481" s="390" t="s">
        <v>806</v>
      </c>
      <c r="G481" s="390" t="s">
        <v>788</v>
      </c>
      <c r="H481" s="381">
        <v>1</v>
      </c>
      <c r="I481" s="381">
        <v>5</v>
      </c>
      <c r="K481" s="381">
        <f t="shared" si="34"/>
        <v>5</v>
      </c>
      <c r="L481" s="644">
        <f>IFERROR(IF(B481="funkcna poziadavka",VLOOKUP(G481,MODULY_CBA!$B$3:$E$23,4,0)*H481/SUMIFS($H$3:$H$168,$G$3:$G$168,G481,$B$3:$B$168,B481),),)</f>
        <v>1.875</v>
      </c>
      <c r="M481" s="381">
        <f>IFERROR(IF(B481="Funkcna poziadavka",VLOOKUP(G481,MODULY_CBA!$B$3:$E$23,3,0),),)</f>
        <v>0.99499999999999988</v>
      </c>
      <c r="N481" s="381">
        <f>IFERROR(IF(B481="funkcna poziadavka",VLOOKUP(G481,MODULY_CBA!$B$3:$E$23,2,0),),)</f>
        <v>0.99</v>
      </c>
      <c r="O481" s="380">
        <f t="shared" si="35"/>
        <v>6.7722187499999995</v>
      </c>
      <c r="P481" s="379">
        <f>IFERROR(O481*VLOOKUP(G481,MODULY_CBA!$B$3:$F$23,5,0),)</f>
        <v>135.44437499999998</v>
      </c>
      <c r="Q481" s="480" t="str">
        <f>IFERROR(VLOOKUP(G481,MODULY_CBA!$B$3:$I$23,6,0),"")</f>
        <v>Inkrement 1</v>
      </c>
    </row>
    <row r="482" spans="1:17" ht="51">
      <c r="A482" s="682" t="s">
        <v>2002</v>
      </c>
      <c r="B482" s="402" t="s">
        <v>749</v>
      </c>
      <c r="C482" s="532"/>
      <c r="D482" s="532" t="s">
        <v>2129</v>
      </c>
      <c r="E482" s="532" t="s">
        <v>2130</v>
      </c>
      <c r="F482" s="390" t="s">
        <v>806</v>
      </c>
      <c r="G482" s="390" t="s">
        <v>788</v>
      </c>
      <c r="H482" s="381">
        <v>1</v>
      </c>
      <c r="I482" s="381">
        <v>5</v>
      </c>
      <c r="K482" s="381">
        <f t="shared" si="34"/>
        <v>5</v>
      </c>
      <c r="L482" s="644">
        <f>IFERROR(IF(B482="funkcna poziadavka",VLOOKUP(G482,MODULY_CBA!$B$3:$E$23,4,0)*H482/SUMIFS($H$3:$H$168,$G$3:$G$168,G482,$B$3:$B$168,B482),),)</f>
        <v>1.875</v>
      </c>
      <c r="M482" s="381">
        <f>IFERROR(IF(B482="Funkcna poziadavka",VLOOKUP(G482,MODULY_CBA!$B$3:$E$23,3,0),),)</f>
        <v>0.99499999999999988</v>
      </c>
      <c r="N482" s="381">
        <f>IFERROR(IF(B482="funkcna poziadavka",VLOOKUP(G482,MODULY_CBA!$B$3:$E$23,2,0),),)</f>
        <v>0.99</v>
      </c>
      <c r="O482" s="380">
        <f t="shared" si="35"/>
        <v>6.7722187499999995</v>
      </c>
      <c r="P482" s="379">
        <f>IFERROR(O482*VLOOKUP(G482,MODULY_CBA!$B$3:$F$23,5,0),)</f>
        <v>135.44437499999998</v>
      </c>
      <c r="Q482" s="480" t="str">
        <f>IFERROR(VLOOKUP(G482,MODULY_CBA!$B$3:$I$23,6,0),"")</f>
        <v>Inkrement 1</v>
      </c>
    </row>
    <row r="483" spans="1:17" ht="25.5">
      <c r="A483" s="682" t="s">
        <v>2005</v>
      </c>
      <c r="B483" s="402" t="s">
        <v>749</v>
      </c>
      <c r="C483" s="532"/>
      <c r="D483" s="532" t="s">
        <v>2132</v>
      </c>
      <c r="E483" s="532" t="s">
        <v>2133</v>
      </c>
      <c r="F483" s="390" t="s">
        <v>806</v>
      </c>
      <c r="G483" s="390" t="s">
        <v>788</v>
      </c>
      <c r="H483" s="381">
        <v>1</v>
      </c>
      <c r="I483" s="381">
        <v>5</v>
      </c>
      <c r="K483" s="381">
        <f t="shared" si="34"/>
        <v>5</v>
      </c>
      <c r="L483" s="644">
        <f>IFERROR(IF(B483="funkcna poziadavka",VLOOKUP(G483,MODULY_CBA!$B$3:$E$23,4,0)*H483/SUMIFS($H$3:$H$168,$G$3:$G$168,G483,$B$3:$B$168,B483),),)</f>
        <v>1.875</v>
      </c>
      <c r="M483" s="381">
        <f>IFERROR(IF(B483="Funkcna poziadavka",VLOOKUP(G483,MODULY_CBA!$B$3:$E$23,3,0),),)</f>
        <v>0.99499999999999988</v>
      </c>
      <c r="N483" s="381">
        <f>IFERROR(IF(B483="funkcna poziadavka",VLOOKUP(G483,MODULY_CBA!$B$3:$E$23,2,0),),)</f>
        <v>0.99</v>
      </c>
      <c r="O483" s="380">
        <f t="shared" si="35"/>
        <v>6.7722187499999995</v>
      </c>
      <c r="P483" s="379">
        <f>IFERROR(O483*VLOOKUP(G483,MODULY_CBA!$B$3:$F$23,5,0),)</f>
        <v>135.44437499999998</v>
      </c>
      <c r="Q483" s="480" t="str">
        <f>IFERROR(VLOOKUP(G483,MODULY_CBA!$B$3:$I$23,6,0),"")</f>
        <v>Inkrement 1</v>
      </c>
    </row>
    <row r="484" spans="1:17" ht="38.25">
      <c r="A484" s="682" t="s">
        <v>2008</v>
      </c>
      <c r="B484" s="402" t="s">
        <v>749</v>
      </c>
      <c r="C484" s="532"/>
      <c r="D484" s="532" t="s">
        <v>2135</v>
      </c>
      <c r="E484" s="532" t="s">
        <v>2136</v>
      </c>
      <c r="F484" s="390" t="s">
        <v>806</v>
      </c>
      <c r="G484" s="390" t="s">
        <v>788</v>
      </c>
      <c r="H484" s="381">
        <v>1</v>
      </c>
      <c r="I484" s="381">
        <v>5</v>
      </c>
      <c r="K484" s="381">
        <f t="shared" si="34"/>
        <v>5</v>
      </c>
      <c r="L484" s="644">
        <f>IFERROR(IF(B484="funkcna poziadavka",VLOOKUP(G484,MODULY_CBA!$B$3:$E$23,4,0)*H484/SUMIFS($H$3:$H$168,$G$3:$G$168,G484,$B$3:$B$168,B484),),)</f>
        <v>1.875</v>
      </c>
      <c r="M484" s="381">
        <f>IFERROR(IF(B484="Funkcna poziadavka",VLOOKUP(G484,MODULY_CBA!$B$3:$E$23,3,0),),)</f>
        <v>0.99499999999999988</v>
      </c>
      <c r="N484" s="381">
        <f>IFERROR(IF(B484="funkcna poziadavka",VLOOKUP(G484,MODULY_CBA!$B$3:$E$23,2,0),),)</f>
        <v>0.99</v>
      </c>
      <c r="O484" s="380">
        <f t="shared" si="35"/>
        <v>6.7722187499999995</v>
      </c>
      <c r="P484" s="379">
        <f>IFERROR(O484*VLOOKUP(G484,MODULY_CBA!$B$3:$F$23,5,0),)</f>
        <v>135.44437499999998</v>
      </c>
      <c r="Q484" s="480" t="str">
        <f>IFERROR(VLOOKUP(G484,MODULY_CBA!$B$3:$I$23,6,0),"")</f>
        <v>Inkrement 1</v>
      </c>
    </row>
    <row r="485" spans="1:17" ht="25.5">
      <c r="A485" s="682" t="s">
        <v>2011</v>
      </c>
      <c r="B485" s="402" t="s">
        <v>749</v>
      </c>
      <c r="C485" s="532"/>
      <c r="D485" s="532" t="s">
        <v>2138</v>
      </c>
      <c r="E485" s="532" t="s">
        <v>2139</v>
      </c>
      <c r="F485" s="390" t="s">
        <v>806</v>
      </c>
      <c r="G485" s="390" t="s">
        <v>788</v>
      </c>
      <c r="H485" s="381">
        <v>1</v>
      </c>
      <c r="I485" s="381">
        <v>5</v>
      </c>
      <c r="K485" s="381">
        <f t="shared" si="34"/>
        <v>5</v>
      </c>
      <c r="L485" s="644">
        <f>IFERROR(IF(B485="funkcna poziadavka",VLOOKUP(G485,MODULY_CBA!$B$3:$E$23,4,0)*H485/SUMIFS($H$3:$H$168,$G$3:$G$168,G485,$B$3:$B$168,B485),),)</f>
        <v>1.875</v>
      </c>
      <c r="M485" s="381">
        <f>IFERROR(IF(B485="Funkcna poziadavka",VLOOKUP(G485,MODULY_CBA!$B$3:$E$23,3,0),),)</f>
        <v>0.99499999999999988</v>
      </c>
      <c r="N485" s="381">
        <f>IFERROR(IF(B485="funkcna poziadavka",VLOOKUP(G485,MODULY_CBA!$B$3:$E$23,2,0),),)</f>
        <v>0.99</v>
      </c>
      <c r="O485" s="380">
        <f t="shared" si="35"/>
        <v>6.7722187499999995</v>
      </c>
      <c r="P485" s="379">
        <f>IFERROR(O485*VLOOKUP(G485,MODULY_CBA!$B$3:$F$23,5,0),)</f>
        <v>135.44437499999998</v>
      </c>
      <c r="Q485" s="480" t="str">
        <f>IFERROR(VLOOKUP(G485,MODULY_CBA!$B$3:$I$23,6,0),"")</f>
        <v>Inkrement 1</v>
      </c>
    </row>
    <row r="486" spans="1:17" ht="25.5">
      <c r="A486" s="682" t="s">
        <v>2014</v>
      </c>
      <c r="B486" s="402" t="s">
        <v>749</v>
      </c>
      <c r="C486" s="532"/>
      <c r="D486" s="532" t="s">
        <v>2141</v>
      </c>
      <c r="E486" s="532" t="s">
        <v>2142</v>
      </c>
      <c r="F486" s="390" t="s">
        <v>806</v>
      </c>
      <c r="G486" s="390" t="s">
        <v>788</v>
      </c>
      <c r="H486" s="381">
        <v>1</v>
      </c>
      <c r="I486" s="381">
        <v>5</v>
      </c>
      <c r="K486" s="381">
        <f t="shared" si="34"/>
        <v>5</v>
      </c>
      <c r="L486" s="644">
        <f>IFERROR(IF(B486="funkcna poziadavka",VLOOKUP(G486,MODULY_CBA!$B$3:$E$23,4,0)*H486/SUMIFS($H$3:$H$168,$G$3:$G$168,G486,$B$3:$B$168,B486),),)</f>
        <v>1.875</v>
      </c>
      <c r="M486" s="381">
        <f>IFERROR(IF(B486="Funkcna poziadavka",VLOOKUP(G486,MODULY_CBA!$B$3:$E$23,3,0),),)</f>
        <v>0.99499999999999988</v>
      </c>
      <c r="N486" s="381">
        <f>IFERROR(IF(B486="funkcna poziadavka",VLOOKUP(G486,MODULY_CBA!$B$3:$E$23,2,0),),)</f>
        <v>0.99</v>
      </c>
      <c r="O486" s="380">
        <f t="shared" si="35"/>
        <v>6.7722187499999995</v>
      </c>
      <c r="P486" s="379">
        <f>IFERROR(O486*VLOOKUP(G486,MODULY_CBA!$B$3:$F$23,5,0),)</f>
        <v>135.44437499999998</v>
      </c>
      <c r="Q486" s="480" t="str">
        <f>IFERROR(VLOOKUP(G486,MODULY_CBA!$B$3:$I$23,6,0),"")</f>
        <v>Inkrement 1</v>
      </c>
    </row>
    <row r="487" spans="1:17" ht="25.5">
      <c r="A487" s="682" t="s">
        <v>2540</v>
      </c>
      <c r="B487" s="402" t="s">
        <v>749</v>
      </c>
      <c r="C487" s="532"/>
      <c r="D487" s="532" t="s">
        <v>2144</v>
      </c>
      <c r="E487" s="532" t="s">
        <v>2145</v>
      </c>
      <c r="F487" s="390" t="s">
        <v>806</v>
      </c>
      <c r="G487" s="390" t="s">
        <v>788</v>
      </c>
      <c r="H487" s="381">
        <v>1</v>
      </c>
      <c r="I487" s="381">
        <v>5</v>
      </c>
      <c r="K487" s="381">
        <f t="shared" si="34"/>
        <v>5</v>
      </c>
      <c r="L487" s="644">
        <f>IFERROR(IF(B487="funkcna poziadavka",VLOOKUP(G487,MODULY_CBA!$B$3:$E$23,4,0)*H487/SUMIFS($H$3:$H$168,$G$3:$G$168,G487,$B$3:$B$168,B487),),)</f>
        <v>1.875</v>
      </c>
      <c r="M487" s="381">
        <f>IFERROR(IF(B487="Funkcna poziadavka",VLOOKUP(G487,MODULY_CBA!$B$3:$E$23,3,0),),)</f>
        <v>0.99499999999999988</v>
      </c>
      <c r="N487" s="381">
        <f>IFERROR(IF(B487="funkcna poziadavka",VLOOKUP(G487,MODULY_CBA!$B$3:$E$23,2,0),),)</f>
        <v>0.99</v>
      </c>
      <c r="O487" s="380">
        <f t="shared" si="35"/>
        <v>6.7722187499999995</v>
      </c>
      <c r="P487" s="379">
        <f>IFERROR(O487*VLOOKUP(G487,MODULY_CBA!$B$3:$F$23,5,0),)</f>
        <v>135.44437499999998</v>
      </c>
      <c r="Q487" s="480" t="str">
        <f>IFERROR(VLOOKUP(G487,MODULY_CBA!$B$3:$I$23,6,0),"")</f>
        <v>Inkrement 1</v>
      </c>
    </row>
    <row r="488" spans="1:17" ht="25.5">
      <c r="A488" s="682" t="s">
        <v>2541</v>
      </c>
      <c r="B488" s="402" t="s">
        <v>749</v>
      </c>
      <c r="C488" s="532"/>
      <c r="D488" s="532" t="s">
        <v>2147</v>
      </c>
      <c r="E488" s="532" t="s">
        <v>2148</v>
      </c>
      <c r="F488" s="390" t="s">
        <v>806</v>
      </c>
      <c r="G488" s="390" t="s">
        <v>788</v>
      </c>
      <c r="H488" s="381">
        <v>1</v>
      </c>
      <c r="I488" s="381">
        <v>5</v>
      </c>
      <c r="K488" s="381">
        <f t="shared" si="34"/>
        <v>5</v>
      </c>
      <c r="L488" s="644">
        <f>IFERROR(IF(B488="funkcna poziadavka",VLOOKUP(G488,MODULY_CBA!$B$3:$E$23,4,0)*H488/SUMIFS($H$3:$H$168,$G$3:$G$168,G488,$B$3:$B$168,B488),),)</f>
        <v>1.875</v>
      </c>
      <c r="M488" s="381">
        <f>IFERROR(IF(B488="Funkcna poziadavka",VLOOKUP(G488,MODULY_CBA!$B$3:$E$23,3,0),),)</f>
        <v>0.99499999999999988</v>
      </c>
      <c r="N488" s="381">
        <f>IFERROR(IF(B488="funkcna poziadavka",VLOOKUP(G488,MODULY_CBA!$B$3:$E$23,2,0),),)</f>
        <v>0.99</v>
      </c>
      <c r="O488" s="380">
        <f t="shared" si="35"/>
        <v>6.7722187499999995</v>
      </c>
      <c r="P488" s="379">
        <f>IFERROR(O488*VLOOKUP(G488,MODULY_CBA!$B$3:$F$23,5,0),)</f>
        <v>135.44437499999998</v>
      </c>
      <c r="Q488" s="480" t="str">
        <f>IFERROR(VLOOKUP(G488,MODULY_CBA!$B$3:$I$23,6,0),"")</f>
        <v>Inkrement 1</v>
      </c>
    </row>
    <row r="489" spans="1:17" ht="25.5">
      <c r="A489" s="682" t="s">
        <v>2542</v>
      </c>
      <c r="B489" s="402" t="s">
        <v>749</v>
      </c>
      <c r="C489" s="532"/>
      <c r="D489" s="532" t="s">
        <v>2150</v>
      </c>
      <c r="E489" s="532" t="s">
        <v>2151</v>
      </c>
      <c r="F489" s="390" t="s">
        <v>806</v>
      </c>
      <c r="G489" s="390" t="s">
        <v>788</v>
      </c>
      <c r="H489" s="381">
        <v>1</v>
      </c>
      <c r="I489" s="381">
        <v>5</v>
      </c>
      <c r="K489" s="381">
        <f t="shared" si="34"/>
        <v>5</v>
      </c>
      <c r="L489" s="644">
        <f>IFERROR(IF(B489="funkcna poziadavka",VLOOKUP(G489,MODULY_CBA!$B$3:$E$23,4,0)*H489/SUMIFS($H$3:$H$168,$G$3:$G$168,G489,$B$3:$B$168,B489),),)</f>
        <v>1.875</v>
      </c>
      <c r="M489" s="381">
        <f>IFERROR(IF(B489="Funkcna poziadavka",VLOOKUP(G489,MODULY_CBA!$B$3:$E$23,3,0),),)</f>
        <v>0.99499999999999988</v>
      </c>
      <c r="N489" s="381">
        <f>IFERROR(IF(B489="funkcna poziadavka",VLOOKUP(G489,MODULY_CBA!$B$3:$E$23,2,0),),)</f>
        <v>0.99</v>
      </c>
      <c r="O489" s="380">
        <f t="shared" si="35"/>
        <v>6.7722187499999995</v>
      </c>
      <c r="P489" s="379">
        <f>IFERROR(O489*VLOOKUP(G489,MODULY_CBA!$B$3:$F$23,5,0),)</f>
        <v>135.44437499999998</v>
      </c>
      <c r="Q489" s="480" t="str">
        <f>IFERROR(VLOOKUP(G489,MODULY_CBA!$B$3:$I$23,6,0),"")</f>
        <v>Inkrement 1</v>
      </c>
    </row>
    <row r="490" spans="1:17" ht="25.5">
      <c r="A490" s="682" t="s">
        <v>2543</v>
      </c>
      <c r="B490" s="402" t="s">
        <v>749</v>
      </c>
      <c r="C490" s="532"/>
      <c r="D490" s="532" t="s">
        <v>2153</v>
      </c>
      <c r="E490" s="532" t="s">
        <v>2154</v>
      </c>
      <c r="F490" s="390" t="s">
        <v>806</v>
      </c>
      <c r="G490" s="390" t="s">
        <v>788</v>
      </c>
      <c r="H490" s="381">
        <v>1</v>
      </c>
      <c r="I490" s="381">
        <v>5</v>
      </c>
      <c r="K490" s="381">
        <f t="shared" si="34"/>
        <v>5</v>
      </c>
      <c r="L490" s="644">
        <f>IFERROR(IF(B490="funkcna poziadavka",VLOOKUP(G490,MODULY_CBA!$B$3:$E$23,4,0)*H490/SUMIFS($H$3:$H$168,$G$3:$G$168,G490,$B$3:$B$168,B490),),)</f>
        <v>1.875</v>
      </c>
      <c r="M490" s="381">
        <f>IFERROR(IF(B490="Funkcna poziadavka",VLOOKUP(G490,MODULY_CBA!$B$3:$E$23,3,0),),)</f>
        <v>0.99499999999999988</v>
      </c>
      <c r="N490" s="381">
        <f>IFERROR(IF(B490="funkcna poziadavka",VLOOKUP(G490,MODULY_CBA!$B$3:$E$23,2,0),),)</f>
        <v>0.99</v>
      </c>
      <c r="O490" s="380">
        <f t="shared" si="35"/>
        <v>6.7722187499999995</v>
      </c>
      <c r="P490" s="379">
        <f>IFERROR(O490*VLOOKUP(G490,MODULY_CBA!$B$3:$F$23,5,0),)</f>
        <v>135.44437499999998</v>
      </c>
      <c r="Q490" s="480" t="str">
        <f>IFERROR(VLOOKUP(G490,MODULY_CBA!$B$3:$I$23,6,0),"")</f>
        <v>Inkrement 1</v>
      </c>
    </row>
    <row r="491" spans="1:17" ht="38.25">
      <c r="A491" s="682" t="s">
        <v>2017</v>
      </c>
      <c r="B491" s="402" t="s">
        <v>749</v>
      </c>
      <c r="C491" s="532"/>
      <c r="D491" s="532" t="s">
        <v>2156</v>
      </c>
      <c r="E491" s="532" t="s">
        <v>2157</v>
      </c>
      <c r="F491" s="390" t="s">
        <v>806</v>
      </c>
      <c r="G491" s="390" t="s">
        <v>788</v>
      </c>
      <c r="H491" s="381">
        <v>1</v>
      </c>
      <c r="I491" s="381">
        <v>5</v>
      </c>
      <c r="K491" s="381">
        <f t="shared" si="34"/>
        <v>5</v>
      </c>
      <c r="L491" s="644">
        <f>IFERROR(IF(B491="funkcna poziadavka",VLOOKUP(G491,MODULY_CBA!$B$3:$E$23,4,0)*H491/SUMIFS($H$3:$H$168,$G$3:$G$168,G491,$B$3:$B$168,B491),),)</f>
        <v>1.875</v>
      </c>
      <c r="M491" s="381">
        <f>IFERROR(IF(B491="Funkcna poziadavka",VLOOKUP(G491,MODULY_CBA!$B$3:$E$23,3,0),),)</f>
        <v>0.99499999999999988</v>
      </c>
      <c r="N491" s="381">
        <f>IFERROR(IF(B491="funkcna poziadavka",VLOOKUP(G491,MODULY_CBA!$B$3:$E$23,2,0),),)</f>
        <v>0.99</v>
      </c>
      <c r="O491" s="380">
        <f t="shared" si="35"/>
        <v>6.7722187499999995</v>
      </c>
      <c r="P491" s="379">
        <f>IFERROR(O491*VLOOKUP(G491,MODULY_CBA!$B$3:$F$23,5,0),)</f>
        <v>135.44437499999998</v>
      </c>
      <c r="Q491" s="480" t="str">
        <f>IFERROR(VLOOKUP(G491,MODULY_CBA!$B$3:$I$23,6,0),"")</f>
        <v>Inkrement 1</v>
      </c>
    </row>
    <row r="492" spans="1:17" ht="25.5">
      <c r="A492" s="682" t="s">
        <v>2020</v>
      </c>
      <c r="B492" s="402" t="s">
        <v>749</v>
      </c>
      <c r="C492" s="532"/>
      <c r="D492" s="532" t="s">
        <v>2159</v>
      </c>
      <c r="E492" s="532" t="s">
        <v>2160</v>
      </c>
      <c r="F492" s="390" t="s">
        <v>806</v>
      </c>
      <c r="G492" s="390" t="s">
        <v>788</v>
      </c>
      <c r="H492" s="381">
        <v>1</v>
      </c>
      <c r="I492" s="381">
        <v>5</v>
      </c>
      <c r="K492" s="381">
        <f t="shared" si="34"/>
        <v>5</v>
      </c>
      <c r="L492" s="644">
        <f>IFERROR(IF(B492="funkcna poziadavka",VLOOKUP(G492,MODULY_CBA!$B$3:$E$23,4,0)*H492/SUMIFS($H$3:$H$168,$G$3:$G$168,G492,$B$3:$B$168,B492),),)</f>
        <v>1.875</v>
      </c>
      <c r="M492" s="381">
        <f>IFERROR(IF(B492="Funkcna poziadavka",VLOOKUP(G492,MODULY_CBA!$B$3:$E$23,3,0),),)</f>
        <v>0.99499999999999988</v>
      </c>
      <c r="N492" s="381">
        <f>IFERROR(IF(B492="funkcna poziadavka",VLOOKUP(G492,MODULY_CBA!$B$3:$E$23,2,0),),)</f>
        <v>0.99</v>
      </c>
      <c r="O492" s="380">
        <f t="shared" si="35"/>
        <v>6.7722187499999995</v>
      </c>
      <c r="P492" s="379">
        <f>IFERROR(O492*VLOOKUP(G492,MODULY_CBA!$B$3:$F$23,5,0),)</f>
        <v>135.44437499999998</v>
      </c>
      <c r="Q492" s="480" t="str">
        <f>IFERROR(VLOOKUP(G492,MODULY_CBA!$B$3:$I$23,6,0),"")</f>
        <v>Inkrement 1</v>
      </c>
    </row>
    <row r="493" spans="1:17" ht="51">
      <c r="A493" s="682" t="s">
        <v>2023</v>
      </c>
      <c r="B493" s="402" t="s">
        <v>749</v>
      </c>
      <c r="C493" s="532"/>
      <c r="D493" s="532" t="s">
        <v>2162</v>
      </c>
      <c r="E493" s="532" t="s">
        <v>2163</v>
      </c>
      <c r="F493" s="390" t="s">
        <v>806</v>
      </c>
      <c r="G493" s="390" t="s">
        <v>788</v>
      </c>
      <c r="H493" s="381">
        <v>1</v>
      </c>
      <c r="I493" s="381">
        <v>5</v>
      </c>
      <c r="K493" s="381">
        <f t="shared" si="34"/>
        <v>5</v>
      </c>
      <c r="L493" s="644">
        <f>IFERROR(IF(B493="funkcna poziadavka",VLOOKUP(G493,MODULY_CBA!$B$3:$E$23,4,0)*H493/SUMIFS($H$3:$H$168,$G$3:$G$168,G493,$B$3:$B$168,B493),),)</f>
        <v>1.875</v>
      </c>
      <c r="M493" s="381">
        <f>IFERROR(IF(B493="Funkcna poziadavka",VLOOKUP(G493,MODULY_CBA!$B$3:$E$23,3,0),),)</f>
        <v>0.99499999999999988</v>
      </c>
      <c r="N493" s="381">
        <f>IFERROR(IF(B493="funkcna poziadavka",VLOOKUP(G493,MODULY_CBA!$B$3:$E$23,2,0),),)</f>
        <v>0.99</v>
      </c>
      <c r="O493" s="380">
        <f t="shared" si="35"/>
        <v>6.7722187499999995</v>
      </c>
      <c r="P493" s="379">
        <f>IFERROR(O493*VLOOKUP(G493,MODULY_CBA!$B$3:$F$23,5,0),)</f>
        <v>135.44437499999998</v>
      </c>
      <c r="Q493" s="480" t="str">
        <f>IFERROR(VLOOKUP(G493,MODULY_CBA!$B$3:$I$23,6,0),"")</f>
        <v>Inkrement 1</v>
      </c>
    </row>
    <row r="494" spans="1:17" ht="51">
      <c r="A494" s="682" t="s">
        <v>2026</v>
      </c>
      <c r="B494" s="402" t="s">
        <v>749</v>
      </c>
      <c r="C494" s="532"/>
      <c r="D494" s="532" t="s">
        <v>2165</v>
      </c>
      <c r="E494" s="532" t="s">
        <v>2166</v>
      </c>
      <c r="F494" s="390" t="s">
        <v>806</v>
      </c>
      <c r="G494" s="390" t="s">
        <v>788</v>
      </c>
      <c r="H494" s="381">
        <v>1</v>
      </c>
      <c r="I494" s="381">
        <v>5</v>
      </c>
      <c r="K494" s="381">
        <f t="shared" si="34"/>
        <v>5</v>
      </c>
      <c r="L494" s="644">
        <f>IFERROR(IF(B494="funkcna poziadavka",VLOOKUP(G494,MODULY_CBA!$B$3:$E$23,4,0)*H494/SUMIFS($H$3:$H$168,$G$3:$G$168,G494,$B$3:$B$168,B494),),)</f>
        <v>1.875</v>
      </c>
      <c r="M494" s="381">
        <f>IFERROR(IF(B494="Funkcna poziadavka",VLOOKUP(G494,MODULY_CBA!$B$3:$E$23,3,0),),)</f>
        <v>0.99499999999999988</v>
      </c>
      <c r="N494" s="381">
        <f>IFERROR(IF(B494="funkcna poziadavka",VLOOKUP(G494,MODULY_CBA!$B$3:$E$23,2,0),),)</f>
        <v>0.99</v>
      </c>
      <c r="O494" s="380">
        <f t="shared" si="35"/>
        <v>6.7722187499999995</v>
      </c>
      <c r="P494" s="379">
        <f>IFERROR(O494*VLOOKUP(G494,MODULY_CBA!$B$3:$F$23,5,0),)</f>
        <v>135.44437499999998</v>
      </c>
      <c r="Q494" s="480" t="str">
        <f>IFERROR(VLOOKUP(G494,MODULY_CBA!$B$3:$I$23,6,0),"")</f>
        <v>Inkrement 1</v>
      </c>
    </row>
    <row r="495" spans="1:17" ht="25.5">
      <c r="A495" s="682" t="s">
        <v>2029</v>
      </c>
      <c r="B495" s="402" t="s">
        <v>749</v>
      </c>
      <c r="C495" s="532"/>
      <c r="D495" s="532" t="s">
        <v>2168</v>
      </c>
      <c r="E495" s="532" t="s">
        <v>2169</v>
      </c>
      <c r="F495" s="390" t="s">
        <v>806</v>
      </c>
      <c r="G495" s="390" t="s">
        <v>788</v>
      </c>
      <c r="H495" s="381">
        <v>1</v>
      </c>
      <c r="I495" s="381">
        <v>5</v>
      </c>
      <c r="K495" s="381">
        <f t="shared" si="34"/>
        <v>5</v>
      </c>
      <c r="L495" s="644">
        <f>IFERROR(IF(B495="funkcna poziadavka",VLOOKUP(G495,MODULY_CBA!$B$3:$E$23,4,0)*H495/SUMIFS($H$3:$H$168,$G$3:$G$168,G495,$B$3:$B$168,B495),),)</f>
        <v>1.875</v>
      </c>
      <c r="M495" s="381">
        <f>IFERROR(IF(B495="Funkcna poziadavka",VLOOKUP(G495,MODULY_CBA!$B$3:$E$23,3,0),),)</f>
        <v>0.99499999999999988</v>
      </c>
      <c r="N495" s="381">
        <f>IFERROR(IF(B495="funkcna poziadavka",VLOOKUP(G495,MODULY_CBA!$B$3:$E$23,2,0),),)</f>
        <v>0.99</v>
      </c>
      <c r="O495" s="380">
        <f t="shared" si="35"/>
        <v>6.7722187499999995</v>
      </c>
      <c r="P495" s="379">
        <f>IFERROR(O495*VLOOKUP(G495,MODULY_CBA!$B$3:$F$23,5,0),)</f>
        <v>135.44437499999998</v>
      </c>
      <c r="Q495" s="480" t="str">
        <f>IFERROR(VLOOKUP(G495,MODULY_CBA!$B$3:$I$23,6,0),"")</f>
        <v>Inkrement 1</v>
      </c>
    </row>
    <row r="496" spans="1:17" ht="38.25">
      <c r="A496" s="682" t="s">
        <v>2032</v>
      </c>
      <c r="B496" s="402" t="s">
        <v>749</v>
      </c>
      <c r="C496" s="532"/>
      <c r="D496" s="532" t="s">
        <v>2171</v>
      </c>
      <c r="E496" s="532" t="s">
        <v>2172</v>
      </c>
      <c r="F496" s="390" t="s">
        <v>806</v>
      </c>
      <c r="G496" s="390" t="s">
        <v>788</v>
      </c>
      <c r="H496" s="381">
        <v>1</v>
      </c>
      <c r="I496" s="381">
        <v>5</v>
      </c>
      <c r="K496" s="381">
        <f t="shared" si="34"/>
        <v>5</v>
      </c>
      <c r="L496" s="644">
        <f>IFERROR(IF(B496="funkcna poziadavka",VLOOKUP(G496,MODULY_CBA!$B$3:$E$23,4,0)*H496/SUMIFS($H$3:$H$168,$G$3:$G$168,G496,$B$3:$B$168,B496),),)</f>
        <v>1.875</v>
      </c>
      <c r="M496" s="381">
        <f>IFERROR(IF(B496="Funkcna poziadavka",VLOOKUP(G496,MODULY_CBA!$B$3:$E$23,3,0),),)</f>
        <v>0.99499999999999988</v>
      </c>
      <c r="N496" s="381">
        <f>IFERROR(IF(B496="funkcna poziadavka",VLOOKUP(G496,MODULY_CBA!$B$3:$E$23,2,0),),)</f>
        <v>0.99</v>
      </c>
      <c r="O496" s="380">
        <f t="shared" si="35"/>
        <v>6.7722187499999995</v>
      </c>
      <c r="P496" s="379">
        <f>IFERROR(O496*VLOOKUP(G496,MODULY_CBA!$B$3:$F$23,5,0),)</f>
        <v>135.44437499999998</v>
      </c>
      <c r="Q496" s="480" t="str">
        <f>IFERROR(VLOOKUP(G496,MODULY_CBA!$B$3:$I$23,6,0),"")</f>
        <v>Inkrement 1</v>
      </c>
    </row>
    <row r="497" spans="1:17">
      <c r="A497" s="682" t="s">
        <v>2035</v>
      </c>
      <c r="B497" s="402" t="s">
        <v>749</v>
      </c>
      <c r="C497" s="532"/>
      <c r="D497" s="532" t="s">
        <v>2174</v>
      </c>
      <c r="E497" s="532" t="s">
        <v>2175</v>
      </c>
      <c r="F497" s="390" t="s">
        <v>806</v>
      </c>
      <c r="G497" s="390" t="s">
        <v>788</v>
      </c>
      <c r="H497" s="381">
        <v>1</v>
      </c>
      <c r="I497" s="381">
        <v>5</v>
      </c>
      <c r="K497" s="381">
        <f t="shared" si="34"/>
        <v>5</v>
      </c>
      <c r="L497" s="644">
        <f>IFERROR(IF(B497="funkcna poziadavka",VLOOKUP(G497,MODULY_CBA!$B$3:$E$23,4,0)*H497/SUMIFS($H$3:$H$168,$G$3:$G$168,G497,$B$3:$B$168,B497),),)</f>
        <v>1.875</v>
      </c>
      <c r="M497" s="381">
        <f>IFERROR(IF(B497="Funkcna poziadavka",VLOOKUP(G497,MODULY_CBA!$B$3:$E$23,3,0),),)</f>
        <v>0.99499999999999988</v>
      </c>
      <c r="N497" s="381">
        <f>IFERROR(IF(B497="funkcna poziadavka",VLOOKUP(G497,MODULY_CBA!$B$3:$E$23,2,0),),)</f>
        <v>0.99</v>
      </c>
      <c r="O497" s="380">
        <f t="shared" si="35"/>
        <v>6.7722187499999995</v>
      </c>
      <c r="P497" s="379">
        <f>IFERROR(O497*VLOOKUP(G497,MODULY_CBA!$B$3:$F$23,5,0),)</f>
        <v>135.44437499999998</v>
      </c>
      <c r="Q497" s="480" t="str">
        <f>IFERROR(VLOOKUP(G497,MODULY_CBA!$B$3:$I$23,6,0),"")</f>
        <v>Inkrement 1</v>
      </c>
    </row>
    <row r="498" spans="1:17" ht="25.5">
      <c r="A498" s="682" t="s">
        <v>2038</v>
      </c>
      <c r="B498" s="402" t="s">
        <v>749</v>
      </c>
      <c r="C498" s="532"/>
      <c r="D498" s="532" t="s">
        <v>2177</v>
      </c>
      <c r="E498" s="532" t="s">
        <v>2178</v>
      </c>
      <c r="F498" s="390" t="s">
        <v>806</v>
      </c>
      <c r="G498" s="390" t="s">
        <v>788</v>
      </c>
      <c r="H498" s="381">
        <v>1</v>
      </c>
      <c r="I498" s="381">
        <v>5</v>
      </c>
      <c r="K498" s="381">
        <f t="shared" si="34"/>
        <v>5</v>
      </c>
      <c r="L498" s="644">
        <f>IFERROR(IF(B498="funkcna poziadavka",VLOOKUP(G498,MODULY_CBA!$B$3:$E$23,4,0)*H498/SUMIFS($H$3:$H$168,$G$3:$G$168,G498,$B$3:$B$168,B498),),)</f>
        <v>1.875</v>
      </c>
      <c r="M498" s="381">
        <f>IFERROR(IF(B498="Funkcna poziadavka",VLOOKUP(G498,MODULY_CBA!$B$3:$E$23,3,0),),)</f>
        <v>0.99499999999999988</v>
      </c>
      <c r="N498" s="381">
        <f>IFERROR(IF(B498="funkcna poziadavka",VLOOKUP(G498,MODULY_CBA!$B$3:$E$23,2,0),),)</f>
        <v>0.99</v>
      </c>
      <c r="O498" s="380">
        <f t="shared" si="35"/>
        <v>6.7722187499999995</v>
      </c>
      <c r="P498" s="379">
        <f>IFERROR(O498*VLOOKUP(G498,MODULY_CBA!$B$3:$F$23,5,0),)</f>
        <v>135.44437499999998</v>
      </c>
      <c r="Q498" s="480" t="str">
        <f>IFERROR(VLOOKUP(G498,MODULY_CBA!$B$3:$I$23,6,0),"")</f>
        <v>Inkrement 1</v>
      </c>
    </row>
    <row r="499" spans="1:17" ht="38.25">
      <c r="A499" s="682" t="s">
        <v>2041</v>
      </c>
      <c r="B499" s="402" t="s">
        <v>749</v>
      </c>
      <c r="C499" s="532"/>
      <c r="D499" s="532" t="s">
        <v>2180</v>
      </c>
      <c r="E499" s="532" t="s">
        <v>2181</v>
      </c>
      <c r="F499" s="390" t="s">
        <v>806</v>
      </c>
      <c r="G499" s="390" t="s">
        <v>788</v>
      </c>
      <c r="H499" s="381">
        <v>1</v>
      </c>
      <c r="I499" s="381">
        <v>5</v>
      </c>
      <c r="K499" s="381">
        <f t="shared" si="34"/>
        <v>5</v>
      </c>
      <c r="L499" s="644">
        <f>IFERROR(IF(B499="funkcna poziadavka",VLOOKUP(G499,MODULY_CBA!$B$3:$E$23,4,0)*H499/SUMIFS($H$3:$H$168,$G$3:$G$168,G499,$B$3:$B$168,B499),),)</f>
        <v>1.875</v>
      </c>
      <c r="M499" s="381">
        <f>IFERROR(IF(B499="Funkcna poziadavka",VLOOKUP(G499,MODULY_CBA!$B$3:$E$23,3,0),),)</f>
        <v>0.99499999999999988</v>
      </c>
      <c r="N499" s="381">
        <f>IFERROR(IF(B499="funkcna poziadavka",VLOOKUP(G499,MODULY_CBA!$B$3:$E$23,2,0),),)</f>
        <v>0.99</v>
      </c>
      <c r="O499" s="380">
        <f t="shared" si="35"/>
        <v>6.7722187499999995</v>
      </c>
      <c r="P499" s="379">
        <f>IFERROR(O499*VLOOKUP(G499,MODULY_CBA!$B$3:$F$23,5,0),)</f>
        <v>135.44437499999998</v>
      </c>
      <c r="Q499" s="480" t="str">
        <f>IFERROR(VLOOKUP(G499,MODULY_CBA!$B$3:$I$23,6,0),"")</f>
        <v>Inkrement 1</v>
      </c>
    </row>
    <row r="500" spans="1:17" ht="25.5">
      <c r="A500" s="682" t="s">
        <v>2044</v>
      </c>
      <c r="B500" s="402" t="s">
        <v>749</v>
      </c>
      <c r="C500" s="532"/>
      <c r="D500" s="532" t="s">
        <v>2183</v>
      </c>
      <c r="E500" s="532" t="s">
        <v>2184</v>
      </c>
      <c r="F500" s="390" t="s">
        <v>806</v>
      </c>
      <c r="G500" s="390" t="s">
        <v>788</v>
      </c>
      <c r="H500" s="381">
        <v>1</v>
      </c>
      <c r="I500" s="381">
        <v>15</v>
      </c>
      <c r="K500" s="381">
        <f t="shared" si="34"/>
        <v>15</v>
      </c>
      <c r="L500" s="644">
        <f>IFERROR(IF(B500="funkcna poziadavka",VLOOKUP(G500,MODULY_CBA!$B$3:$E$23,4,0)*H500/SUMIFS($H$3:$H$168,$G$3:$G$168,G500,$B$3:$B$168,B500),),)</f>
        <v>1.875</v>
      </c>
      <c r="M500" s="381">
        <f>IFERROR(IF(B500="Funkcna poziadavka",VLOOKUP(G500,MODULY_CBA!$B$3:$E$23,3,0),),)</f>
        <v>0.99499999999999988</v>
      </c>
      <c r="N500" s="381">
        <f>IFERROR(IF(B500="funkcna poziadavka",VLOOKUP(G500,MODULY_CBA!$B$3:$E$23,2,0),),)</f>
        <v>0.99</v>
      </c>
      <c r="O500" s="380">
        <f t="shared" si="35"/>
        <v>16.622718749999997</v>
      </c>
      <c r="P500" s="379">
        <f>IFERROR(O500*VLOOKUP(G500,MODULY_CBA!$B$3:$F$23,5,0),)</f>
        <v>332.45437499999991</v>
      </c>
      <c r="Q500" s="480" t="str">
        <f>IFERROR(VLOOKUP(G500,MODULY_CBA!$B$3:$I$23,6,0),"")</f>
        <v>Inkrement 1</v>
      </c>
    </row>
    <row r="501" spans="1:17" ht="25.5">
      <c r="A501" s="682" t="s">
        <v>2047</v>
      </c>
      <c r="B501" s="402" t="s">
        <v>749</v>
      </c>
      <c r="C501" s="532"/>
      <c r="D501" s="532" t="s">
        <v>2186</v>
      </c>
      <c r="E501" s="532" t="s">
        <v>2187</v>
      </c>
      <c r="F501" s="390" t="s">
        <v>806</v>
      </c>
      <c r="G501" s="390" t="s">
        <v>788</v>
      </c>
      <c r="H501" s="381">
        <v>1</v>
      </c>
      <c r="I501" s="381">
        <v>10</v>
      </c>
      <c r="K501" s="381">
        <f t="shared" si="34"/>
        <v>10</v>
      </c>
      <c r="L501" s="644">
        <f>IFERROR(IF(B501="funkcna poziadavka",VLOOKUP(G501,MODULY_CBA!$B$3:$E$23,4,0)*H501/SUMIFS($H$3:$H$168,$G$3:$G$168,G501,$B$3:$B$168,B501),),)</f>
        <v>1.875</v>
      </c>
      <c r="M501" s="381">
        <f>IFERROR(IF(B501="Funkcna poziadavka",VLOOKUP(G501,MODULY_CBA!$B$3:$E$23,3,0),),)</f>
        <v>0.99499999999999988</v>
      </c>
      <c r="N501" s="381">
        <f>IFERROR(IF(B501="funkcna poziadavka",VLOOKUP(G501,MODULY_CBA!$B$3:$E$23,2,0),),)</f>
        <v>0.99</v>
      </c>
      <c r="O501" s="380">
        <f t="shared" si="35"/>
        <v>11.697468749999999</v>
      </c>
      <c r="P501" s="379">
        <f>IFERROR(O501*VLOOKUP(G501,MODULY_CBA!$B$3:$F$23,5,0),)</f>
        <v>233.94937499999997</v>
      </c>
      <c r="Q501" s="480" t="str">
        <f>IFERROR(VLOOKUP(G501,MODULY_CBA!$B$3:$I$23,6,0),"")</f>
        <v>Inkrement 1</v>
      </c>
    </row>
    <row r="502" spans="1:17" ht="25.5">
      <c r="A502" s="682" t="s">
        <v>2050</v>
      </c>
      <c r="B502" s="402" t="s">
        <v>749</v>
      </c>
      <c r="C502" s="532"/>
      <c r="D502" s="532" t="s">
        <v>2189</v>
      </c>
      <c r="E502" s="532" t="s">
        <v>2190</v>
      </c>
      <c r="F502" s="390" t="s">
        <v>806</v>
      </c>
      <c r="G502" s="390" t="s">
        <v>788</v>
      </c>
      <c r="H502" s="381">
        <v>1</v>
      </c>
      <c r="I502" s="381">
        <v>5</v>
      </c>
      <c r="K502" s="381">
        <f t="shared" si="34"/>
        <v>5</v>
      </c>
      <c r="L502" s="644">
        <f>IFERROR(IF(B502="funkcna poziadavka",VLOOKUP(G502,MODULY_CBA!$B$3:$E$23,4,0)*H502/SUMIFS($H$3:$H$168,$G$3:$G$168,G502,$B$3:$B$168,B502),),)</f>
        <v>1.875</v>
      </c>
      <c r="M502" s="381">
        <f>IFERROR(IF(B502="Funkcna poziadavka",VLOOKUP(G502,MODULY_CBA!$B$3:$E$23,3,0),),)</f>
        <v>0.99499999999999988</v>
      </c>
      <c r="N502" s="381">
        <f>IFERROR(IF(B502="funkcna poziadavka",VLOOKUP(G502,MODULY_CBA!$B$3:$E$23,2,0),),)</f>
        <v>0.99</v>
      </c>
      <c r="O502" s="380">
        <f t="shared" si="35"/>
        <v>6.7722187499999995</v>
      </c>
      <c r="P502" s="379">
        <f>IFERROR(O502*VLOOKUP(G502,MODULY_CBA!$B$3:$F$23,5,0),)</f>
        <v>135.44437499999998</v>
      </c>
      <c r="Q502" s="480" t="str">
        <f>IFERROR(VLOOKUP(G502,MODULY_CBA!$B$3:$I$23,6,0),"")</f>
        <v>Inkrement 1</v>
      </c>
    </row>
    <row r="503" spans="1:17" ht="25.5">
      <c r="A503" s="682" t="s">
        <v>2053</v>
      </c>
      <c r="B503" s="402" t="s">
        <v>749</v>
      </c>
      <c r="C503" s="532"/>
      <c r="D503" s="532" t="s">
        <v>2192</v>
      </c>
      <c r="E503" s="532" t="s">
        <v>2193</v>
      </c>
      <c r="F503" s="390" t="s">
        <v>806</v>
      </c>
      <c r="G503" s="390" t="s">
        <v>788</v>
      </c>
      <c r="H503" s="381">
        <v>1</v>
      </c>
      <c r="I503" s="381">
        <v>5</v>
      </c>
      <c r="K503" s="381">
        <f t="shared" si="34"/>
        <v>5</v>
      </c>
      <c r="L503" s="644">
        <f>IFERROR(IF(B503="funkcna poziadavka",VLOOKUP(G503,MODULY_CBA!$B$3:$E$23,4,0)*H503/SUMIFS($H$3:$H$168,$G$3:$G$168,G503,$B$3:$B$168,B503),),)</f>
        <v>1.875</v>
      </c>
      <c r="M503" s="381">
        <f>IFERROR(IF(B503="Funkcna poziadavka",VLOOKUP(G503,MODULY_CBA!$B$3:$E$23,3,0),),)</f>
        <v>0.99499999999999988</v>
      </c>
      <c r="N503" s="381">
        <f>IFERROR(IF(B503="funkcna poziadavka",VLOOKUP(G503,MODULY_CBA!$B$3:$E$23,2,0),),)</f>
        <v>0.99</v>
      </c>
      <c r="O503" s="380">
        <f t="shared" si="35"/>
        <v>6.7722187499999995</v>
      </c>
      <c r="P503" s="379">
        <f>IFERROR(O503*VLOOKUP(G503,MODULY_CBA!$B$3:$F$23,5,0),)</f>
        <v>135.44437499999998</v>
      </c>
      <c r="Q503" s="480" t="str">
        <f>IFERROR(VLOOKUP(G503,MODULY_CBA!$B$3:$I$23,6,0),"")</f>
        <v>Inkrement 1</v>
      </c>
    </row>
    <row r="504" spans="1:17" ht="25.5">
      <c r="A504" s="682" t="s">
        <v>2056</v>
      </c>
      <c r="B504" s="402" t="s">
        <v>749</v>
      </c>
      <c r="C504" s="532"/>
      <c r="D504" s="532" t="s">
        <v>2195</v>
      </c>
      <c r="E504" s="532" t="s">
        <v>2196</v>
      </c>
      <c r="F504" s="390" t="s">
        <v>806</v>
      </c>
      <c r="G504" s="390" t="s">
        <v>788</v>
      </c>
      <c r="H504" s="381">
        <v>1</v>
      </c>
      <c r="I504" s="381">
        <v>5</v>
      </c>
      <c r="K504" s="381">
        <f t="shared" si="34"/>
        <v>5</v>
      </c>
      <c r="L504" s="644">
        <f>IFERROR(IF(B504="funkcna poziadavka",VLOOKUP(G504,MODULY_CBA!$B$3:$E$23,4,0)*H504/SUMIFS($H$3:$H$168,$G$3:$G$168,G504,$B$3:$B$168,B504),),)</f>
        <v>1.875</v>
      </c>
      <c r="M504" s="381">
        <f>IFERROR(IF(B504="Funkcna poziadavka",VLOOKUP(G504,MODULY_CBA!$B$3:$E$23,3,0),),)</f>
        <v>0.99499999999999988</v>
      </c>
      <c r="N504" s="381">
        <f>IFERROR(IF(B504="funkcna poziadavka",VLOOKUP(G504,MODULY_CBA!$B$3:$E$23,2,0),),)</f>
        <v>0.99</v>
      </c>
      <c r="O504" s="380">
        <f t="shared" si="35"/>
        <v>6.7722187499999995</v>
      </c>
      <c r="P504" s="379">
        <f>IFERROR(O504*VLOOKUP(G504,MODULY_CBA!$B$3:$F$23,5,0),)</f>
        <v>135.44437499999998</v>
      </c>
      <c r="Q504" s="480" t="str">
        <f>IFERROR(VLOOKUP(G504,MODULY_CBA!$B$3:$I$23,6,0),"")</f>
        <v>Inkrement 1</v>
      </c>
    </row>
    <row r="505" spans="1:17" ht="51">
      <c r="A505" s="682" t="s">
        <v>2059</v>
      </c>
      <c r="B505" s="402" t="s">
        <v>749</v>
      </c>
      <c r="C505" s="532"/>
      <c r="D505" s="532" t="s">
        <v>2198</v>
      </c>
      <c r="E505" s="532" t="s">
        <v>2199</v>
      </c>
      <c r="F505" s="390" t="s">
        <v>806</v>
      </c>
      <c r="G505" s="390" t="s">
        <v>788</v>
      </c>
      <c r="H505" s="381">
        <v>1</v>
      </c>
      <c r="I505" s="381">
        <v>5</v>
      </c>
      <c r="K505" s="381">
        <f t="shared" si="34"/>
        <v>5</v>
      </c>
      <c r="L505" s="644">
        <f>IFERROR(IF(B505="funkcna poziadavka",VLOOKUP(G505,MODULY_CBA!$B$3:$E$23,4,0)*H505/SUMIFS($H$3:$H$168,$G$3:$G$168,G505,$B$3:$B$168,B505),),)</f>
        <v>1.875</v>
      </c>
      <c r="M505" s="381">
        <f>IFERROR(IF(B505="Funkcna poziadavka",VLOOKUP(G505,MODULY_CBA!$B$3:$E$23,3,0),),)</f>
        <v>0.99499999999999988</v>
      </c>
      <c r="N505" s="381">
        <f>IFERROR(IF(B505="funkcna poziadavka",VLOOKUP(G505,MODULY_CBA!$B$3:$E$23,2,0),),)</f>
        <v>0.99</v>
      </c>
      <c r="O505" s="380">
        <f t="shared" si="35"/>
        <v>6.7722187499999995</v>
      </c>
      <c r="P505" s="379">
        <f>IFERROR(O505*VLOOKUP(G505,MODULY_CBA!$B$3:$F$23,5,0),)</f>
        <v>135.44437499999998</v>
      </c>
      <c r="Q505" s="480" t="str">
        <f>IFERROR(VLOOKUP(G505,MODULY_CBA!$B$3:$I$23,6,0),"")</f>
        <v>Inkrement 1</v>
      </c>
    </row>
    <row r="506" spans="1:17">
      <c r="A506" s="682" t="s">
        <v>2062</v>
      </c>
      <c r="B506" s="402" t="s">
        <v>749</v>
      </c>
      <c r="C506" s="532"/>
      <c r="D506" s="532" t="s">
        <v>2201</v>
      </c>
      <c r="E506" s="532" t="s">
        <v>2202</v>
      </c>
      <c r="F506" s="390" t="s">
        <v>806</v>
      </c>
      <c r="G506" s="390" t="s">
        <v>788</v>
      </c>
      <c r="H506" s="381">
        <v>1</v>
      </c>
      <c r="I506" s="381">
        <v>5</v>
      </c>
      <c r="K506" s="381">
        <f t="shared" si="34"/>
        <v>5</v>
      </c>
      <c r="L506" s="644">
        <f>IFERROR(IF(B506="funkcna poziadavka",VLOOKUP(G506,MODULY_CBA!$B$3:$E$23,4,0)*H506/SUMIFS($H$3:$H$168,$G$3:$G$168,G506,$B$3:$B$168,B506),),)</f>
        <v>1.875</v>
      </c>
      <c r="M506" s="381">
        <f>IFERROR(IF(B506="Funkcna poziadavka",VLOOKUP(G506,MODULY_CBA!$B$3:$E$23,3,0),),)</f>
        <v>0.99499999999999988</v>
      </c>
      <c r="N506" s="381">
        <f>IFERROR(IF(B506="funkcna poziadavka",VLOOKUP(G506,MODULY_CBA!$B$3:$E$23,2,0),),)</f>
        <v>0.99</v>
      </c>
      <c r="O506" s="380">
        <f t="shared" si="35"/>
        <v>6.7722187499999995</v>
      </c>
      <c r="P506" s="379">
        <f>IFERROR(O506*VLOOKUP(G506,MODULY_CBA!$B$3:$F$23,5,0),)</f>
        <v>135.44437499999998</v>
      </c>
      <c r="Q506" s="480" t="str">
        <f>IFERROR(VLOOKUP(G506,MODULY_CBA!$B$3:$I$23,6,0),"")</f>
        <v>Inkrement 1</v>
      </c>
    </row>
    <row r="507" spans="1:17" ht="25.5">
      <c r="A507" s="682" t="s">
        <v>2065</v>
      </c>
      <c r="B507" s="402" t="s">
        <v>749</v>
      </c>
      <c r="C507" s="532"/>
      <c r="D507" s="532" t="s">
        <v>2204</v>
      </c>
      <c r="E507" s="532" t="s">
        <v>2205</v>
      </c>
      <c r="F507" s="390" t="s">
        <v>806</v>
      </c>
      <c r="G507" s="390" t="s">
        <v>788</v>
      </c>
      <c r="H507" s="381">
        <v>1</v>
      </c>
      <c r="I507" s="381">
        <v>5</v>
      </c>
      <c r="K507" s="381">
        <f t="shared" si="34"/>
        <v>5</v>
      </c>
      <c r="L507" s="644">
        <f>IFERROR(IF(B507="funkcna poziadavka",VLOOKUP(G507,MODULY_CBA!$B$3:$E$23,4,0)*H507/SUMIFS($H$3:$H$168,$G$3:$G$168,G507,$B$3:$B$168,B507),),)</f>
        <v>1.875</v>
      </c>
      <c r="M507" s="381">
        <f>IFERROR(IF(B507="Funkcna poziadavka",VLOOKUP(G507,MODULY_CBA!$B$3:$E$23,3,0),),)</f>
        <v>0.99499999999999988</v>
      </c>
      <c r="N507" s="381">
        <f>IFERROR(IF(B507="funkcna poziadavka",VLOOKUP(G507,MODULY_CBA!$B$3:$E$23,2,0),),)</f>
        <v>0.99</v>
      </c>
      <c r="O507" s="380">
        <f t="shared" si="35"/>
        <v>6.7722187499999995</v>
      </c>
      <c r="P507" s="379">
        <f>IFERROR(O507*VLOOKUP(G507,MODULY_CBA!$B$3:$F$23,5,0),)</f>
        <v>135.44437499999998</v>
      </c>
      <c r="Q507" s="480" t="str">
        <f>IFERROR(VLOOKUP(G507,MODULY_CBA!$B$3:$I$23,6,0),"")</f>
        <v>Inkrement 1</v>
      </c>
    </row>
    <row r="508" spans="1:17" ht="25.5">
      <c r="A508" s="682" t="s">
        <v>2068</v>
      </c>
      <c r="B508" s="402" t="s">
        <v>749</v>
      </c>
      <c r="C508" s="532"/>
      <c r="D508" s="532" t="s">
        <v>2207</v>
      </c>
      <c r="E508" s="532" t="s">
        <v>2208</v>
      </c>
      <c r="F508" s="390" t="s">
        <v>806</v>
      </c>
      <c r="G508" s="390" t="s">
        <v>788</v>
      </c>
      <c r="H508" s="381">
        <v>1</v>
      </c>
      <c r="I508" s="381">
        <v>10</v>
      </c>
      <c r="K508" s="381">
        <f t="shared" si="34"/>
        <v>10</v>
      </c>
      <c r="L508" s="644">
        <f>IFERROR(IF(B508="funkcna poziadavka",VLOOKUP(G508,MODULY_CBA!$B$3:$E$23,4,0)*H508/SUMIFS($H$3:$H$168,$G$3:$G$168,G508,$B$3:$B$168,B508),),)</f>
        <v>1.875</v>
      </c>
      <c r="M508" s="381">
        <f>IFERROR(IF(B508="Funkcna poziadavka",VLOOKUP(G508,MODULY_CBA!$B$3:$E$23,3,0),),)</f>
        <v>0.99499999999999988</v>
      </c>
      <c r="N508" s="381">
        <f>IFERROR(IF(B508="funkcna poziadavka",VLOOKUP(G508,MODULY_CBA!$B$3:$E$23,2,0),),)</f>
        <v>0.99</v>
      </c>
      <c r="O508" s="380">
        <f t="shared" si="35"/>
        <v>11.697468749999999</v>
      </c>
      <c r="P508" s="379">
        <f>IFERROR(O508*VLOOKUP(G508,MODULY_CBA!$B$3:$F$23,5,0),)</f>
        <v>233.94937499999997</v>
      </c>
      <c r="Q508" s="480" t="str">
        <f>IFERROR(VLOOKUP(G508,MODULY_CBA!$B$3:$I$23,6,0),"")</f>
        <v>Inkrement 1</v>
      </c>
    </row>
    <row r="509" spans="1:17" ht="25.5">
      <c r="A509" s="682" t="s">
        <v>2071</v>
      </c>
      <c r="B509" s="402" t="s">
        <v>749</v>
      </c>
      <c r="C509" s="532"/>
      <c r="D509" s="532" t="s">
        <v>2210</v>
      </c>
      <c r="E509" s="532" t="s">
        <v>2211</v>
      </c>
      <c r="F509" s="390" t="s">
        <v>806</v>
      </c>
      <c r="G509" s="390" t="s">
        <v>788</v>
      </c>
      <c r="H509" s="381">
        <v>1</v>
      </c>
      <c r="I509" s="381">
        <v>10</v>
      </c>
      <c r="K509" s="381">
        <f t="shared" si="34"/>
        <v>10</v>
      </c>
      <c r="L509" s="644">
        <f>IFERROR(IF(B509="funkcna poziadavka",VLOOKUP(G509,MODULY_CBA!$B$3:$E$23,4,0)*H509/SUMIFS($H$3:$H$168,$G$3:$G$168,G509,$B$3:$B$168,B509),),)</f>
        <v>1.875</v>
      </c>
      <c r="M509" s="381">
        <f>IFERROR(IF(B509="Funkcna poziadavka",VLOOKUP(G509,MODULY_CBA!$B$3:$E$23,3,0),),)</f>
        <v>0.99499999999999988</v>
      </c>
      <c r="N509" s="381">
        <f>IFERROR(IF(B509="funkcna poziadavka",VLOOKUP(G509,MODULY_CBA!$B$3:$E$23,2,0),),)</f>
        <v>0.99</v>
      </c>
      <c r="O509" s="380">
        <f t="shared" si="35"/>
        <v>11.697468749999999</v>
      </c>
      <c r="P509" s="379">
        <f>IFERROR(O509*VLOOKUP(G509,MODULY_CBA!$B$3:$F$23,5,0),)</f>
        <v>233.94937499999997</v>
      </c>
      <c r="Q509" s="480" t="str">
        <f>IFERROR(VLOOKUP(G509,MODULY_CBA!$B$3:$I$23,6,0),"")</f>
        <v>Inkrement 1</v>
      </c>
    </row>
    <row r="510" spans="1:17">
      <c r="A510" s="682" t="s">
        <v>2074</v>
      </c>
      <c r="B510" s="402" t="s">
        <v>749</v>
      </c>
      <c r="C510" s="532"/>
      <c r="D510" s="532" t="s">
        <v>2213</v>
      </c>
      <c r="E510" s="532" t="s">
        <v>2214</v>
      </c>
      <c r="F510" s="390" t="s">
        <v>806</v>
      </c>
      <c r="G510" s="390" t="s">
        <v>788</v>
      </c>
      <c r="H510" s="381">
        <v>1</v>
      </c>
      <c r="I510" s="381">
        <v>5</v>
      </c>
      <c r="K510" s="381">
        <f t="shared" si="34"/>
        <v>5</v>
      </c>
      <c r="L510" s="644">
        <f>IFERROR(IF(B510="funkcna poziadavka",VLOOKUP(G510,MODULY_CBA!$B$3:$E$23,4,0)*H510/SUMIFS($H$3:$H$168,$G$3:$G$168,G510,$B$3:$B$168,B510),),)</f>
        <v>1.875</v>
      </c>
      <c r="M510" s="381">
        <f>IFERROR(IF(B510="Funkcna poziadavka",VLOOKUP(G510,MODULY_CBA!$B$3:$E$23,3,0),),)</f>
        <v>0.99499999999999988</v>
      </c>
      <c r="N510" s="381">
        <f>IFERROR(IF(B510="funkcna poziadavka",VLOOKUP(G510,MODULY_CBA!$B$3:$E$23,2,0),),)</f>
        <v>0.99</v>
      </c>
      <c r="O510" s="380">
        <f t="shared" si="35"/>
        <v>6.7722187499999995</v>
      </c>
      <c r="P510" s="379">
        <f>IFERROR(O510*VLOOKUP(G510,MODULY_CBA!$B$3:$F$23,5,0),)</f>
        <v>135.44437499999998</v>
      </c>
      <c r="Q510" s="480" t="str">
        <f>IFERROR(VLOOKUP(G510,MODULY_CBA!$B$3:$I$23,6,0),"")</f>
        <v>Inkrement 1</v>
      </c>
    </row>
    <row r="511" spans="1:17" ht="25.5">
      <c r="A511" s="682" t="s">
        <v>2077</v>
      </c>
      <c r="B511" s="402" t="s">
        <v>749</v>
      </c>
      <c r="C511" s="532"/>
      <c r="D511" s="532" t="s">
        <v>2216</v>
      </c>
      <c r="E511" s="532" t="s">
        <v>2217</v>
      </c>
      <c r="F511" s="390" t="s">
        <v>806</v>
      </c>
      <c r="G511" s="390" t="s">
        <v>788</v>
      </c>
      <c r="H511" s="381">
        <v>1</v>
      </c>
      <c r="I511" s="381">
        <v>5</v>
      </c>
      <c r="K511" s="381">
        <f t="shared" ref="K511:K574" si="36">H511*I511</f>
        <v>5</v>
      </c>
      <c r="L511" s="644">
        <f>IFERROR(IF(B511="funkcna poziadavka",VLOOKUP(G511,MODULY_CBA!$B$3:$E$23,4,0)*H511/SUMIFS($H$3:$H$168,$G$3:$G$168,G511,$B$3:$B$168,B511),),)</f>
        <v>1.875</v>
      </c>
      <c r="M511" s="381">
        <f>IFERROR(IF(B511="Funkcna poziadavka",VLOOKUP(G511,MODULY_CBA!$B$3:$E$23,3,0),),)</f>
        <v>0.99499999999999988</v>
      </c>
      <c r="N511" s="381">
        <f>IFERROR(IF(B511="funkcna poziadavka",VLOOKUP(G511,MODULY_CBA!$B$3:$E$23,2,0),),)</f>
        <v>0.99</v>
      </c>
      <c r="O511" s="380">
        <f t="shared" ref="O511:O574" si="37">(K511+L511)*M511*N511</f>
        <v>6.7722187499999995</v>
      </c>
      <c r="P511" s="379">
        <f>IFERROR(O511*VLOOKUP(G511,MODULY_CBA!$B$3:$F$23,5,0),)</f>
        <v>135.44437499999998</v>
      </c>
      <c r="Q511" s="480" t="str">
        <f>IFERROR(VLOOKUP(G511,MODULY_CBA!$B$3:$I$23,6,0),"")</f>
        <v>Inkrement 1</v>
      </c>
    </row>
    <row r="512" spans="1:17">
      <c r="A512" s="682" t="s">
        <v>2080</v>
      </c>
      <c r="B512" s="402" t="s">
        <v>749</v>
      </c>
      <c r="C512" s="532"/>
      <c r="D512" s="532" t="s">
        <v>2219</v>
      </c>
      <c r="E512" s="532" t="s">
        <v>2220</v>
      </c>
      <c r="F512" s="390" t="s">
        <v>806</v>
      </c>
      <c r="G512" s="390" t="s">
        <v>788</v>
      </c>
      <c r="H512" s="381">
        <v>1</v>
      </c>
      <c r="I512" s="381">
        <v>5</v>
      </c>
      <c r="K512" s="381">
        <f t="shared" si="36"/>
        <v>5</v>
      </c>
      <c r="L512" s="644">
        <f>IFERROR(IF(B512="funkcna poziadavka",VLOOKUP(G512,MODULY_CBA!$B$3:$E$23,4,0)*H512/SUMIFS($H$3:$H$168,$G$3:$G$168,G512,$B$3:$B$168,B512),),)</f>
        <v>1.875</v>
      </c>
      <c r="M512" s="381">
        <f>IFERROR(IF(B512="Funkcna poziadavka",VLOOKUP(G512,MODULY_CBA!$B$3:$E$23,3,0),),)</f>
        <v>0.99499999999999988</v>
      </c>
      <c r="N512" s="381">
        <f>IFERROR(IF(B512="funkcna poziadavka",VLOOKUP(G512,MODULY_CBA!$B$3:$E$23,2,0),),)</f>
        <v>0.99</v>
      </c>
      <c r="O512" s="380">
        <f t="shared" si="37"/>
        <v>6.7722187499999995</v>
      </c>
      <c r="P512" s="379">
        <f>IFERROR(O512*VLOOKUP(G512,MODULY_CBA!$B$3:$F$23,5,0),)</f>
        <v>135.44437499999998</v>
      </c>
      <c r="Q512" s="480" t="str">
        <f>IFERROR(VLOOKUP(G512,MODULY_CBA!$B$3:$I$23,6,0),"")</f>
        <v>Inkrement 1</v>
      </c>
    </row>
    <row r="513" spans="1:17" ht="25.5">
      <c r="A513" s="682" t="s">
        <v>2083</v>
      </c>
      <c r="B513" s="402" t="s">
        <v>749</v>
      </c>
      <c r="C513" s="532"/>
      <c r="D513" s="532" t="s">
        <v>2222</v>
      </c>
      <c r="E513" s="532" t="s">
        <v>2223</v>
      </c>
      <c r="F513" s="390" t="s">
        <v>806</v>
      </c>
      <c r="G513" s="390" t="s">
        <v>788</v>
      </c>
      <c r="H513" s="381">
        <v>1</v>
      </c>
      <c r="I513" s="381">
        <v>5</v>
      </c>
      <c r="K513" s="381">
        <f t="shared" si="36"/>
        <v>5</v>
      </c>
      <c r="L513" s="644">
        <f>IFERROR(IF(B513="funkcna poziadavka",VLOOKUP(G513,MODULY_CBA!$B$3:$E$23,4,0)*H513/SUMIFS($H$3:$H$168,$G$3:$G$168,G513,$B$3:$B$168,B513),),)</f>
        <v>1.875</v>
      </c>
      <c r="M513" s="381">
        <f>IFERROR(IF(B513="Funkcna poziadavka",VLOOKUP(G513,MODULY_CBA!$B$3:$E$23,3,0),),)</f>
        <v>0.99499999999999988</v>
      </c>
      <c r="N513" s="381">
        <f>IFERROR(IF(B513="funkcna poziadavka",VLOOKUP(G513,MODULY_CBA!$B$3:$E$23,2,0),),)</f>
        <v>0.99</v>
      </c>
      <c r="O513" s="380">
        <f t="shared" si="37"/>
        <v>6.7722187499999995</v>
      </c>
      <c r="P513" s="379">
        <f>IFERROR(O513*VLOOKUP(G513,MODULY_CBA!$B$3:$F$23,5,0),)</f>
        <v>135.44437499999998</v>
      </c>
      <c r="Q513" s="480" t="str">
        <f>IFERROR(VLOOKUP(G513,MODULY_CBA!$B$3:$I$23,6,0),"")</f>
        <v>Inkrement 1</v>
      </c>
    </row>
    <row r="514" spans="1:17" ht="25.5">
      <c r="A514" s="682" t="s">
        <v>2086</v>
      </c>
      <c r="B514" s="402" t="s">
        <v>749</v>
      </c>
      <c r="C514" s="532"/>
      <c r="D514" s="532" t="s">
        <v>2225</v>
      </c>
      <c r="E514" s="532" t="s">
        <v>2226</v>
      </c>
      <c r="F514" s="390" t="s">
        <v>806</v>
      </c>
      <c r="G514" s="390" t="s">
        <v>788</v>
      </c>
      <c r="H514" s="381">
        <v>1</v>
      </c>
      <c r="I514" s="381">
        <v>5</v>
      </c>
      <c r="K514" s="381">
        <f t="shared" si="36"/>
        <v>5</v>
      </c>
      <c r="L514" s="644">
        <f>IFERROR(IF(B514="funkcna poziadavka",VLOOKUP(G514,MODULY_CBA!$B$3:$E$23,4,0)*H514/SUMIFS($H$3:$H$168,$G$3:$G$168,G514,$B$3:$B$168,B514),),)</f>
        <v>1.875</v>
      </c>
      <c r="M514" s="381">
        <f>IFERROR(IF(B514="Funkcna poziadavka",VLOOKUP(G514,MODULY_CBA!$B$3:$E$23,3,0),),)</f>
        <v>0.99499999999999988</v>
      </c>
      <c r="N514" s="381">
        <f>IFERROR(IF(B514="funkcna poziadavka",VLOOKUP(G514,MODULY_CBA!$B$3:$E$23,2,0),),)</f>
        <v>0.99</v>
      </c>
      <c r="O514" s="380">
        <f t="shared" si="37"/>
        <v>6.7722187499999995</v>
      </c>
      <c r="P514" s="379">
        <f>IFERROR(O514*VLOOKUP(G514,MODULY_CBA!$B$3:$F$23,5,0),)</f>
        <v>135.44437499999998</v>
      </c>
      <c r="Q514" s="480" t="str">
        <f>IFERROR(VLOOKUP(G514,MODULY_CBA!$B$3:$I$23,6,0),"")</f>
        <v>Inkrement 1</v>
      </c>
    </row>
    <row r="515" spans="1:17" ht="25.5">
      <c r="A515" s="682" t="s">
        <v>2089</v>
      </c>
      <c r="B515" s="402" t="s">
        <v>749</v>
      </c>
      <c r="C515" s="532"/>
      <c r="D515" s="532" t="s">
        <v>2228</v>
      </c>
      <c r="E515" s="532" t="s">
        <v>2229</v>
      </c>
      <c r="F515" s="390" t="s">
        <v>806</v>
      </c>
      <c r="G515" s="390" t="s">
        <v>788</v>
      </c>
      <c r="H515" s="381">
        <v>1</v>
      </c>
      <c r="I515" s="381">
        <v>5</v>
      </c>
      <c r="K515" s="381">
        <f t="shared" si="36"/>
        <v>5</v>
      </c>
      <c r="L515" s="644">
        <f>IFERROR(IF(B515="funkcna poziadavka",VLOOKUP(G515,MODULY_CBA!$B$3:$E$23,4,0)*H515/SUMIFS($H$3:$H$168,$G$3:$G$168,G515,$B$3:$B$168,B515),),)</f>
        <v>1.875</v>
      </c>
      <c r="M515" s="381">
        <f>IFERROR(IF(B515="Funkcna poziadavka",VLOOKUP(G515,MODULY_CBA!$B$3:$E$23,3,0),),)</f>
        <v>0.99499999999999988</v>
      </c>
      <c r="N515" s="381">
        <f>IFERROR(IF(B515="funkcna poziadavka",VLOOKUP(G515,MODULY_CBA!$B$3:$E$23,2,0),),)</f>
        <v>0.99</v>
      </c>
      <c r="O515" s="380">
        <f t="shared" si="37"/>
        <v>6.7722187499999995</v>
      </c>
      <c r="P515" s="379">
        <f>IFERROR(O515*VLOOKUP(G515,MODULY_CBA!$B$3:$F$23,5,0),)</f>
        <v>135.44437499999998</v>
      </c>
      <c r="Q515" s="480" t="str">
        <f>IFERROR(VLOOKUP(G515,MODULY_CBA!$B$3:$I$23,6,0),"")</f>
        <v>Inkrement 1</v>
      </c>
    </row>
    <row r="516" spans="1:17" ht="25.5">
      <c r="A516" s="682" t="s">
        <v>2092</v>
      </c>
      <c r="B516" s="402" t="s">
        <v>749</v>
      </c>
      <c r="C516" s="532"/>
      <c r="D516" s="532" t="s">
        <v>2231</v>
      </c>
      <c r="E516" s="532" t="s">
        <v>2232</v>
      </c>
      <c r="F516" s="390" t="s">
        <v>806</v>
      </c>
      <c r="G516" s="390" t="s">
        <v>788</v>
      </c>
      <c r="H516" s="381">
        <v>1</v>
      </c>
      <c r="I516" s="381">
        <v>5</v>
      </c>
      <c r="K516" s="381">
        <f t="shared" si="36"/>
        <v>5</v>
      </c>
      <c r="L516" s="644">
        <f>IFERROR(IF(B516="funkcna poziadavka",VLOOKUP(G516,MODULY_CBA!$B$3:$E$23,4,0)*H516/SUMIFS($H$3:$H$168,$G$3:$G$168,G516,$B$3:$B$168,B516),),)</f>
        <v>1.875</v>
      </c>
      <c r="M516" s="381">
        <f>IFERROR(IF(B516="Funkcna poziadavka",VLOOKUP(G516,MODULY_CBA!$B$3:$E$23,3,0),),)</f>
        <v>0.99499999999999988</v>
      </c>
      <c r="N516" s="381">
        <f>IFERROR(IF(B516="funkcna poziadavka",VLOOKUP(G516,MODULY_CBA!$B$3:$E$23,2,0),),)</f>
        <v>0.99</v>
      </c>
      <c r="O516" s="380">
        <f t="shared" si="37"/>
        <v>6.7722187499999995</v>
      </c>
      <c r="P516" s="379">
        <f>IFERROR(O516*VLOOKUP(G516,MODULY_CBA!$B$3:$F$23,5,0),)</f>
        <v>135.44437499999998</v>
      </c>
      <c r="Q516" s="480" t="str">
        <f>IFERROR(VLOOKUP(G516,MODULY_CBA!$B$3:$I$23,6,0),"")</f>
        <v>Inkrement 1</v>
      </c>
    </row>
    <row r="517" spans="1:17" ht="25.5">
      <c r="A517" s="682" t="s">
        <v>2095</v>
      </c>
      <c r="B517" s="402" t="s">
        <v>749</v>
      </c>
      <c r="C517" s="532"/>
      <c r="D517" s="532" t="s">
        <v>2234</v>
      </c>
      <c r="E517" s="532" t="s">
        <v>2235</v>
      </c>
      <c r="F517" s="390" t="s">
        <v>806</v>
      </c>
      <c r="G517" s="390" t="s">
        <v>788</v>
      </c>
      <c r="H517" s="381">
        <v>1</v>
      </c>
      <c r="I517" s="381">
        <v>5</v>
      </c>
      <c r="K517" s="381">
        <f t="shared" si="36"/>
        <v>5</v>
      </c>
      <c r="L517" s="644">
        <f>IFERROR(IF(B517="funkcna poziadavka",VLOOKUP(G517,MODULY_CBA!$B$3:$E$23,4,0)*H517/SUMIFS($H$3:$H$168,$G$3:$G$168,G517,$B$3:$B$168,B517),),)</f>
        <v>1.875</v>
      </c>
      <c r="M517" s="381">
        <f>IFERROR(IF(B517="Funkcna poziadavka",VLOOKUP(G517,MODULY_CBA!$B$3:$E$23,3,0),),)</f>
        <v>0.99499999999999988</v>
      </c>
      <c r="N517" s="381">
        <f>IFERROR(IF(B517="funkcna poziadavka",VLOOKUP(G517,MODULY_CBA!$B$3:$E$23,2,0),),)</f>
        <v>0.99</v>
      </c>
      <c r="O517" s="380">
        <f t="shared" si="37"/>
        <v>6.7722187499999995</v>
      </c>
      <c r="P517" s="379">
        <f>IFERROR(O517*VLOOKUP(G517,MODULY_CBA!$B$3:$F$23,5,0),)</f>
        <v>135.44437499999998</v>
      </c>
      <c r="Q517" s="480" t="str">
        <f>IFERROR(VLOOKUP(G517,MODULY_CBA!$B$3:$I$23,6,0),"")</f>
        <v>Inkrement 1</v>
      </c>
    </row>
    <row r="518" spans="1:17" ht="25.5">
      <c r="A518" s="682" t="s">
        <v>2098</v>
      </c>
      <c r="B518" s="402" t="s">
        <v>749</v>
      </c>
      <c r="C518" s="532"/>
      <c r="D518" s="532" t="s">
        <v>2237</v>
      </c>
      <c r="E518" s="532" t="s">
        <v>2238</v>
      </c>
      <c r="F518" s="390" t="s">
        <v>806</v>
      </c>
      <c r="G518" s="390" t="s">
        <v>788</v>
      </c>
      <c r="H518" s="381">
        <v>1</v>
      </c>
      <c r="I518" s="381">
        <v>5</v>
      </c>
      <c r="K518" s="381">
        <f t="shared" si="36"/>
        <v>5</v>
      </c>
      <c r="L518" s="644">
        <f>IFERROR(IF(B518="funkcna poziadavka",VLOOKUP(G518,MODULY_CBA!$B$3:$E$23,4,0)*H518/SUMIFS($H$3:$H$168,$G$3:$G$168,G518,$B$3:$B$168,B518),),)</f>
        <v>1.875</v>
      </c>
      <c r="M518" s="381">
        <f>IFERROR(IF(B518="Funkcna poziadavka",VLOOKUP(G518,MODULY_CBA!$B$3:$E$23,3,0),),)</f>
        <v>0.99499999999999988</v>
      </c>
      <c r="N518" s="381">
        <f>IFERROR(IF(B518="funkcna poziadavka",VLOOKUP(G518,MODULY_CBA!$B$3:$E$23,2,0),),)</f>
        <v>0.99</v>
      </c>
      <c r="O518" s="380">
        <f t="shared" si="37"/>
        <v>6.7722187499999995</v>
      </c>
      <c r="P518" s="379">
        <f>IFERROR(O518*VLOOKUP(G518,MODULY_CBA!$B$3:$F$23,5,0),)</f>
        <v>135.44437499999998</v>
      </c>
      <c r="Q518" s="480" t="str">
        <f>IFERROR(VLOOKUP(G518,MODULY_CBA!$B$3:$I$23,6,0),"")</f>
        <v>Inkrement 1</v>
      </c>
    </row>
    <row r="519" spans="1:17" ht="25.5">
      <c r="A519" s="682" t="s">
        <v>2101</v>
      </c>
      <c r="B519" s="402" t="s">
        <v>749</v>
      </c>
      <c r="C519" s="532"/>
      <c r="D519" s="532" t="s">
        <v>2240</v>
      </c>
      <c r="E519" s="532" t="s">
        <v>2241</v>
      </c>
      <c r="F519" s="390" t="s">
        <v>806</v>
      </c>
      <c r="G519" s="390" t="s">
        <v>788</v>
      </c>
      <c r="H519" s="381">
        <v>1</v>
      </c>
      <c r="I519" s="381">
        <v>10</v>
      </c>
      <c r="K519" s="381">
        <f t="shared" si="36"/>
        <v>10</v>
      </c>
      <c r="L519" s="644">
        <f>IFERROR(IF(B519="funkcna poziadavka",VLOOKUP(G519,MODULY_CBA!$B$3:$E$23,4,0)*H519/SUMIFS($H$3:$H$168,$G$3:$G$168,G519,$B$3:$B$168,B519),),)</f>
        <v>1.875</v>
      </c>
      <c r="M519" s="381">
        <f>IFERROR(IF(B519="Funkcna poziadavka",VLOOKUP(G519,MODULY_CBA!$B$3:$E$23,3,0),),)</f>
        <v>0.99499999999999988</v>
      </c>
      <c r="N519" s="381">
        <f>IFERROR(IF(B519="funkcna poziadavka",VLOOKUP(G519,MODULY_CBA!$B$3:$E$23,2,0),),)</f>
        <v>0.99</v>
      </c>
      <c r="O519" s="380">
        <f t="shared" si="37"/>
        <v>11.697468749999999</v>
      </c>
      <c r="P519" s="379">
        <f>IFERROR(O519*VLOOKUP(G519,MODULY_CBA!$B$3:$F$23,5,0),)</f>
        <v>233.94937499999997</v>
      </c>
      <c r="Q519" s="480" t="str">
        <f>IFERROR(VLOOKUP(G519,MODULY_CBA!$B$3:$I$23,6,0),"")</f>
        <v>Inkrement 1</v>
      </c>
    </row>
    <row r="520" spans="1:17" ht="25.5" hidden="1">
      <c r="A520" s="402" t="s">
        <v>2104</v>
      </c>
      <c r="B520" s="402" t="s">
        <v>1095</v>
      </c>
      <c r="C520" s="532"/>
      <c r="D520" s="532" t="s">
        <v>2243</v>
      </c>
      <c r="E520" s="532" t="s">
        <v>2244</v>
      </c>
      <c r="F520" s="390" t="s">
        <v>806</v>
      </c>
      <c r="G520" s="390" t="s">
        <v>788</v>
      </c>
      <c r="H520" s="381"/>
      <c r="I520" s="381"/>
      <c r="K520" s="381">
        <f t="shared" si="36"/>
        <v>0</v>
      </c>
      <c r="L520" s="644">
        <f>IFERROR(IF(B520="funkcna poziadavka",VLOOKUP(G520,MODULY_CBA!$B$3:$E$23,4,0)*H520/SUMIFS($H$3:$H$168,$G$3:$G$168,G520,$B$3:$B$168,B520),),)</f>
        <v>0</v>
      </c>
      <c r="M520" s="381">
        <f>IFERROR(IF(B520="Funkcna poziadavka",VLOOKUP(G520,MODULY_CBA!$B$3:$E$23,3,0),),)</f>
        <v>0</v>
      </c>
      <c r="N520" s="381">
        <f>IFERROR(IF(B520="funkcna poziadavka",VLOOKUP(G520,MODULY_CBA!$B$3:$E$23,2,0),),)</f>
        <v>0</v>
      </c>
      <c r="O520" s="380">
        <f t="shared" si="37"/>
        <v>0</v>
      </c>
      <c r="P520" s="379">
        <f>IFERROR(O520*VLOOKUP(G520,MODULY_CBA!$B$3:$F$23,5,0),)</f>
        <v>0</v>
      </c>
      <c r="Q520" s="480" t="str">
        <f>IFERROR(VLOOKUP(G520,MODULY_CBA!$B$3:$I$23,6,0),"")</f>
        <v>Inkrement 1</v>
      </c>
    </row>
    <row r="521" spans="1:17" ht="25.5">
      <c r="A521" s="682" t="s">
        <v>2107</v>
      </c>
      <c r="B521" s="402" t="s">
        <v>749</v>
      </c>
      <c r="C521" s="532"/>
      <c r="D521" s="532" t="s">
        <v>2246</v>
      </c>
      <c r="E521" s="532" t="s">
        <v>2247</v>
      </c>
      <c r="F521" s="390" t="s">
        <v>806</v>
      </c>
      <c r="G521" s="390" t="s">
        <v>788</v>
      </c>
      <c r="H521" s="381">
        <v>1</v>
      </c>
      <c r="I521" s="381">
        <v>5</v>
      </c>
      <c r="K521" s="381">
        <f t="shared" si="36"/>
        <v>5</v>
      </c>
      <c r="L521" s="644">
        <f>IFERROR(IF(B521="funkcna poziadavka",VLOOKUP(G521,MODULY_CBA!$B$3:$E$23,4,0)*H521/SUMIFS($H$3:$H$168,$G$3:$G$168,G521,$B$3:$B$168,B521),),)</f>
        <v>1.875</v>
      </c>
      <c r="M521" s="381">
        <f>IFERROR(IF(B521="Funkcna poziadavka",VLOOKUP(G521,MODULY_CBA!$B$3:$E$23,3,0),),)</f>
        <v>0.99499999999999988</v>
      </c>
      <c r="N521" s="381">
        <f>IFERROR(IF(B521="funkcna poziadavka",VLOOKUP(G521,MODULY_CBA!$B$3:$E$23,2,0),),)</f>
        <v>0.99</v>
      </c>
      <c r="O521" s="380">
        <f t="shared" si="37"/>
        <v>6.7722187499999995</v>
      </c>
      <c r="P521" s="379">
        <f>IFERROR(O521*VLOOKUP(G521,MODULY_CBA!$B$3:$F$23,5,0),)</f>
        <v>135.44437499999998</v>
      </c>
      <c r="Q521" s="480" t="str">
        <f>IFERROR(VLOOKUP(G521,MODULY_CBA!$B$3:$I$23,6,0),"")</f>
        <v>Inkrement 1</v>
      </c>
    </row>
    <row r="522" spans="1:17" ht="25.5">
      <c r="A522" s="682" t="s">
        <v>2110</v>
      </c>
      <c r="B522" s="402" t="s">
        <v>749</v>
      </c>
      <c r="C522" s="532"/>
      <c r="D522" s="532" t="s">
        <v>2249</v>
      </c>
      <c r="E522" s="532" t="s">
        <v>2250</v>
      </c>
      <c r="F522" s="390" t="s">
        <v>806</v>
      </c>
      <c r="G522" s="390" t="s">
        <v>788</v>
      </c>
      <c r="H522" s="381">
        <v>1</v>
      </c>
      <c r="I522" s="381">
        <v>5</v>
      </c>
      <c r="K522" s="381">
        <f t="shared" si="36"/>
        <v>5</v>
      </c>
      <c r="L522" s="644">
        <f>IFERROR(IF(B522="funkcna poziadavka",VLOOKUP(G522,MODULY_CBA!$B$3:$E$23,4,0)*H522/SUMIFS($H$3:$H$168,$G$3:$G$168,G522,$B$3:$B$168,B522),),)</f>
        <v>1.875</v>
      </c>
      <c r="M522" s="381">
        <f>IFERROR(IF(B522="Funkcna poziadavka",VLOOKUP(G522,MODULY_CBA!$B$3:$E$23,3,0),),)</f>
        <v>0.99499999999999988</v>
      </c>
      <c r="N522" s="381">
        <f>IFERROR(IF(B522="funkcna poziadavka",VLOOKUP(G522,MODULY_CBA!$B$3:$E$23,2,0),),)</f>
        <v>0.99</v>
      </c>
      <c r="O522" s="380">
        <f t="shared" si="37"/>
        <v>6.7722187499999995</v>
      </c>
      <c r="P522" s="379">
        <f>IFERROR(O522*VLOOKUP(G522,MODULY_CBA!$B$3:$F$23,5,0),)</f>
        <v>135.44437499999998</v>
      </c>
      <c r="Q522" s="480" t="str">
        <f>IFERROR(VLOOKUP(G522,MODULY_CBA!$B$3:$I$23,6,0),"")</f>
        <v>Inkrement 1</v>
      </c>
    </row>
    <row r="523" spans="1:17" ht="25.5">
      <c r="A523" s="682" t="s">
        <v>2113</v>
      </c>
      <c r="B523" s="402" t="s">
        <v>749</v>
      </c>
      <c r="C523" s="532"/>
      <c r="D523" s="532" t="s">
        <v>2252</v>
      </c>
      <c r="E523" s="532" t="s">
        <v>2253</v>
      </c>
      <c r="F523" s="390" t="s">
        <v>806</v>
      </c>
      <c r="G523" s="390" t="s">
        <v>788</v>
      </c>
      <c r="H523" s="381">
        <v>1</v>
      </c>
      <c r="I523" s="381">
        <v>5</v>
      </c>
      <c r="K523" s="381">
        <f t="shared" si="36"/>
        <v>5</v>
      </c>
      <c r="L523" s="644">
        <f>IFERROR(IF(B523="funkcna poziadavka",VLOOKUP(G523,MODULY_CBA!$B$3:$E$23,4,0)*H523/SUMIFS($H$3:$H$168,$G$3:$G$168,G523,$B$3:$B$168,B523),),)</f>
        <v>1.875</v>
      </c>
      <c r="M523" s="381">
        <f>IFERROR(IF(B523="Funkcna poziadavka",VLOOKUP(G523,MODULY_CBA!$B$3:$E$23,3,0),),)</f>
        <v>0.99499999999999988</v>
      </c>
      <c r="N523" s="381">
        <f>IFERROR(IF(B523="funkcna poziadavka",VLOOKUP(G523,MODULY_CBA!$B$3:$E$23,2,0),),)</f>
        <v>0.99</v>
      </c>
      <c r="O523" s="380">
        <f t="shared" si="37"/>
        <v>6.7722187499999995</v>
      </c>
      <c r="P523" s="379">
        <f>IFERROR(O523*VLOOKUP(G523,MODULY_CBA!$B$3:$F$23,5,0),)</f>
        <v>135.44437499999998</v>
      </c>
      <c r="Q523" s="480" t="str">
        <f>IFERROR(VLOOKUP(G523,MODULY_CBA!$B$3:$I$23,6,0),"")</f>
        <v>Inkrement 1</v>
      </c>
    </row>
    <row r="524" spans="1:17" ht="25.5">
      <c r="A524" s="682" t="s">
        <v>2116</v>
      </c>
      <c r="B524" s="402" t="s">
        <v>749</v>
      </c>
      <c r="C524" s="532"/>
      <c r="D524" s="532" t="s">
        <v>2255</v>
      </c>
      <c r="E524" s="532" t="s">
        <v>2256</v>
      </c>
      <c r="F524" s="390" t="s">
        <v>806</v>
      </c>
      <c r="G524" s="390" t="s">
        <v>788</v>
      </c>
      <c r="H524" s="381">
        <v>1</v>
      </c>
      <c r="I524" s="381">
        <v>5</v>
      </c>
      <c r="K524" s="381">
        <f t="shared" si="36"/>
        <v>5</v>
      </c>
      <c r="L524" s="644">
        <f>IFERROR(IF(B524="funkcna poziadavka",VLOOKUP(G524,MODULY_CBA!$B$3:$E$23,4,0)*H524/SUMIFS($H$3:$H$168,$G$3:$G$168,G524,$B$3:$B$168,B524),),)</f>
        <v>1.875</v>
      </c>
      <c r="M524" s="381">
        <f>IFERROR(IF(B524="Funkcna poziadavka",VLOOKUP(G524,MODULY_CBA!$B$3:$E$23,3,0),),)</f>
        <v>0.99499999999999988</v>
      </c>
      <c r="N524" s="381">
        <f>IFERROR(IF(B524="funkcna poziadavka",VLOOKUP(G524,MODULY_CBA!$B$3:$E$23,2,0),),)</f>
        <v>0.99</v>
      </c>
      <c r="O524" s="380">
        <f t="shared" si="37"/>
        <v>6.7722187499999995</v>
      </c>
      <c r="P524" s="379">
        <f>IFERROR(O524*VLOOKUP(G524,MODULY_CBA!$B$3:$F$23,5,0),)</f>
        <v>135.44437499999998</v>
      </c>
      <c r="Q524" s="480" t="str">
        <f>IFERROR(VLOOKUP(G524,MODULY_CBA!$B$3:$I$23,6,0),"")</f>
        <v>Inkrement 1</v>
      </c>
    </row>
    <row r="525" spans="1:17" ht="25.5">
      <c r="A525" s="682" t="s">
        <v>2119</v>
      </c>
      <c r="B525" s="402" t="s">
        <v>749</v>
      </c>
      <c r="C525" s="532"/>
      <c r="D525" s="532" t="s">
        <v>2258</v>
      </c>
      <c r="E525" s="532" t="s">
        <v>2259</v>
      </c>
      <c r="F525" s="390" t="s">
        <v>806</v>
      </c>
      <c r="G525" s="390" t="s">
        <v>796</v>
      </c>
      <c r="H525" s="381">
        <v>1</v>
      </c>
      <c r="I525" s="381">
        <v>5</v>
      </c>
      <c r="K525" s="381">
        <f t="shared" si="36"/>
        <v>5</v>
      </c>
      <c r="L525" s="644">
        <f>IFERROR(IF(B525="funkcna poziadavka",VLOOKUP(G525,MODULY_CBA!$B$3:$E$23,4,0)*H525/SUMIFS($H$3:$H$168,$G$3:$G$168,G525,$B$3:$B$168,B525),),)</f>
        <v>0</v>
      </c>
      <c r="M525" s="381">
        <f>IFERROR(IF(B525="Funkcna poziadavka",VLOOKUP(G525,MODULY_CBA!$B$3:$E$23,3,0),),)</f>
        <v>0.99499999999999988</v>
      </c>
      <c r="N525" s="381">
        <f>IFERROR(IF(B525="funkcna poziadavka",VLOOKUP(G525,MODULY_CBA!$B$3:$E$23,2,0),),)</f>
        <v>0.99</v>
      </c>
      <c r="O525" s="380">
        <f t="shared" si="37"/>
        <v>4.9252499999999992</v>
      </c>
      <c r="P525" s="379">
        <f>IFERROR(O525*VLOOKUP(G525,MODULY_CBA!$B$3:$F$23,5,0),)</f>
        <v>98.504999999999981</v>
      </c>
      <c r="Q525" s="480" t="str">
        <f>IFERROR(VLOOKUP(G525,MODULY_CBA!$B$3:$I$23,6,0),"")</f>
        <v>Inkrement 1</v>
      </c>
    </row>
    <row r="526" spans="1:17">
      <c r="A526" s="682" t="s">
        <v>2122</v>
      </c>
      <c r="B526" s="402" t="s">
        <v>749</v>
      </c>
      <c r="C526" s="532"/>
      <c r="D526" s="532" t="s">
        <v>2261</v>
      </c>
      <c r="E526" s="532" t="s">
        <v>2262</v>
      </c>
      <c r="F526" s="390" t="s">
        <v>806</v>
      </c>
      <c r="G526" s="390" t="s">
        <v>796</v>
      </c>
      <c r="H526" s="381">
        <v>1</v>
      </c>
      <c r="I526" s="381">
        <v>5</v>
      </c>
      <c r="K526" s="381">
        <f t="shared" si="36"/>
        <v>5</v>
      </c>
      <c r="L526" s="644">
        <f>IFERROR(IF(B526="funkcna poziadavka",VLOOKUP(G526,MODULY_CBA!$B$3:$E$23,4,0)*H526/SUMIFS($H$3:$H$168,$G$3:$G$168,G526,$B$3:$B$168,B526),),)</f>
        <v>0</v>
      </c>
      <c r="M526" s="381">
        <f>IFERROR(IF(B526="Funkcna poziadavka",VLOOKUP(G526,MODULY_CBA!$B$3:$E$23,3,0),),)</f>
        <v>0.99499999999999988</v>
      </c>
      <c r="N526" s="381">
        <f>IFERROR(IF(B526="funkcna poziadavka",VLOOKUP(G526,MODULY_CBA!$B$3:$E$23,2,0),),)</f>
        <v>0.99</v>
      </c>
      <c r="O526" s="380">
        <f t="shared" si="37"/>
        <v>4.9252499999999992</v>
      </c>
      <c r="P526" s="379">
        <f>IFERROR(O526*VLOOKUP(G526,MODULY_CBA!$B$3:$F$23,5,0),)</f>
        <v>98.504999999999981</v>
      </c>
      <c r="Q526" s="480" t="str">
        <f>IFERROR(VLOOKUP(G526,MODULY_CBA!$B$3:$I$23,6,0),"")</f>
        <v>Inkrement 1</v>
      </c>
    </row>
    <row r="527" spans="1:17" ht="38.25">
      <c r="A527" s="682" t="s">
        <v>2125</v>
      </c>
      <c r="B527" s="402" t="s">
        <v>749</v>
      </c>
      <c r="C527" s="532"/>
      <c r="D527" s="532" t="s">
        <v>2264</v>
      </c>
      <c r="E527" s="532" t="s">
        <v>2265</v>
      </c>
      <c r="F527" s="390" t="s">
        <v>806</v>
      </c>
      <c r="G527" s="390" t="s">
        <v>796</v>
      </c>
      <c r="H527" s="381">
        <v>1</v>
      </c>
      <c r="I527" s="381">
        <v>5</v>
      </c>
      <c r="K527" s="381">
        <f t="shared" si="36"/>
        <v>5</v>
      </c>
      <c r="L527" s="644">
        <f>IFERROR(IF(B527="funkcna poziadavka",VLOOKUP(G527,MODULY_CBA!$B$3:$E$23,4,0)*H527/SUMIFS($H$3:$H$168,$G$3:$G$168,G527,$B$3:$B$168,B527),),)</f>
        <v>0</v>
      </c>
      <c r="M527" s="381">
        <f>IFERROR(IF(B527="Funkcna poziadavka",VLOOKUP(G527,MODULY_CBA!$B$3:$E$23,3,0),),)</f>
        <v>0.99499999999999988</v>
      </c>
      <c r="N527" s="381">
        <f>IFERROR(IF(B527="funkcna poziadavka",VLOOKUP(G527,MODULY_CBA!$B$3:$E$23,2,0),),)</f>
        <v>0.99</v>
      </c>
      <c r="O527" s="380">
        <f t="shared" si="37"/>
        <v>4.9252499999999992</v>
      </c>
      <c r="P527" s="379">
        <f>IFERROR(O527*VLOOKUP(G527,MODULY_CBA!$B$3:$F$23,5,0),)</f>
        <v>98.504999999999981</v>
      </c>
      <c r="Q527" s="480" t="str">
        <f>IFERROR(VLOOKUP(G527,MODULY_CBA!$B$3:$I$23,6,0),"")</f>
        <v>Inkrement 1</v>
      </c>
    </row>
    <row r="528" spans="1:17">
      <c r="A528" s="682" t="s">
        <v>2128</v>
      </c>
      <c r="B528" s="402" t="s">
        <v>749</v>
      </c>
      <c r="C528" s="532"/>
      <c r="D528" s="532" t="s">
        <v>2267</v>
      </c>
      <c r="E528" s="532" t="s">
        <v>2268</v>
      </c>
      <c r="F528" s="390" t="s">
        <v>806</v>
      </c>
      <c r="G528" s="390" t="s">
        <v>796</v>
      </c>
      <c r="H528" s="381">
        <v>1</v>
      </c>
      <c r="I528" s="381">
        <v>5</v>
      </c>
      <c r="K528" s="381">
        <f t="shared" si="36"/>
        <v>5</v>
      </c>
      <c r="L528" s="644">
        <f>IFERROR(IF(B528="funkcna poziadavka",VLOOKUP(G528,MODULY_CBA!$B$3:$E$23,4,0)*H528/SUMIFS($H$3:$H$168,$G$3:$G$168,G528,$B$3:$B$168,B528),),)</f>
        <v>0</v>
      </c>
      <c r="M528" s="381">
        <f>IFERROR(IF(B528="Funkcna poziadavka",VLOOKUP(G528,MODULY_CBA!$B$3:$E$23,3,0),),)</f>
        <v>0.99499999999999988</v>
      </c>
      <c r="N528" s="381">
        <f>IFERROR(IF(B528="funkcna poziadavka",VLOOKUP(G528,MODULY_CBA!$B$3:$E$23,2,0),),)</f>
        <v>0.99</v>
      </c>
      <c r="O528" s="380">
        <f t="shared" si="37"/>
        <v>4.9252499999999992</v>
      </c>
      <c r="P528" s="379">
        <f>IFERROR(O528*VLOOKUP(G528,MODULY_CBA!$B$3:$F$23,5,0),)</f>
        <v>98.504999999999981</v>
      </c>
      <c r="Q528" s="480" t="str">
        <f>IFERROR(VLOOKUP(G528,MODULY_CBA!$B$3:$I$23,6,0),"")</f>
        <v>Inkrement 1</v>
      </c>
    </row>
    <row r="529" spans="1:17">
      <c r="A529" s="682" t="s">
        <v>2131</v>
      </c>
      <c r="B529" s="402" t="s">
        <v>749</v>
      </c>
      <c r="C529" s="532"/>
      <c r="D529" s="532" t="s">
        <v>2270</v>
      </c>
      <c r="E529" s="532" t="s">
        <v>2271</v>
      </c>
      <c r="F529" s="390" t="s">
        <v>806</v>
      </c>
      <c r="G529" s="390" t="s">
        <v>796</v>
      </c>
      <c r="H529" s="381">
        <v>1</v>
      </c>
      <c r="I529" s="381">
        <v>5</v>
      </c>
      <c r="K529" s="381">
        <f t="shared" si="36"/>
        <v>5</v>
      </c>
      <c r="L529" s="644">
        <f>IFERROR(IF(B529="funkcna poziadavka",VLOOKUP(G529,MODULY_CBA!$B$3:$E$23,4,0)*H529/SUMIFS($H$3:$H$168,$G$3:$G$168,G529,$B$3:$B$168,B529),),)</f>
        <v>0</v>
      </c>
      <c r="M529" s="381">
        <f>IFERROR(IF(B529="Funkcna poziadavka",VLOOKUP(G529,MODULY_CBA!$B$3:$E$23,3,0),),)</f>
        <v>0.99499999999999988</v>
      </c>
      <c r="N529" s="381">
        <f>IFERROR(IF(B529="funkcna poziadavka",VLOOKUP(G529,MODULY_CBA!$B$3:$E$23,2,0),),)</f>
        <v>0.99</v>
      </c>
      <c r="O529" s="380">
        <f t="shared" si="37"/>
        <v>4.9252499999999992</v>
      </c>
      <c r="P529" s="379">
        <f>IFERROR(O529*VLOOKUP(G529,MODULY_CBA!$B$3:$F$23,5,0),)</f>
        <v>98.504999999999981</v>
      </c>
      <c r="Q529" s="480" t="str">
        <f>IFERROR(VLOOKUP(G529,MODULY_CBA!$B$3:$I$23,6,0),"")</f>
        <v>Inkrement 1</v>
      </c>
    </row>
    <row r="530" spans="1:17" ht="25.5">
      <c r="A530" s="682" t="s">
        <v>2134</v>
      </c>
      <c r="B530" s="402" t="s">
        <v>749</v>
      </c>
      <c r="C530" s="532"/>
      <c r="D530" s="532" t="s">
        <v>2273</v>
      </c>
      <c r="E530" s="532" t="s">
        <v>2274</v>
      </c>
      <c r="F530" s="390" t="s">
        <v>806</v>
      </c>
      <c r="G530" s="390" t="s">
        <v>796</v>
      </c>
      <c r="H530" s="381">
        <v>1</v>
      </c>
      <c r="I530" s="381">
        <v>5</v>
      </c>
      <c r="K530" s="381">
        <f t="shared" si="36"/>
        <v>5</v>
      </c>
      <c r="L530" s="644">
        <f>IFERROR(IF(B530="funkcna poziadavka",VLOOKUP(G530,MODULY_CBA!$B$3:$E$23,4,0)*H530/SUMIFS($H$3:$H$168,$G$3:$G$168,G530,$B$3:$B$168,B530),),)</f>
        <v>0</v>
      </c>
      <c r="M530" s="381">
        <f>IFERROR(IF(B530="Funkcna poziadavka",VLOOKUP(G530,MODULY_CBA!$B$3:$E$23,3,0),),)</f>
        <v>0.99499999999999988</v>
      </c>
      <c r="N530" s="381">
        <f>IFERROR(IF(B530="funkcna poziadavka",VLOOKUP(G530,MODULY_CBA!$B$3:$E$23,2,0),),)</f>
        <v>0.99</v>
      </c>
      <c r="O530" s="380">
        <f t="shared" si="37"/>
        <v>4.9252499999999992</v>
      </c>
      <c r="P530" s="379">
        <f>IFERROR(O530*VLOOKUP(G530,MODULY_CBA!$B$3:$F$23,5,0),)</f>
        <v>98.504999999999981</v>
      </c>
      <c r="Q530" s="480" t="str">
        <f>IFERROR(VLOOKUP(G530,MODULY_CBA!$B$3:$I$23,6,0),"")</f>
        <v>Inkrement 1</v>
      </c>
    </row>
    <row r="531" spans="1:17" ht="38.25">
      <c r="A531" s="682" t="s">
        <v>2137</v>
      </c>
      <c r="B531" s="402" t="s">
        <v>749</v>
      </c>
      <c r="C531" s="532"/>
      <c r="D531" s="532" t="s">
        <v>2276</v>
      </c>
      <c r="E531" s="532" t="s">
        <v>2277</v>
      </c>
      <c r="F531" s="390" t="s">
        <v>806</v>
      </c>
      <c r="G531" s="390" t="s">
        <v>796</v>
      </c>
      <c r="H531" s="381">
        <v>1</v>
      </c>
      <c r="I531" s="381">
        <v>5</v>
      </c>
      <c r="K531" s="381">
        <f t="shared" si="36"/>
        <v>5</v>
      </c>
      <c r="L531" s="644">
        <f>IFERROR(IF(B531="funkcna poziadavka",VLOOKUP(G531,MODULY_CBA!$B$3:$E$23,4,0)*H531/SUMIFS($H$3:$H$168,$G$3:$G$168,G531,$B$3:$B$168,B531),),)</f>
        <v>0</v>
      </c>
      <c r="M531" s="381">
        <f>IFERROR(IF(B531="Funkcna poziadavka",VLOOKUP(G531,MODULY_CBA!$B$3:$E$23,3,0),),)</f>
        <v>0.99499999999999988</v>
      </c>
      <c r="N531" s="381">
        <f>IFERROR(IF(B531="funkcna poziadavka",VLOOKUP(G531,MODULY_CBA!$B$3:$E$23,2,0),),)</f>
        <v>0.99</v>
      </c>
      <c r="O531" s="380">
        <f t="shared" si="37"/>
        <v>4.9252499999999992</v>
      </c>
      <c r="P531" s="379">
        <f>IFERROR(O531*VLOOKUP(G531,MODULY_CBA!$B$3:$F$23,5,0),)</f>
        <v>98.504999999999981</v>
      </c>
      <c r="Q531" s="480" t="str">
        <f>IFERROR(VLOOKUP(G531,MODULY_CBA!$B$3:$I$23,6,0),"")</f>
        <v>Inkrement 1</v>
      </c>
    </row>
    <row r="532" spans="1:17" ht="25.5">
      <c r="A532" s="682" t="s">
        <v>2140</v>
      </c>
      <c r="B532" s="402" t="s">
        <v>749</v>
      </c>
      <c r="C532" s="532"/>
      <c r="D532" s="532" t="s">
        <v>2279</v>
      </c>
      <c r="E532" s="532" t="s">
        <v>2280</v>
      </c>
      <c r="F532" s="390" t="s">
        <v>806</v>
      </c>
      <c r="G532" s="390" t="s">
        <v>796</v>
      </c>
      <c r="H532" s="381">
        <v>1</v>
      </c>
      <c r="I532" s="381">
        <v>5</v>
      </c>
      <c r="K532" s="381">
        <f t="shared" si="36"/>
        <v>5</v>
      </c>
      <c r="L532" s="644">
        <f>IFERROR(IF(B532="funkcna poziadavka",VLOOKUP(G532,MODULY_CBA!$B$3:$E$23,4,0)*H532/SUMIFS($H$3:$H$168,$G$3:$G$168,G532,$B$3:$B$168,B532),),)</f>
        <v>0</v>
      </c>
      <c r="M532" s="381">
        <f>IFERROR(IF(B532="Funkcna poziadavka",VLOOKUP(G532,MODULY_CBA!$B$3:$E$23,3,0),),)</f>
        <v>0.99499999999999988</v>
      </c>
      <c r="N532" s="381">
        <f>IFERROR(IF(B532="funkcna poziadavka",VLOOKUP(G532,MODULY_CBA!$B$3:$E$23,2,0),),)</f>
        <v>0.99</v>
      </c>
      <c r="O532" s="380">
        <f t="shared" si="37"/>
        <v>4.9252499999999992</v>
      </c>
      <c r="P532" s="379">
        <f>IFERROR(O532*VLOOKUP(G532,MODULY_CBA!$B$3:$F$23,5,0),)</f>
        <v>98.504999999999981</v>
      </c>
      <c r="Q532" s="480" t="str">
        <f>IFERROR(VLOOKUP(G532,MODULY_CBA!$B$3:$I$23,6,0),"")</f>
        <v>Inkrement 1</v>
      </c>
    </row>
    <row r="533" spans="1:17" ht="25.5">
      <c r="A533" s="682" t="s">
        <v>2143</v>
      </c>
      <c r="B533" s="402" t="s">
        <v>749</v>
      </c>
      <c r="C533" s="532"/>
      <c r="D533" s="532" t="s">
        <v>2282</v>
      </c>
      <c r="E533" s="532" t="s">
        <v>2283</v>
      </c>
      <c r="F533" s="390" t="s">
        <v>806</v>
      </c>
      <c r="G533" s="390" t="s">
        <v>796</v>
      </c>
      <c r="H533" s="381">
        <v>1</v>
      </c>
      <c r="I533" s="381">
        <v>5</v>
      </c>
      <c r="K533" s="381">
        <f t="shared" si="36"/>
        <v>5</v>
      </c>
      <c r="L533" s="644">
        <f>IFERROR(IF(B533="funkcna poziadavka",VLOOKUP(G533,MODULY_CBA!$B$3:$E$23,4,0)*H533/SUMIFS($H$3:$H$168,$G$3:$G$168,G533,$B$3:$B$168,B533),),)</f>
        <v>0</v>
      </c>
      <c r="M533" s="381">
        <f>IFERROR(IF(B533="Funkcna poziadavka",VLOOKUP(G533,MODULY_CBA!$B$3:$E$23,3,0),),)</f>
        <v>0.99499999999999988</v>
      </c>
      <c r="N533" s="381">
        <f>IFERROR(IF(B533="funkcna poziadavka",VLOOKUP(G533,MODULY_CBA!$B$3:$E$23,2,0),),)</f>
        <v>0.99</v>
      </c>
      <c r="O533" s="380">
        <f t="shared" si="37"/>
        <v>4.9252499999999992</v>
      </c>
      <c r="P533" s="379">
        <f>IFERROR(O533*VLOOKUP(G533,MODULY_CBA!$B$3:$F$23,5,0),)</f>
        <v>98.504999999999981</v>
      </c>
      <c r="Q533" s="480" t="str">
        <f>IFERROR(VLOOKUP(G533,MODULY_CBA!$B$3:$I$23,6,0),"")</f>
        <v>Inkrement 1</v>
      </c>
    </row>
    <row r="534" spans="1:17">
      <c r="A534" s="682" t="s">
        <v>2146</v>
      </c>
      <c r="B534" s="402" t="s">
        <v>749</v>
      </c>
      <c r="C534" s="532"/>
      <c r="D534" s="532" t="s">
        <v>2285</v>
      </c>
      <c r="E534" s="532" t="s">
        <v>2286</v>
      </c>
      <c r="F534" s="390" t="s">
        <v>806</v>
      </c>
      <c r="G534" s="390" t="s">
        <v>796</v>
      </c>
      <c r="H534" s="381">
        <v>1</v>
      </c>
      <c r="I534" s="381">
        <v>5</v>
      </c>
      <c r="K534" s="381">
        <f t="shared" si="36"/>
        <v>5</v>
      </c>
      <c r="L534" s="644">
        <f>IFERROR(IF(B534="funkcna poziadavka",VLOOKUP(G534,MODULY_CBA!$B$3:$E$23,4,0)*H534/SUMIFS($H$3:$H$168,$G$3:$G$168,G534,$B$3:$B$168,B534),),)</f>
        <v>0</v>
      </c>
      <c r="M534" s="381">
        <f>IFERROR(IF(B534="Funkcna poziadavka",VLOOKUP(G534,MODULY_CBA!$B$3:$E$23,3,0),),)</f>
        <v>0.99499999999999988</v>
      </c>
      <c r="N534" s="381">
        <f>IFERROR(IF(B534="funkcna poziadavka",VLOOKUP(G534,MODULY_CBA!$B$3:$E$23,2,0),),)</f>
        <v>0.99</v>
      </c>
      <c r="O534" s="380">
        <f t="shared" si="37"/>
        <v>4.9252499999999992</v>
      </c>
      <c r="P534" s="379">
        <f>IFERROR(O534*VLOOKUP(G534,MODULY_CBA!$B$3:$F$23,5,0),)</f>
        <v>98.504999999999981</v>
      </c>
      <c r="Q534" s="480" t="str">
        <f>IFERROR(VLOOKUP(G534,MODULY_CBA!$B$3:$I$23,6,0),"")</f>
        <v>Inkrement 1</v>
      </c>
    </row>
    <row r="535" spans="1:17" ht="25.5">
      <c r="A535" s="682" t="s">
        <v>2149</v>
      </c>
      <c r="B535" s="402" t="s">
        <v>749</v>
      </c>
      <c r="C535" s="532"/>
      <c r="D535" s="532" t="s">
        <v>2288</v>
      </c>
      <c r="E535" s="532" t="s">
        <v>2289</v>
      </c>
      <c r="F535" s="390" t="s">
        <v>806</v>
      </c>
      <c r="G535" s="390" t="s">
        <v>796</v>
      </c>
      <c r="H535" s="381">
        <v>1</v>
      </c>
      <c r="I535" s="381">
        <v>10</v>
      </c>
      <c r="K535" s="381">
        <f t="shared" si="36"/>
        <v>10</v>
      </c>
      <c r="L535" s="644">
        <f>IFERROR(IF(B535="funkcna poziadavka",VLOOKUP(G535,MODULY_CBA!$B$3:$E$23,4,0)*H535/SUMIFS($H$3:$H$168,$G$3:$G$168,G535,$B$3:$B$168,B535),),)</f>
        <v>0</v>
      </c>
      <c r="M535" s="381">
        <f>IFERROR(IF(B535="Funkcna poziadavka",VLOOKUP(G535,MODULY_CBA!$B$3:$E$23,3,0),),)</f>
        <v>0.99499999999999988</v>
      </c>
      <c r="N535" s="381">
        <f>IFERROR(IF(B535="funkcna poziadavka",VLOOKUP(G535,MODULY_CBA!$B$3:$E$23,2,0),),)</f>
        <v>0.99</v>
      </c>
      <c r="O535" s="380">
        <f t="shared" si="37"/>
        <v>9.8504999999999985</v>
      </c>
      <c r="P535" s="379">
        <f>IFERROR(O535*VLOOKUP(G535,MODULY_CBA!$B$3:$F$23,5,0),)</f>
        <v>197.00999999999996</v>
      </c>
      <c r="Q535" s="480" t="str">
        <f>IFERROR(VLOOKUP(G535,MODULY_CBA!$B$3:$I$23,6,0),"")</f>
        <v>Inkrement 1</v>
      </c>
    </row>
    <row r="536" spans="1:17" ht="51">
      <c r="A536" s="682" t="s">
        <v>2152</v>
      </c>
      <c r="B536" s="402" t="s">
        <v>749</v>
      </c>
      <c r="C536" s="532"/>
      <c r="D536" s="532" t="s">
        <v>2291</v>
      </c>
      <c r="E536" s="532" t="s">
        <v>2292</v>
      </c>
      <c r="F536" s="390" t="s">
        <v>806</v>
      </c>
      <c r="G536" s="390" t="s">
        <v>796</v>
      </c>
      <c r="H536" s="381">
        <v>1</v>
      </c>
      <c r="I536" s="381">
        <v>10</v>
      </c>
      <c r="K536" s="381">
        <f t="shared" si="36"/>
        <v>10</v>
      </c>
      <c r="L536" s="644">
        <f>IFERROR(IF(B536="funkcna poziadavka",VLOOKUP(G536,MODULY_CBA!$B$3:$E$23,4,0)*H536/SUMIFS($H$3:$H$168,$G$3:$G$168,G536,$B$3:$B$168,B536),),)</f>
        <v>0</v>
      </c>
      <c r="M536" s="381">
        <f>IFERROR(IF(B536="Funkcna poziadavka",VLOOKUP(G536,MODULY_CBA!$B$3:$E$23,3,0),),)</f>
        <v>0.99499999999999988</v>
      </c>
      <c r="N536" s="381">
        <f>IFERROR(IF(B536="funkcna poziadavka",VLOOKUP(G536,MODULY_CBA!$B$3:$E$23,2,0),),)</f>
        <v>0.99</v>
      </c>
      <c r="O536" s="380">
        <f t="shared" si="37"/>
        <v>9.8504999999999985</v>
      </c>
      <c r="P536" s="379">
        <f>IFERROR(O536*VLOOKUP(G536,MODULY_CBA!$B$3:$F$23,5,0),)</f>
        <v>197.00999999999996</v>
      </c>
      <c r="Q536" s="480" t="str">
        <f>IFERROR(VLOOKUP(G536,MODULY_CBA!$B$3:$I$23,6,0),"")</f>
        <v>Inkrement 1</v>
      </c>
    </row>
    <row r="537" spans="1:17" ht="38.25">
      <c r="A537" s="682" t="s">
        <v>2155</v>
      </c>
      <c r="B537" s="402" t="s">
        <v>749</v>
      </c>
      <c r="C537" s="532"/>
      <c r="D537" s="532" t="s">
        <v>2294</v>
      </c>
      <c r="E537" s="532" t="s">
        <v>2295</v>
      </c>
      <c r="F537" s="390" t="s">
        <v>806</v>
      </c>
      <c r="G537" s="390" t="s">
        <v>796</v>
      </c>
      <c r="H537" s="381">
        <v>1</v>
      </c>
      <c r="I537" s="381">
        <v>5</v>
      </c>
      <c r="K537" s="381">
        <f t="shared" si="36"/>
        <v>5</v>
      </c>
      <c r="L537" s="644">
        <f>IFERROR(IF(B537="funkcna poziadavka",VLOOKUP(G537,MODULY_CBA!$B$3:$E$23,4,0)*H537/SUMIFS($H$3:$H$168,$G$3:$G$168,G537,$B$3:$B$168,B537),),)</f>
        <v>0</v>
      </c>
      <c r="M537" s="381">
        <f>IFERROR(IF(B537="Funkcna poziadavka",VLOOKUP(G537,MODULY_CBA!$B$3:$E$23,3,0),),)</f>
        <v>0.99499999999999988</v>
      </c>
      <c r="N537" s="381">
        <f>IFERROR(IF(B537="funkcna poziadavka",VLOOKUP(G537,MODULY_CBA!$B$3:$E$23,2,0),),)</f>
        <v>0.99</v>
      </c>
      <c r="O537" s="380">
        <f t="shared" si="37"/>
        <v>4.9252499999999992</v>
      </c>
      <c r="P537" s="379">
        <f>IFERROR(O537*VLOOKUP(G537,MODULY_CBA!$B$3:$F$23,5,0),)</f>
        <v>98.504999999999981</v>
      </c>
      <c r="Q537" s="480" t="str">
        <f>IFERROR(VLOOKUP(G537,MODULY_CBA!$B$3:$I$23,6,0),"")</f>
        <v>Inkrement 1</v>
      </c>
    </row>
    <row r="538" spans="1:17" ht="38.25">
      <c r="A538" s="682" t="s">
        <v>2158</v>
      </c>
      <c r="B538" s="402" t="s">
        <v>749</v>
      </c>
      <c r="C538" s="532"/>
      <c r="D538" s="532" t="s">
        <v>2297</v>
      </c>
      <c r="E538" s="532" t="s">
        <v>2298</v>
      </c>
      <c r="F538" s="390" t="s">
        <v>806</v>
      </c>
      <c r="G538" s="390" t="s">
        <v>796</v>
      </c>
      <c r="H538" s="381">
        <v>1</v>
      </c>
      <c r="I538" s="381">
        <v>5</v>
      </c>
      <c r="K538" s="381">
        <f t="shared" si="36"/>
        <v>5</v>
      </c>
      <c r="L538" s="644">
        <f>IFERROR(IF(B538="funkcna poziadavka",VLOOKUP(G538,MODULY_CBA!$B$3:$E$23,4,0)*H538/SUMIFS($H$3:$H$168,$G$3:$G$168,G538,$B$3:$B$168,B538),),)</f>
        <v>0</v>
      </c>
      <c r="M538" s="381">
        <f>IFERROR(IF(B538="Funkcna poziadavka",VLOOKUP(G538,MODULY_CBA!$B$3:$E$23,3,0),),)</f>
        <v>0.99499999999999988</v>
      </c>
      <c r="N538" s="381">
        <f>IFERROR(IF(B538="funkcna poziadavka",VLOOKUP(G538,MODULY_CBA!$B$3:$E$23,2,0),),)</f>
        <v>0.99</v>
      </c>
      <c r="O538" s="380">
        <f t="shared" si="37"/>
        <v>4.9252499999999992</v>
      </c>
      <c r="P538" s="379">
        <f>IFERROR(O538*VLOOKUP(G538,MODULY_CBA!$B$3:$F$23,5,0),)</f>
        <v>98.504999999999981</v>
      </c>
      <c r="Q538" s="480" t="str">
        <f>IFERROR(VLOOKUP(G538,MODULY_CBA!$B$3:$I$23,6,0),"")</f>
        <v>Inkrement 1</v>
      </c>
    </row>
    <row r="539" spans="1:17" ht="25.5">
      <c r="A539" s="682" t="s">
        <v>2161</v>
      </c>
      <c r="B539" s="402" t="s">
        <v>749</v>
      </c>
      <c r="C539" s="532"/>
      <c r="D539" s="532" t="s">
        <v>2300</v>
      </c>
      <c r="E539" s="532" t="s">
        <v>2301</v>
      </c>
      <c r="F539" s="390" t="s">
        <v>806</v>
      </c>
      <c r="G539" s="390" t="s">
        <v>800</v>
      </c>
      <c r="H539" s="381">
        <v>1</v>
      </c>
      <c r="I539" s="381">
        <v>5</v>
      </c>
      <c r="K539" s="381">
        <f t="shared" si="36"/>
        <v>5</v>
      </c>
      <c r="L539" s="644">
        <f>IFERROR(IF(B539="funkcna poziadavka",VLOOKUP(G539,MODULY_CBA!$B$3:$E$23,4,0)*H539/SUMIFS($H$3:$H$168,$G$3:$G$168,G539,$B$3:$B$168,B539),),)</f>
        <v>6</v>
      </c>
      <c r="M539" s="381">
        <f>IFERROR(IF(B539="Funkcna poziadavka",VLOOKUP(G539,MODULY_CBA!$B$3:$E$23,3,0),),)</f>
        <v>0.99499999999999988</v>
      </c>
      <c r="N539" s="381">
        <f>IFERROR(IF(B539="funkcna poziadavka",VLOOKUP(G539,MODULY_CBA!$B$3:$E$23,2,0),),)</f>
        <v>0.99</v>
      </c>
      <c r="O539" s="380">
        <f t="shared" si="37"/>
        <v>10.835549999999998</v>
      </c>
      <c r="P539" s="379">
        <f>IFERROR(O539*VLOOKUP(G539,MODULY_CBA!$B$3:$F$23,5,0),)</f>
        <v>162.53324999999995</v>
      </c>
      <c r="Q539" s="480" t="str">
        <f>IFERROR(VLOOKUP(G539,MODULY_CBA!$B$3:$I$23,6,0),"")</f>
        <v>Inkrement 1</v>
      </c>
    </row>
    <row r="540" spans="1:17" ht="25.5">
      <c r="A540" s="682" t="s">
        <v>2164</v>
      </c>
      <c r="B540" s="402" t="s">
        <v>749</v>
      </c>
      <c r="C540" s="532"/>
      <c r="D540" s="532" t="s">
        <v>2303</v>
      </c>
      <c r="E540" s="532" t="s">
        <v>2304</v>
      </c>
      <c r="F540" s="390" t="s">
        <v>806</v>
      </c>
      <c r="G540" s="390" t="s">
        <v>800</v>
      </c>
      <c r="H540" s="381">
        <v>1</v>
      </c>
      <c r="I540" s="381">
        <v>5</v>
      </c>
      <c r="K540" s="381">
        <f t="shared" si="36"/>
        <v>5</v>
      </c>
      <c r="L540" s="644">
        <f>IFERROR(IF(B540="funkcna poziadavka",VLOOKUP(G540,MODULY_CBA!$B$3:$E$23,4,0)*H540/SUMIFS($H$3:$H$168,$G$3:$G$168,G540,$B$3:$B$168,B540),),)</f>
        <v>6</v>
      </c>
      <c r="M540" s="381">
        <f>IFERROR(IF(B540="Funkcna poziadavka",VLOOKUP(G540,MODULY_CBA!$B$3:$E$23,3,0),),)</f>
        <v>0.99499999999999988</v>
      </c>
      <c r="N540" s="381">
        <f>IFERROR(IF(B540="funkcna poziadavka",VLOOKUP(G540,MODULY_CBA!$B$3:$E$23,2,0),),)</f>
        <v>0.99</v>
      </c>
      <c r="O540" s="380">
        <f t="shared" si="37"/>
        <v>10.835549999999998</v>
      </c>
      <c r="P540" s="379">
        <f>IFERROR(O540*VLOOKUP(G540,MODULY_CBA!$B$3:$F$23,5,0),)</f>
        <v>162.53324999999995</v>
      </c>
      <c r="Q540" s="480" t="str">
        <f>IFERROR(VLOOKUP(G540,MODULY_CBA!$B$3:$I$23,6,0),"")</f>
        <v>Inkrement 1</v>
      </c>
    </row>
    <row r="541" spans="1:17" ht="25.5">
      <c r="A541" s="682" t="s">
        <v>2167</v>
      </c>
      <c r="B541" s="402" t="s">
        <v>749</v>
      </c>
      <c r="C541" s="532"/>
      <c r="D541" s="532" t="s">
        <v>2306</v>
      </c>
      <c r="E541" s="532" t="s">
        <v>2307</v>
      </c>
      <c r="F541" s="390" t="s">
        <v>806</v>
      </c>
      <c r="G541" s="390" t="s">
        <v>800</v>
      </c>
      <c r="H541" s="381">
        <v>1</v>
      </c>
      <c r="I541" s="381">
        <v>5</v>
      </c>
      <c r="K541" s="381">
        <f t="shared" si="36"/>
        <v>5</v>
      </c>
      <c r="L541" s="644">
        <f>IFERROR(IF(B541="funkcna poziadavka",VLOOKUP(G541,MODULY_CBA!$B$3:$E$23,4,0)*H541/SUMIFS($H$3:$H$168,$G$3:$G$168,G541,$B$3:$B$168,B541),),)</f>
        <v>6</v>
      </c>
      <c r="M541" s="381">
        <f>IFERROR(IF(B541="Funkcna poziadavka",VLOOKUP(G541,MODULY_CBA!$B$3:$E$23,3,0),),)</f>
        <v>0.99499999999999988</v>
      </c>
      <c r="N541" s="381">
        <f>IFERROR(IF(B541="funkcna poziadavka",VLOOKUP(G541,MODULY_CBA!$B$3:$E$23,2,0),),)</f>
        <v>0.99</v>
      </c>
      <c r="O541" s="380">
        <f t="shared" si="37"/>
        <v>10.835549999999998</v>
      </c>
      <c r="P541" s="379">
        <f>IFERROR(O541*VLOOKUP(G541,MODULY_CBA!$B$3:$F$23,5,0),)</f>
        <v>162.53324999999995</v>
      </c>
      <c r="Q541" s="480" t="str">
        <f>IFERROR(VLOOKUP(G541,MODULY_CBA!$B$3:$I$23,6,0),"")</f>
        <v>Inkrement 1</v>
      </c>
    </row>
    <row r="542" spans="1:17" ht="25.5">
      <c r="A542" s="682" t="s">
        <v>2170</v>
      </c>
      <c r="B542" s="402" t="s">
        <v>749</v>
      </c>
      <c r="C542" s="532"/>
      <c r="D542" s="532" t="s">
        <v>2309</v>
      </c>
      <c r="E542" s="532" t="s">
        <v>2310</v>
      </c>
      <c r="F542" s="390" t="s">
        <v>806</v>
      </c>
      <c r="G542" s="390" t="s">
        <v>800</v>
      </c>
      <c r="H542" s="381">
        <v>1</v>
      </c>
      <c r="I542" s="381">
        <v>5</v>
      </c>
      <c r="K542" s="381">
        <f t="shared" si="36"/>
        <v>5</v>
      </c>
      <c r="L542" s="644">
        <f>IFERROR(IF(B542="funkcna poziadavka",VLOOKUP(G542,MODULY_CBA!$B$3:$E$23,4,0)*H542/SUMIFS($H$3:$H$168,$G$3:$G$168,G542,$B$3:$B$168,B542),),)</f>
        <v>6</v>
      </c>
      <c r="M542" s="381">
        <f>IFERROR(IF(B542="Funkcna poziadavka",VLOOKUP(G542,MODULY_CBA!$B$3:$E$23,3,0),),)</f>
        <v>0.99499999999999988</v>
      </c>
      <c r="N542" s="381">
        <f>IFERROR(IF(B542="funkcna poziadavka",VLOOKUP(G542,MODULY_CBA!$B$3:$E$23,2,0),),)</f>
        <v>0.99</v>
      </c>
      <c r="O542" s="380">
        <f t="shared" si="37"/>
        <v>10.835549999999998</v>
      </c>
      <c r="P542" s="379">
        <f>IFERROR(O542*VLOOKUP(G542,MODULY_CBA!$B$3:$F$23,5,0),)</f>
        <v>162.53324999999995</v>
      </c>
      <c r="Q542" s="480" t="str">
        <f>IFERROR(VLOOKUP(G542,MODULY_CBA!$B$3:$I$23,6,0),"")</f>
        <v>Inkrement 1</v>
      </c>
    </row>
    <row r="543" spans="1:17">
      <c r="A543" s="682" t="s">
        <v>2173</v>
      </c>
      <c r="B543" s="402" t="s">
        <v>749</v>
      </c>
      <c r="C543" s="532"/>
      <c r="D543" s="532" t="s">
        <v>2312</v>
      </c>
      <c r="E543" s="532" t="s">
        <v>2313</v>
      </c>
      <c r="F543" s="390" t="s">
        <v>806</v>
      </c>
      <c r="G543" s="390" t="s">
        <v>800</v>
      </c>
      <c r="H543" s="381">
        <v>1</v>
      </c>
      <c r="I543" s="381">
        <v>5</v>
      </c>
      <c r="K543" s="381">
        <f t="shared" si="36"/>
        <v>5</v>
      </c>
      <c r="L543" s="644">
        <f>IFERROR(IF(B543="funkcna poziadavka",VLOOKUP(G543,MODULY_CBA!$B$3:$E$23,4,0)*H543/SUMIFS($H$3:$H$168,$G$3:$G$168,G543,$B$3:$B$168,B543),),)</f>
        <v>6</v>
      </c>
      <c r="M543" s="381">
        <f>IFERROR(IF(B543="Funkcna poziadavka",VLOOKUP(G543,MODULY_CBA!$B$3:$E$23,3,0),),)</f>
        <v>0.99499999999999988</v>
      </c>
      <c r="N543" s="381">
        <f>IFERROR(IF(B543="funkcna poziadavka",VLOOKUP(G543,MODULY_CBA!$B$3:$E$23,2,0),),)</f>
        <v>0.99</v>
      </c>
      <c r="O543" s="380">
        <f t="shared" si="37"/>
        <v>10.835549999999998</v>
      </c>
      <c r="P543" s="379">
        <f>IFERROR(O543*VLOOKUP(G543,MODULY_CBA!$B$3:$F$23,5,0),)</f>
        <v>162.53324999999995</v>
      </c>
      <c r="Q543" s="480" t="str">
        <f>IFERROR(VLOOKUP(G543,MODULY_CBA!$B$3:$I$23,6,0),"")</f>
        <v>Inkrement 1</v>
      </c>
    </row>
    <row r="544" spans="1:17">
      <c r="A544" s="682" t="s">
        <v>2176</v>
      </c>
      <c r="B544" s="402" t="s">
        <v>749</v>
      </c>
      <c r="C544" s="532"/>
      <c r="D544" s="532" t="s">
        <v>2315</v>
      </c>
      <c r="E544" s="532" t="s">
        <v>2316</v>
      </c>
      <c r="F544" s="390" t="s">
        <v>806</v>
      </c>
      <c r="G544" s="390" t="s">
        <v>800</v>
      </c>
      <c r="H544" s="381">
        <v>1</v>
      </c>
      <c r="I544" s="381">
        <v>5</v>
      </c>
      <c r="K544" s="381">
        <f t="shared" si="36"/>
        <v>5</v>
      </c>
      <c r="L544" s="644">
        <f>IFERROR(IF(B544="funkcna poziadavka",VLOOKUP(G544,MODULY_CBA!$B$3:$E$23,4,0)*H544/SUMIFS($H$3:$H$168,$G$3:$G$168,G544,$B$3:$B$168,B544),),)</f>
        <v>6</v>
      </c>
      <c r="M544" s="381">
        <f>IFERROR(IF(B544="Funkcna poziadavka",VLOOKUP(G544,MODULY_CBA!$B$3:$E$23,3,0),),)</f>
        <v>0.99499999999999988</v>
      </c>
      <c r="N544" s="381">
        <f>IFERROR(IF(B544="funkcna poziadavka",VLOOKUP(G544,MODULY_CBA!$B$3:$E$23,2,0),),)</f>
        <v>0.99</v>
      </c>
      <c r="O544" s="380">
        <f t="shared" si="37"/>
        <v>10.835549999999998</v>
      </c>
      <c r="P544" s="379">
        <f>IFERROR(O544*VLOOKUP(G544,MODULY_CBA!$B$3:$F$23,5,0),)</f>
        <v>162.53324999999995</v>
      </c>
      <c r="Q544" s="480" t="str">
        <f>IFERROR(VLOOKUP(G544,MODULY_CBA!$B$3:$I$23,6,0),"")</f>
        <v>Inkrement 1</v>
      </c>
    </row>
    <row r="545" spans="1:17" ht="25.5">
      <c r="A545" s="682" t="s">
        <v>2179</v>
      </c>
      <c r="B545" s="402" t="s">
        <v>749</v>
      </c>
      <c r="C545" s="532"/>
      <c r="D545" s="532" t="s">
        <v>2318</v>
      </c>
      <c r="E545" s="532" t="s">
        <v>2319</v>
      </c>
      <c r="F545" s="390" t="s">
        <v>806</v>
      </c>
      <c r="G545" s="390" t="s">
        <v>800</v>
      </c>
      <c r="H545" s="381">
        <v>1</v>
      </c>
      <c r="I545" s="381">
        <v>10</v>
      </c>
      <c r="K545" s="381">
        <f t="shared" si="36"/>
        <v>10</v>
      </c>
      <c r="L545" s="644">
        <f>IFERROR(IF(B545="funkcna poziadavka",VLOOKUP(G545,MODULY_CBA!$B$3:$E$23,4,0)*H545/SUMIFS($H$3:$H$168,$G$3:$G$168,G545,$B$3:$B$168,B545),),)</f>
        <v>6</v>
      </c>
      <c r="M545" s="381">
        <f>IFERROR(IF(B545="Funkcna poziadavka",VLOOKUP(G545,MODULY_CBA!$B$3:$E$23,3,0),),)</f>
        <v>0.99499999999999988</v>
      </c>
      <c r="N545" s="381">
        <f>IFERROR(IF(B545="funkcna poziadavka",VLOOKUP(G545,MODULY_CBA!$B$3:$E$23,2,0),),)</f>
        <v>0.99</v>
      </c>
      <c r="O545" s="380">
        <f t="shared" si="37"/>
        <v>15.760799999999998</v>
      </c>
      <c r="P545" s="379">
        <f>IFERROR(O545*VLOOKUP(G545,MODULY_CBA!$B$3:$F$23,5,0),)</f>
        <v>236.41199999999998</v>
      </c>
      <c r="Q545" s="480" t="str">
        <f>IFERROR(VLOOKUP(G545,MODULY_CBA!$B$3:$I$23,6,0),"")</f>
        <v>Inkrement 1</v>
      </c>
    </row>
    <row r="546" spans="1:17">
      <c r="A546" s="682" t="s">
        <v>2182</v>
      </c>
      <c r="B546" s="402" t="s">
        <v>749</v>
      </c>
      <c r="C546" s="532"/>
      <c r="D546" s="532" t="s">
        <v>2321</v>
      </c>
      <c r="E546" s="532" t="s">
        <v>2322</v>
      </c>
      <c r="F546" s="390" t="s">
        <v>806</v>
      </c>
      <c r="G546" s="390" t="s">
        <v>800</v>
      </c>
      <c r="H546" s="381">
        <v>1</v>
      </c>
      <c r="I546" s="381">
        <v>5</v>
      </c>
      <c r="K546" s="381">
        <f t="shared" si="36"/>
        <v>5</v>
      </c>
      <c r="L546" s="644">
        <f>IFERROR(IF(B546="funkcna poziadavka",VLOOKUP(G546,MODULY_CBA!$B$3:$E$23,4,0)*H546/SUMIFS($H$3:$H$168,$G$3:$G$168,G546,$B$3:$B$168,B546),),)</f>
        <v>6</v>
      </c>
      <c r="M546" s="381">
        <f>IFERROR(IF(B546="Funkcna poziadavka",VLOOKUP(G546,MODULY_CBA!$B$3:$E$23,3,0),),)</f>
        <v>0.99499999999999988</v>
      </c>
      <c r="N546" s="381">
        <f>IFERROR(IF(B546="funkcna poziadavka",VLOOKUP(G546,MODULY_CBA!$B$3:$E$23,2,0),),)</f>
        <v>0.99</v>
      </c>
      <c r="O546" s="380">
        <f t="shared" si="37"/>
        <v>10.835549999999998</v>
      </c>
      <c r="P546" s="379">
        <f>IFERROR(O546*VLOOKUP(G546,MODULY_CBA!$B$3:$F$23,5,0),)</f>
        <v>162.53324999999995</v>
      </c>
      <c r="Q546" s="480" t="str">
        <f>IFERROR(VLOOKUP(G546,MODULY_CBA!$B$3:$I$23,6,0),"")</f>
        <v>Inkrement 1</v>
      </c>
    </row>
    <row r="547" spans="1:17" ht="38.25">
      <c r="A547" s="682" t="s">
        <v>2185</v>
      </c>
      <c r="B547" s="402" t="s">
        <v>749</v>
      </c>
      <c r="C547" s="532"/>
      <c r="D547" s="532" t="s">
        <v>2324</v>
      </c>
      <c r="E547" s="532" t="s">
        <v>2325</v>
      </c>
      <c r="F547" s="390" t="s">
        <v>806</v>
      </c>
      <c r="G547" s="390" t="s">
        <v>800</v>
      </c>
      <c r="H547" s="381">
        <v>1</v>
      </c>
      <c r="I547" s="381">
        <v>10</v>
      </c>
      <c r="K547" s="381">
        <f t="shared" si="36"/>
        <v>10</v>
      </c>
      <c r="L547" s="644">
        <f>IFERROR(IF(B547="funkcna poziadavka",VLOOKUP(G547,MODULY_CBA!$B$3:$E$23,4,0)*H547/SUMIFS($H$3:$H$168,$G$3:$G$168,G547,$B$3:$B$168,B547),),)</f>
        <v>6</v>
      </c>
      <c r="M547" s="381">
        <f>IFERROR(IF(B547="Funkcna poziadavka",VLOOKUP(G547,MODULY_CBA!$B$3:$E$23,3,0),),)</f>
        <v>0.99499999999999988</v>
      </c>
      <c r="N547" s="381">
        <f>IFERROR(IF(B547="funkcna poziadavka",VLOOKUP(G547,MODULY_CBA!$B$3:$E$23,2,0),),)</f>
        <v>0.99</v>
      </c>
      <c r="O547" s="380">
        <f t="shared" si="37"/>
        <v>15.760799999999998</v>
      </c>
      <c r="P547" s="379">
        <f>IFERROR(O547*VLOOKUP(G547,MODULY_CBA!$B$3:$F$23,5,0),)</f>
        <v>236.41199999999998</v>
      </c>
      <c r="Q547" s="480" t="str">
        <f>IFERROR(VLOOKUP(G547,MODULY_CBA!$B$3:$I$23,6,0),"")</f>
        <v>Inkrement 1</v>
      </c>
    </row>
    <row r="548" spans="1:17">
      <c r="A548" s="682" t="s">
        <v>2188</v>
      </c>
      <c r="B548" s="402" t="s">
        <v>749</v>
      </c>
      <c r="C548" s="532"/>
      <c r="D548" s="532" t="s">
        <v>2327</v>
      </c>
      <c r="E548" s="532" t="s">
        <v>2328</v>
      </c>
      <c r="F548" s="390" t="s">
        <v>806</v>
      </c>
      <c r="G548" s="390" t="s">
        <v>800</v>
      </c>
      <c r="H548" s="381">
        <v>1</v>
      </c>
      <c r="I548" s="381">
        <v>5</v>
      </c>
      <c r="K548" s="381">
        <f t="shared" si="36"/>
        <v>5</v>
      </c>
      <c r="L548" s="644">
        <f>IFERROR(IF(B548="funkcna poziadavka",VLOOKUP(G548,MODULY_CBA!$B$3:$E$23,4,0)*H548/SUMIFS($H$3:$H$168,$G$3:$G$168,G548,$B$3:$B$168,B548),),)</f>
        <v>6</v>
      </c>
      <c r="M548" s="381">
        <f>IFERROR(IF(B548="Funkcna poziadavka",VLOOKUP(G548,MODULY_CBA!$B$3:$E$23,3,0),),)</f>
        <v>0.99499999999999988</v>
      </c>
      <c r="N548" s="381">
        <f>IFERROR(IF(B548="funkcna poziadavka",VLOOKUP(G548,MODULY_CBA!$B$3:$E$23,2,0),),)</f>
        <v>0.99</v>
      </c>
      <c r="O548" s="380">
        <f t="shared" si="37"/>
        <v>10.835549999999998</v>
      </c>
      <c r="P548" s="379">
        <f>IFERROR(O548*VLOOKUP(G548,MODULY_CBA!$B$3:$F$23,5,0),)</f>
        <v>162.53324999999995</v>
      </c>
      <c r="Q548" s="480" t="str">
        <f>IFERROR(VLOOKUP(G548,MODULY_CBA!$B$3:$I$23,6,0),"")</f>
        <v>Inkrement 1</v>
      </c>
    </row>
    <row r="549" spans="1:17">
      <c r="A549" s="682" t="s">
        <v>2191</v>
      </c>
      <c r="B549" s="402" t="s">
        <v>749</v>
      </c>
      <c r="C549" s="532"/>
      <c r="D549" s="532" t="s">
        <v>2330</v>
      </c>
      <c r="E549" s="532" t="s">
        <v>2331</v>
      </c>
      <c r="F549" s="390" t="s">
        <v>806</v>
      </c>
      <c r="G549" s="390" t="s">
        <v>800</v>
      </c>
      <c r="H549" s="381">
        <v>1</v>
      </c>
      <c r="I549" s="381">
        <v>10</v>
      </c>
      <c r="K549" s="381">
        <f t="shared" si="36"/>
        <v>10</v>
      </c>
      <c r="L549" s="644">
        <f>IFERROR(IF(B549="funkcna poziadavka",VLOOKUP(G549,MODULY_CBA!$B$3:$E$23,4,0)*H549/SUMIFS($H$3:$H$168,$G$3:$G$168,G549,$B$3:$B$168,B549),),)</f>
        <v>6</v>
      </c>
      <c r="M549" s="381">
        <f>IFERROR(IF(B549="Funkcna poziadavka",VLOOKUP(G549,MODULY_CBA!$B$3:$E$23,3,0),),)</f>
        <v>0.99499999999999988</v>
      </c>
      <c r="N549" s="381">
        <f>IFERROR(IF(B549="funkcna poziadavka",VLOOKUP(G549,MODULY_CBA!$B$3:$E$23,2,0),),)</f>
        <v>0.99</v>
      </c>
      <c r="O549" s="380">
        <f t="shared" si="37"/>
        <v>15.760799999999998</v>
      </c>
      <c r="P549" s="379">
        <f>IFERROR(O549*VLOOKUP(G549,MODULY_CBA!$B$3:$F$23,5,0),)</f>
        <v>236.41199999999998</v>
      </c>
      <c r="Q549" s="480" t="str">
        <f>IFERROR(VLOOKUP(G549,MODULY_CBA!$B$3:$I$23,6,0),"")</f>
        <v>Inkrement 1</v>
      </c>
    </row>
    <row r="550" spans="1:17" ht="25.5">
      <c r="A550" s="682" t="s">
        <v>2194</v>
      </c>
      <c r="B550" s="402" t="s">
        <v>749</v>
      </c>
      <c r="C550" s="532"/>
      <c r="D550" s="532" t="s">
        <v>2333</v>
      </c>
      <c r="E550" s="532" t="s">
        <v>2334</v>
      </c>
      <c r="F550" s="390" t="s">
        <v>806</v>
      </c>
      <c r="G550" s="390" t="s">
        <v>797</v>
      </c>
      <c r="H550" s="381">
        <v>1</v>
      </c>
      <c r="I550" s="381">
        <v>5</v>
      </c>
      <c r="K550" s="381">
        <f t="shared" si="36"/>
        <v>5</v>
      </c>
      <c r="L550" s="644">
        <f>IFERROR(IF(B550="funkcna poziadavka",VLOOKUP(G550,MODULY_CBA!$B$3:$E$23,4,0)*H550/SUMIFS($H$3:$H$168,$G$3:$G$168,G550,$B$3:$B$168,B550),),)</f>
        <v>0</v>
      </c>
      <c r="M550" s="381">
        <f>IFERROR(IF(B550="Funkcna poziadavka",VLOOKUP(G550,MODULY_CBA!$B$3:$E$23,3,0),),)</f>
        <v>0.99499999999999988</v>
      </c>
      <c r="N550" s="381">
        <f>IFERROR(IF(B550="funkcna poziadavka",VLOOKUP(G550,MODULY_CBA!$B$3:$E$23,2,0),),)</f>
        <v>0.99</v>
      </c>
      <c r="O550" s="380">
        <f t="shared" si="37"/>
        <v>4.9252499999999992</v>
      </c>
      <c r="P550" s="379">
        <f>IFERROR(O550*VLOOKUP(G550,MODULY_CBA!$B$3:$F$23,5,0),)</f>
        <v>98.504999999999981</v>
      </c>
      <c r="Q550" s="480" t="str">
        <f>IFERROR(VLOOKUP(G550,MODULY_CBA!$B$3:$I$23,6,0),"")</f>
        <v>Inkrement 1</v>
      </c>
    </row>
    <row r="551" spans="1:17" ht="25.5">
      <c r="A551" s="682" t="s">
        <v>2197</v>
      </c>
      <c r="B551" s="402" t="s">
        <v>749</v>
      </c>
      <c r="C551" s="532"/>
      <c r="D551" s="532" t="s">
        <v>2336</v>
      </c>
      <c r="E551" s="532" t="s">
        <v>2337</v>
      </c>
      <c r="F551" s="390" t="s">
        <v>806</v>
      </c>
      <c r="G551" s="390" t="s">
        <v>797</v>
      </c>
      <c r="H551" s="381">
        <v>1</v>
      </c>
      <c r="I551" s="381">
        <v>5</v>
      </c>
      <c r="K551" s="381">
        <f t="shared" si="36"/>
        <v>5</v>
      </c>
      <c r="L551" s="644">
        <f>IFERROR(IF(B551="funkcna poziadavka",VLOOKUP(G551,MODULY_CBA!$B$3:$E$23,4,0)*H551/SUMIFS($H$3:$H$168,$G$3:$G$168,G551,$B$3:$B$168,B551),),)</f>
        <v>0</v>
      </c>
      <c r="M551" s="381">
        <f>IFERROR(IF(B551="Funkcna poziadavka",VLOOKUP(G551,MODULY_CBA!$B$3:$E$23,3,0),),)</f>
        <v>0.99499999999999988</v>
      </c>
      <c r="N551" s="381">
        <f>IFERROR(IF(B551="funkcna poziadavka",VLOOKUP(G551,MODULY_CBA!$B$3:$E$23,2,0),),)</f>
        <v>0.99</v>
      </c>
      <c r="O551" s="380">
        <f t="shared" si="37"/>
        <v>4.9252499999999992</v>
      </c>
      <c r="P551" s="379">
        <f>IFERROR(O551*VLOOKUP(G551,MODULY_CBA!$B$3:$F$23,5,0),)</f>
        <v>98.504999999999981</v>
      </c>
      <c r="Q551" s="480" t="str">
        <f>IFERROR(VLOOKUP(G551,MODULY_CBA!$B$3:$I$23,6,0),"")</f>
        <v>Inkrement 1</v>
      </c>
    </row>
    <row r="552" spans="1:17" ht="25.5">
      <c r="A552" s="682" t="s">
        <v>2200</v>
      </c>
      <c r="B552" s="402" t="s">
        <v>749</v>
      </c>
      <c r="C552" s="532"/>
      <c r="D552" s="532" t="s">
        <v>2339</v>
      </c>
      <c r="E552" s="532" t="s">
        <v>2340</v>
      </c>
      <c r="F552" s="390" t="s">
        <v>806</v>
      </c>
      <c r="G552" s="390" t="s">
        <v>797</v>
      </c>
      <c r="H552" s="381">
        <v>1</v>
      </c>
      <c r="I552" s="381">
        <v>5</v>
      </c>
      <c r="K552" s="381">
        <f t="shared" si="36"/>
        <v>5</v>
      </c>
      <c r="L552" s="644">
        <f>IFERROR(IF(B552="funkcna poziadavka",VLOOKUP(G552,MODULY_CBA!$B$3:$E$23,4,0)*H552/SUMIFS($H$3:$H$168,$G$3:$G$168,G552,$B$3:$B$168,B552),),)</f>
        <v>0</v>
      </c>
      <c r="M552" s="381">
        <f>IFERROR(IF(B552="Funkcna poziadavka",VLOOKUP(G552,MODULY_CBA!$B$3:$E$23,3,0),),)</f>
        <v>0.99499999999999988</v>
      </c>
      <c r="N552" s="381">
        <f>IFERROR(IF(B552="funkcna poziadavka",VLOOKUP(G552,MODULY_CBA!$B$3:$E$23,2,0),),)</f>
        <v>0.99</v>
      </c>
      <c r="O552" s="380">
        <f t="shared" si="37"/>
        <v>4.9252499999999992</v>
      </c>
      <c r="P552" s="379">
        <f>IFERROR(O552*VLOOKUP(G552,MODULY_CBA!$B$3:$F$23,5,0),)</f>
        <v>98.504999999999981</v>
      </c>
      <c r="Q552" s="480" t="str">
        <f>IFERROR(VLOOKUP(G552,MODULY_CBA!$B$3:$I$23,6,0),"")</f>
        <v>Inkrement 1</v>
      </c>
    </row>
    <row r="553" spans="1:17" ht="25.5">
      <c r="A553" s="682" t="s">
        <v>2203</v>
      </c>
      <c r="B553" s="402" t="s">
        <v>749</v>
      </c>
      <c r="C553" s="532"/>
      <c r="D553" s="532" t="s">
        <v>2342</v>
      </c>
      <c r="E553" s="532" t="s">
        <v>2343</v>
      </c>
      <c r="F553" s="390" t="s">
        <v>806</v>
      </c>
      <c r="G553" s="390" t="s">
        <v>797</v>
      </c>
      <c r="H553" s="381">
        <v>1</v>
      </c>
      <c r="I553" s="381">
        <v>10</v>
      </c>
      <c r="K553" s="381">
        <f t="shared" si="36"/>
        <v>10</v>
      </c>
      <c r="L553" s="644">
        <f>IFERROR(IF(B553="funkcna poziadavka",VLOOKUP(G553,MODULY_CBA!$B$3:$E$23,4,0)*H553/SUMIFS($H$3:$H$168,$G$3:$G$168,G553,$B$3:$B$168,B553),),)</f>
        <v>0</v>
      </c>
      <c r="M553" s="381">
        <f>IFERROR(IF(B553="Funkcna poziadavka",VLOOKUP(G553,MODULY_CBA!$B$3:$E$23,3,0),),)</f>
        <v>0.99499999999999988</v>
      </c>
      <c r="N553" s="381">
        <f>IFERROR(IF(B553="funkcna poziadavka",VLOOKUP(G553,MODULY_CBA!$B$3:$E$23,2,0),),)</f>
        <v>0.99</v>
      </c>
      <c r="O553" s="380">
        <f t="shared" si="37"/>
        <v>9.8504999999999985</v>
      </c>
      <c r="P553" s="379">
        <f>IFERROR(O553*VLOOKUP(G553,MODULY_CBA!$B$3:$F$23,5,0),)</f>
        <v>197.00999999999996</v>
      </c>
      <c r="Q553" s="480" t="str">
        <f>IFERROR(VLOOKUP(G553,MODULY_CBA!$B$3:$I$23,6,0),"")</f>
        <v>Inkrement 1</v>
      </c>
    </row>
    <row r="554" spans="1:17" ht="25.5">
      <c r="A554" s="682" t="s">
        <v>2206</v>
      </c>
      <c r="B554" s="402" t="s">
        <v>749</v>
      </c>
      <c r="C554" s="532"/>
      <c r="D554" s="532" t="s">
        <v>2345</v>
      </c>
      <c r="E554" s="532" t="s">
        <v>2346</v>
      </c>
      <c r="F554" s="390" t="s">
        <v>806</v>
      </c>
      <c r="G554" s="390" t="s">
        <v>797</v>
      </c>
      <c r="H554" s="381">
        <v>1</v>
      </c>
      <c r="I554" s="381">
        <v>5</v>
      </c>
      <c r="K554" s="381">
        <f t="shared" si="36"/>
        <v>5</v>
      </c>
      <c r="L554" s="644">
        <f>IFERROR(IF(B554="funkcna poziadavka",VLOOKUP(G554,MODULY_CBA!$B$3:$E$23,4,0)*H554/SUMIFS($H$3:$H$168,$G$3:$G$168,G554,$B$3:$B$168,B554),),)</f>
        <v>0</v>
      </c>
      <c r="M554" s="381">
        <f>IFERROR(IF(B554="Funkcna poziadavka",VLOOKUP(G554,MODULY_CBA!$B$3:$E$23,3,0),),)</f>
        <v>0.99499999999999988</v>
      </c>
      <c r="N554" s="381">
        <f>IFERROR(IF(B554="funkcna poziadavka",VLOOKUP(G554,MODULY_CBA!$B$3:$E$23,2,0),),)</f>
        <v>0.99</v>
      </c>
      <c r="O554" s="380">
        <f t="shared" si="37"/>
        <v>4.9252499999999992</v>
      </c>
      <c r="P554" s="379">
        <f>IFERROR(O554*VLOOKUP(G554,MODULY_CBA!$B$3:$F$23,5,0),)</f>
        <v>98.504999999999981</v>
      </c>
      <c r="Q554" s="480" t="str">
        <f>IFERROR(VLOOKUP(G554,MODULY_CBA!$B$3:$I$23,6,0),"")</f>
        <v>Inkrement 1</v>
      </c>
    </row>
    <row r="555" spans="1:17" ht="38.25">
      <c r="A555" s="682" t="s">
        <v>2209</v>
      </c>
      <c r="B555" s="402" t="s">
        <v>749</v>
      </c>
      <c r="C555" s="532"/>
      <c r="D555" s="532" t="s">
        <v>2324</v>
      </c>
      <c r="E555" s="532" t="s">
        <v>2348</v>
      </c>
      <c r="F555" s="390" t="s">
        <v>806</v>
      </c>
      <c r="G555" s="390" t="s">
        <v>797</v>
      </c>
      <c r="H555" s="381">
        <v>1</v>
      </c>
      <c r="I555" s="381">
        <v>10</v>
      </c>
      <c r="K555" s="381">
        <f t="shared" si="36"/>
        <v>10</v>
      </c>
      <c r="L555" s="644">
        <f>IFERROR(IF(B555="funkcna poziadavka",VLOOKUP(G555,MODULY_CBA!$B$3:$E$23,4,0)*H555/SUMIFS($H$3:$H$168,$G$3:$G$168,G555,$B$3:$B$168,B555),),)</f>
        <v>0</v>
      </c>
      <c r="M555" s="381">
        <f>IFERROR(IF(B555="Funkcna poziadavka",VLOOKUP(G555,MODULY_CBA!$B$3:$E$23,3,0),),)</f>
        <v>0.99499999999999988</v>
      </c>
      <c r="N555" s="381">
        <f>IFERROR(IF(B555="funkcna poziadavka",VLOOKUP(G555,MODULY_CBA!$B$3:$E$23,2,0),),)</f>
        <v>0.99</v>
      </c>
      <c r="O555" s="380">
        <f t="shared" si="37"/>
        <v>9.8504999999999985</v>
      </c>
      <c r="P555" s="379">
        <f>IFERROR(O555*VLOOKUP(G555,MODULY_CBA!$B$3:$F$23,5,0),)</f>
        <v>197.00999999999996</v>
      </c>
      <c r="Q555" s="480" t="str">
        <f>IFERROR(VLOOKUP(G555,MODULY_CBA!$B$3:$I$23,6,0),"")</f>
        <v>Inkrement 1</v>
      </c>
    </row>
    <row r="556" spans="1:17" ht="25.5">
      <c r="A556" s="682" t="s">
        <v>2212</v>
      </c>
      <c r="B556" s="402" t="s">
        <v>749</v>
      </c>
      <c r="C556" s="532"/>
      <c r="D556" s="532" t="s">
        <v>2327</v>
      </c>
      <c r="E556" s="532" t="s">
        <v>2350</v>
      </c>
      <c r="F556" s="390" t="s">
        <v>806</v>
      </c>
      <c r="G556" s="390" t="s">
        <v>797</v>
      </c>
      <c r="H556" s="381">
        <v>1</v>
      </c>
      <c r="I556" s="381">
        <v>5</v>
      </c>
      <c r="K556" s="381">
        <f t="shared" si="36"/>
        <v>5</v>
      </c>
      <c r="L556" s="644">
        <f>IFERROR(IF(B556="funkcna poziadavka",VLOOKUP(G556,MODULY_CBA!$B$3:$E$23,4,0)*H556/SUMIFS($H$3:$H$168,$G$3:$G$168,G556,$B$3:$B$168,B556),),)</f>
        <v>0</v>
      </c>
      <c r="M556" s="381">
        <f>IFERROR(IF(B556="Funkcna poziadavka",VLOOKUP(G556,MODULY_CBA!$B$3:$E$23,3,0),),)</f>
        <v>0.99499999999999988</v>
      </c>
      <c r="N556" s="381">
        <f>IFERROR(IF(B556="funkcna poziadavka",VLOOKUP(G556,MODULY_CBA!$B$3:$E$23,2,0),),)</f>
        <v>0.99</v>
      </c>
      <c r="O556" s="380">
        <f t="shared" si="37"/>
        <v>4.9252499999999992</v>
      </c>
      <c r="P556" s="379">
        <f>IFERROR(O556*VLOOKUP(G556,MODULY_CBA!$B$3:$F$23,5,0),)</f>
        <v>98.504999999999981</v>
      </c>
      <c r="Q556" s="480" t="str">
        <f>IFERROR(VLOOKUP(G556,MODULY_CBA!$B$3:$I$23,6,0),"")</f>
        <v>Inkrement 1</v>
      </c>
    </row>
    <row r="557" spans="1:17" ht="25.5">
      <c r="A557" s="682" t="s">
        <v>2215</v>
      </c>
      <c r="B557" s="402" t="s">
        <v>749</v>
      </c>
      <c r="C557" s="532"/>
      <c r="D557" s="532" t="s">
        <v>2330</v>
      </c>
      <c r="E557" s="532" t="s">
        <v>2352</v>
      </c>
      <c r="F557" s="390" t="s">
        <v>806</v>
      </c>
      <c r="G557" s="390" t="s">
        <v>797</v>
      </c>
      <c r="H557" s="381">
        <v>1</v>
      </c>
      <c r="I557" s="381">
        <v>10</v>
      </c>
      <c r="K557" s="381">
        <f t="shared" si="36"/>
        <v>10</v>
      </c>
      <c r="L557" s="644">
        <f>IFERROR(IF(B557="funkcna poziadavka",VLOOKUP(G557,MODULY_CBA!$B$3:$E$23,4,0)*H557/SUMIFS($H$3:$H$168,$G$3:$G$168,G557,$B$3:$B$168,B557),),)</f>
        <v>0</v>
      </c>
      <c r="M557" s="381">
        <f>IFERROR(IF(B557="Funkcna poziadavka",VLOOKUP(G557,MODULY_CBA!$B$3:$E$23,3,0),),)</f>
        <v>0.99499999999999988</v>
      </c>
      <c r="N557" s="381">
        <f>IFERROR(IF(B557="funkcna poziadavka",VLOOKUP(G557,MODULY_CBA!$B$3:$E$23,2,0),),)</f>
        <v>0.99</v>
      </c>
      <c r="O557" s="380">
        <f t="shared" si="37"/>
        <v>9.8504999999999985</v>
      </c>
      <c r="P557" s="379">
        <f>IFERROR(O557*VLOOKUP(G557,MODULY_CBA!$B$3:$F$23,5,0),)</f>
        <v>197.00999999999996</v>
      </c>
      <c r="Q557" s="480" t="str">
        <f>IFERROR(VLOOKUP(G557,MODULY_CBA!$B$3:$I$23,6,0),"")</f>
        <v>Inkrement 1</v>
      </c>
    </row>
    <row r="558" spans="1:17" ht="25.5">
      <c r="A558" s="682" t="s">
        <v>2218</v>
      </c>
      <c r="B558" s="402" t="s">
        <v>749</v>
      </c>
      <c r="C558" s="532"/>
      <c r="D558" s="532" t="s">
        <v>2354</v>
      </c>
      <c r="E558" s="532" t="s">
        <v>2259</v>
      </c>
      <c r="F558" s="390" t="s">
        <v>806</v>
      </c>
      <c r="G558" s="390" t="s">
        <v>798</v>
      </c>
      <c r="H558" s="381">
        <v>1</v>
      </c>
      <c r="I558" s="381">
        <v>5</v>
      </c>
      <c r="K558" s="381">
        <f t="shared" si="36"/>
        <v>5</v>
      </c>
      <c r="L558" s="644">
        <f>IFERROR(IF(B558="funkcna poziadavka",VLOOKUP(G558,MODULY_CBA!$B$3:$E$23,4,0)*H558/SUMIFS($H$3:$H$168,$G$3:$G$168,G558,$B$3:$B$168,B558),),)</f>
        <v>6</v>
      </c>
      <c r="M558" s="381">
        <f>IFERROR(IF(B558="Funkcna poziadavka",VLOOKUP(G558,MODULY_CBA!$B$3:$E$23,3,0),),)</f>
        <v>0.99499999999999988</v>
      </c>
      <c r="N558" s="381">
        <f>IFERROR(IF(B558="funkcna poziadavka",VLOOKUP(G558,MODULY_CBA!$B$3:$E$23,2,0),),)</f>
        <v>0.99</v>
      </c>
      <c r="O558" s="380">
        <f t="shared" si="37"/>
        <v>10.835549999999998</v>
      </c>
      <c r="P558" s="379">
        <f>IFERROR(O558*VLOOKUP(G558,MODULY_CBA!$B$3:$F$23,5,0),)</f>
        <v>216.71099999999996</v>
      </c>
      <c r="Q558" s="480" t="str">
        <f>IFERROR(VLOOKUP(G558,MODULY_CBA!$B$3:$I$23,6,0),"")</f>
        <v>Inkrement 1</v>
      </c>
    </row>
    <row r="559" spans="1:17">
      <c r="A559" s="682" t="s">
        <v>2221</v>
      </c>
      <c r="B559" s="402" t="s">
        <v>749</v>
      </c>
      <c r="C559" s="532"/>
      <c r="D559" s="532" t="s">
        <v>2356</v>
      </c>
      <c r="E559" s="532" t="s">
        <v>2262</v>
      </c>
      <c r="F559" s="390" t="s">
        <v>806</v>
      </c>
      <c r="G559" s="390" t="s">
        <v>798</v>
      </c>
      <c r="H559" s="381">
        <v>1</v>
      </c>
      <c r="I559" s="381">
        <v>5</v>
      </c>
      <c r="K559" s="381">
        <f t="shared" si="36"/>
        <v>5</v>
      </c>
      <c r="L559" s="644">
        <f>IFERROR(IF(B559="funkcna poziadavka",VLOOKUP(G559,MODULY_CBA!$B$3:$E$23,4,0)*H559/SUMIFS($H$3:$H$168,$G$3:$G$168,G559,$B$3:$B$168,B559),),)</f>
        <v>6</v>
      </c>
      <c r="M559" s="381">
        <f>IFERROR(IF(B559="Funkcna poziadavka",VLOOKUP(G559,MODULY_CBA!$B$3:$E$23,3,0),),)</f>
        <v>0.99499999999999988</v>
      </c>
      <c r="N559" s="381">
        <f>IFERROR(IF(B559="funkcna poziadavka",VLOOKUP(G559,MODULY_CBA!$B$3:$E$23,2,0),),)</f>
        <v>0.99</v>
      </c>
      <c r="O559" s="380">
        <f t="shared" si="37"/>
        <v>10.835549999999998</v>
      </c>
      <c r="P559" s="379">
        <f>IFERROR(O559*VLOOKUP(G559,MODULY_CBA!$B$3:$F$23,5,0),)</f>
        <v>216.71099999999996</v>
      </c>
      <c r="Q559" s="480" t="str">
        <f>IFERROR(VLOOKUP(G559,MODULY_CBA!$B$3:$I$23,6,0),"")</f>
        <v>Inkrement 1</v>
      </c>
    </row>
    <row r="560" spans="1:17" ht="38.25">
      <c r="A560" s="682" t="s">
        <v>2224</v>
      </c>
      <c r="B560" s="402" t="s">
        <v>749</v>
      </c>
      <c r="C560" s="532"/>
      <c r="D560" s="532" t="s">
        <v>2358</v>
      </c>
      <c r="E560" s="532" t="s">
        <v>2265</v>
      </c>
      <c r="F560" s="390" t="s">
        <v>806</v>
      </c>
      <c r="G560" s="390" t="s">
        <v>798</v>
      </c>
      <c r="H560" s="381">
        <v>1</v>
      </c>
      <c r="I560" s="381">
        <v>5</v>
      </c>
      <c r="K560" s="381">
        <f t="shared" si="36"/>
        <v>5</v>
      </c>
      <c r="L560" s="644">
        <f>IFERROR(IF(B560="funkcna poziadavka",VLOOKUP(G560,MODULY_CBA!$B$3:$E$23,4,0)*H560/SUMIFS($H$3:$H$168,$G$3:$G$168,G560,$B$3:$B$168,B560),),)</f>
        <v>6</v>
      </c>
      <c r="M560" s="381">
        <f>IFERROR(IF(B560="Funkcna poziadavka",VLOOKUP(G560,MODULY_CBA!$B$3:$E$23,3,0),),)</f>
        <v>0.99499999999999988</v>
      </c>
      <c r="N560" s="381">
        <f>IFERROR(IF(B560="funkcna poziadavka",VLOOKUP(G560,MODULY_CBA!$B$3:$E$23,2,0),),)</f>
        <v>0.99</v>
      </c>
      <c r="O560" s="380">
        <f t="shared" si="37"/>
        <v>10.835549999999998</v>
      </c>
      <c r="P560" s="379">
        <f>IFERROR(O560*VLOOKUP(G560,MODULY_CBA!$B$3:$F$23,5,0),)</f>
        <v>216.71099999999996</v>
      </c>
      <c r="Q560" s="480" t="str">
        <f>IFERROR(VLOOKUP(G560,MODULY_CBA!$B$3:$I$23,6,0),"")</f>
        <v>Inkrement 1</v>
      </c>
    </row>
    <row r="561" spans="1:17">
      <c r="A561" s="682" t="s">
        <v>2227</v>
      </c>
      <c r="B561" s="402" t="s">
        <v>749</v>
      </c>
      <c r="C561" s="532"/>
      <c r="D561" s="532" t="s">
        <v>2360</v>
      </c>
      <c r="E561" s="532" t="s">
        <v>2271</v>
      </c>
      <c r="F561" s="390" t="s">
        <v>806</v>
      </c>
      <c r="G561" s="390" t="s">
        <v>798</v>
      </c>
      <c r="H561" s="381">
        <v>1</v>
      </c>
      <c r="I561" s="381">
        <v>5</v>
      </c>
      <c r="K561" s="381">
        <f t="shared" si="36"/>
        <v>5</v>
      </c>
      <c r="L561" s="644">
        <f>IFERROR(IF(B561="funkcna poziadavka",VLOOKUP(G561,MODULY_CBA!$B$3:$E$23,4,0)*H561/SUMIFS($H$3:$H$168,$G$3:$G$168,G561,$B$3:$B$168,B561),),)</f>
        <v>6</v>
      </c>
      <c r="M561" s="381">
        <f>IFERROR(IF(B561="Funkcna poziadavka",VLOOKUP(G561,MODULY_CBA!$B$3:$E$23,3,0),),)</f>
        <v>0.99499999999999988</v>
      </c>
      <c r="N561" s="381">
        <f>IFERROR(IF(B561="funkcna poziadavka",VLOOKUP(G561,MODULY_CBA!$B$3:$E$23,2,0),),)</f>
        <v>0.99</v>
      </c>
      <c r="O561" s="380">
        <f t="shared" si="37"/>
        <v>10.835549999999998</v>
      </c>
      <c r="P561" s="379">
        <f>IFERROR(O561*VLOOKUP(G561,MODULY_CBA!$B$3:$F$23,5,0),)</f>
        <v>216.71099999999996</v>
      </c>
      <c r="Q561" s="480" t="str">
        <f>IFERROR(VLOOKUP(G561,MODULY_CBA!$B$3:$I$23,6,0),"")</f>
        <v>Inkrement 1</v>
      </c>
    </row>
    <row r="562" spans="1:17" ht="25.5">
      <c r="A562" s="682" t="s">
        <v>2230</v>
      </c>
      <c r="B562" s="402" t="s">
        <v>749</v>
      </c>
      <c r="C562" s="532"/>
      <c r="D562" s="532" t="s">
        <v>2362</v>
      </c>
      <c r="E562" s="532" t="s">
        <v>2274</v>
      </c>
      <c r="F562" s="390" t="s">
        <v>806</v>
      </c>
      <c r="G562" s="390" t="s">
        <v>798</v>
      </c>
      <c r="H562" s="381">
        <v>1</v>
      </c>
      <c r="I562" s="381">
        <v>5</v>
      </c>
      <c r="K562" s="381">
        <f t="shared" si="36"/>
        <v>5</v>
      </c>
      <c r="L562" s="644">
        <f>IFERROR(IF(B562="funkcna poziadavka",VLOOKUP(G562,MODULY_CBA!$B$3:$E$23,4,0)*H562/SUMIFS($H$3:$H$168,$G$3:$G$168,G562,$B$3:$B$168,B562),),)</f>
        <v>6</v>
      </c>
      <c r="M562" s="381">
        <f>IFERROR(IF(B562="Funkcna poziadavka",VLOOKUP(G562,MODULY_CBA!$B$3:$E$23,3,0),),)</f>
        <v>0.99499999999999988</v>
      </c>
      <c r="N562" s="381">
        <f>IFERROR(IF(B562="funkcna poziadavka",VLOOKUP(G562,MODULY_CBA!$B$3:$E$23,2,0),),)</f>
        <v>0.99</v>
      </c>
      <c r="O562" s="380">
        <f t="shared" si="37"/>
        <v>10.835549999999998</v>
      </c>
      <c r="P562" s="379">
        <f>IFERROR(O562*VLOOKUP(G562,MODULY_CBA!$B$3:$F$23,5,0),)</f>
        <v>216.71099999999996</v>
      </c>
      <c r="Q562" s="480" t="str">
        <f>IFERROR(VLOOKUP(G562,MODULY_CBA!$B$3:$I$23,6,0),"")</f>
        <v>Inkrement 1</v>
      </c>
    </row>
    <row r="563" spans="1:17" ht="38.25">
      <c r="A563" s="682" t="s">
        <v>2233</v>
      </c>
      <c r="B563" s="402" t="s">
        <v>749</v>
      </c>
      <c r="C563" s="532"/>
      <c r="D563" s="532" t="s">
        <v>2364</v>
      </c>
      <c r="E563" s="532" t="s">
        <v>2277</v>
      </c>
      <c r="F563" s="390" t="s">
        <v>806</v>
      </c>
      <c r="G563" s="390" t="s">
        <v>798</v>
      </c>
      <c r="H563" s="381">
        <v>1</v>
      </c>
      <c r="I563" s="381">
        <v>5</v>
      </c>
      <c r="K563" s="381">
        <f t="shared" si="36"/>
        <v>5</v>
      </c>
      <c r="L563" s="644">
        <f>IFERROR(IF(B563="funkcna poziadavka",VLOOKUP(G563,MODULY_CBA!$B$3:$E$23,4,0)*H563/SUMIFS($H$3:$H$168,$G$3:$G$168,G563,$B$3:$B$168,B563),),)</f>
        <v>6</v>
      </c>
      <c r="M563" s="381">
        <f>IFERROR(IF(B563="Funkcna poziadavka",VLOOKUP(G563,MODULY_CBA!$B$3:$E$23,3,0),),)</f>
        <v>0.99499999999999988</v>
      </c>
      <c r="N563" s="381">
        <f>IFERROR(IF(B563="funkcna poziadavka",VLOOKUP(G563,MODULY_CBA!$B$3:$E$23,2,0),),)</f>
        <v>0.99</v>
      </c>
      <c r="O563" s="380">
        <f t="shared" si="37"/>
        <v>10.835549999999998</v>
      </c>
      <c r="P563" s="379">
        <f>IFERROR(O563*VLOOKUP(G563,MODULY_CBA!$B$3:$F$23,5,0),)</f>
        <v>216.71099999999996</v>
      </c>
      <c r="Q563" s="480" t="str">
        <f>IFERROR(VLOOKUP(G563,MODULY_CBA!$B$3:$I$23,6,0),"")</f>
        <v>Inkrement 1</v>
      </c>
    </row>
    <row r="564" spans="1:17" ht="25.5">
      <c r="A564" s="682" t="s">
        <v>2236</v>
      </c>
      <c r="B564" s="402" t="s">
        <v>749</v>
      </c>
      <c r="C564" s="532"/>
      <c r="D564" s="532" t="s">
        <v>2366</v>
      </c>
      <c r="E564" s="532" t="s">
        <v>2280</v>
      </c>
      <c r="F564" s="390" t="s">
        <v>806</v>
      </c>
      <c r="G564" s="390" t="s">
        <v>798</v>
      </c>
      <c r="H564" s="381">
        <v>1</v>
      </c>
      <c r="I564" s="381">
        <v>5</v>
      </c>
      <c r="K564" s="381">
        <f t="shared" si="36"/>
        <v>5</v>
      </c>
      <c r="L564" s="644">
        <f>IFERROR(IF(B564="funkcna poziadavka",VLOOKUP(G564,MODULY_CBA!$B$3:$E$23,4,0)*H564/SUMIFS($H$3:$H$168,$G$3:$G$168,G564,$B$3:$B$168,B564),),)</f>
        <v>6</v>
      </c>
      <c r="M564" s="381">
        <f>IFERROR(IF(B564="Funkcna poziadavka",VLOOKUP(G564,MODULY_CBA!$B$3:$E$23,3,0),),)</f>
        <v>0.99499999999999988</v>
      </c>
      <c r="N564" s="381">
        <f>IFERROR(IF(B564="funkcna poziadavka",VLOOKUP(G564,MODULY_CBA!$B$3:$E$23,2,0),),)</f>
        <v>0.99</v>
      </c>
      <c r="O564" s="380">
        <f t="shared" si="37"/>
        <v>10.835549999999998</v>
      </c>
      <c r="P564" s="379">
        <f>IFERROR(O564*VLOOKUP(G564,MODULY_CBA!$B$3:$F$23,5,0),)</f>
        <v>216.71099999999996</v>
      </c>
      <c r="Q564" s="480" t="str">
        <f>IFERROR(VLOOKUP(G564,MODULY_CBA!$B$3:$I$23,6,0),"")</f>
        <v>Inkrement 1</v>
      </c>
    </row>
    <row r="565" spans="1:17" ht="25.5">
      <c r="A565" s="682" t="s">
        <v>2239</v>
      </c>
      <c r="B565" s="402" t="s">
        <v>749</v>
      </c>
      <c r="C565" s="532"/>
      <c r="D565" s="532" t="s">
        <v>2367</v>
      </c>
      <c r="E565" s="532" t="s">
        <v>2283</v>
      </c>
      <c r="F565" s="390" t="s">
        <v>806</v>
      </c>
      <c r="G565" s="390" t="s">
        <v>798</v>
      </c>
      <c r="H565" s="381">
        <v>1</v>
      </c>
      <c r="I565" s="381">
        <v>5</v>
      </c>
      <c r="K565" s="381">
        <f t="shared" si="36"/>
        <v>5</v>
      </c>
      <c r="L565" s="644">
        <f>IFERROR(IF(B565="funkcna poziadavka",VLOOKUP(G565,MODULY_CBA!$B$3:$E$23,4,0)*H565/SUMIFS($H$3:$H$168,$G$3:$G$168,G565,$B$3:$B$168,B565),),)</f>
        <v>6</v>
      </c>
      <c r="M565" s="381">
        <f>IFERROR(IF(B565="Funkcna poziadavka",VLOOKUP(G565,MODULY_CBA!$B$3:$E$23,3,0),),)</f>
        <v>0.99499999999999988</v>
      </c>
      <c r="N565" s="381">
        <f>IFERROR(IF(B565="funkcna poziadavka",VLOOKUP(G565,MODULY_CBA!$B$3:$E$23,2,0),),)</f>
        <v>0.99</v>
      </c>
      <c r="O565" s="380">
        <f t="shared" si="37"/>
        <v>10.835549999999998</v>
      </c>
      <c r="P565" s="379">
        <f>IFERROR(O565*VLOOKUP(G565,MODULY_CBA!$B$3:$F$23,5,0),)</f>
        <v>216.71099999999996</v>
      </c>
      <c r="Q565" s="480" t="str">
        <f>IFERROR(VLOOKUP(G565,MODULY_CBA!$B$3:$I$23,6,0),"")</f>
        <v>Inkrement 1</v>
      </c>
    </row>
    <row r="566" spans="1:17">
      <c r="A566" s="682" t="s">
        <v>2242</v>
      </c>
      <c r="B566" s="402" t="s">
        <v>749</v>
      </c>
      <c r="C566" s="532"/>
      <c r="D566" s="532" t="s">
        <v>2368</v>
      </c>
      <c r="E566" s="532" t="s">
        <v>2286</v>
      </c>
      <c r="F566" s="390" t="s">
        <v>806</v>
      </c>
      <c r="G566" s="390" t="s">
        <v>798</v>
      </c>
      <c r="H566" s="381">
        <v>1</v>
      </c>
      <c r="I566" s="381">
        <v>5</v>
      </c>
      <c r="K566" s="381">
        <f t="shared" si="36"/>
        <v>5</v>
      </c>
      <c r="L566" s="644">
        <f>IFERROR(IF(B566="funkcna poziadavka",VLOOKUP(G566,MODULY_CBA!$B$3:$E$23,4,0)*H566/SUMIFS($H$3:$H$168,$G$3:$G$168,G566,$B$3:$B$168,B566),),)</f>
        <v>6</v>
      </c>
      <c r="M566" s="381">
        <f>IFERROR(IF(B566="Funkcna poziadavka",VLOOKUP(G566,MODULY_CBA!$B$3:$E$23,3,0),),)</f>
        <v>0.99499999999999988</v>
      </c>
      <c r="N566" s="381">
        <f>IFERROR(IF(B566="funkcna poziadavka",VLOOKUP(G566,MODULY_CBA!$B$3:$E$23,2,0),),)</f>
        <v>0.99</v>
      </c>
      <c r="O566" s="380">
        <f t="shared" si="37"/>
        <v>10.835549999999998</v>
      </c>
      <c r="P566" s="379">
        <f>IFERROR(O566*VLOOKUP(G566,MODULY_CBA!$B$3:$F$23,5,0),)</f>
        <v>216.71099999999996</v>
      </c>
      <c r="Q566" s="480" t="str">
        <f>IFERROR(VLOOKUP(G566,MODULY_CBA!$B$3:$I$23,6,0),"")</f>
        <v>Inkrement 1</v>
      </c>
    </row>
    <row r="567" spans="1:17" ht="25.5">
      <c r="A567" s="682" t="s">
        <v>2245</v>
      </c>
      <c r="B567" s="402" t="s">
        <v>749</v>
      </c>
      <c r="C567" s="532"/>
      <c r="D567" s="532" t="s">
        <v>2369</v>
      </c>
      <c r="E567" s="532" t="s">
        <v>2370</v>
      </c>
      <c r="F567" s="390" t="s">
        <v>806</v>
      </c>
      <c r="G567" s="390" t="s">
        <v>798</v>
      </c>
      <c r="H567" s="381">
        <v>1</v>
      </c>
      <c r="I567" s="381">
        <v>10</v>
      </c>
      <c r="K567" s="381">
        <f t="shared" si="36"/>
        <v>10</v>
      </c>
      <c r="L567" s="644">
        <f>IFERROR(IF(B567="funkcna poziadavka",VLOOKUP(G567,MODULY_CBA!$B$3:$E$23,4,0)*H567/SUMIFS($H$3:$H$168,$G$3:$G$168,G567,$B$3:$B$168,B567),),)</f>
        <v>6</v>
      </c>
      <c r="M567" s="381">
        <f>IFERROR(IF(B567="Funkcna poziadavka",VLOOKUP(G567,MODULY_CBA!$B$3:$E$23,3,0),),)</f>
        <v>0.99499999999999988</v>
      </c>
      <c r="N567" s="381">
        <f>IFERROR(IF(B567="funkcna poziadavka",VLOOKUP(G567,MODULY_CBA!$B$3:$E$23,2,0),),)</f>
        <v>0.99</v>
      </c>
      <c r="O567" s="380">
        <f t="shared" si="37"/>
        <v>15.760799999999998</v>
      </c>
      <c r="P567" s="379">
        <f>IFERROR(O567*VLOOKUP(G567,MODULY_CBA!$B$3:$F$23,5,0),)</f>
        <v>315.21599999999995</v>
      </c>
      <c r="Q567" s="480" t="str">
        <f>IFERROR(VLOOKUP(G567,MODULY_CBA!$B$3:$I$23,6,0),"")</f>
        <v>Inkrement 1</v>
      </c>
    </row>
    <row r="568" spans="1:17" ht="51">
      <c r="A568" s="682" t="s">
        <v>2248</v>
      </c>
      <c r="B568" s="402" t="s">
        <v>749</v>
      </c>
      <c r="C568" s="532"/>
      <c r="D568" s="532" t="s">
        <v>2371</v>
      </c>
      <c r="E568" s="532" t="s">
        <v>2372</v>
      </c>
      <c r="F568" s="390" t="s">
        <v>806</v>
      </c>
      <c r="G568" s="390" t="s">
        <v>798</v>
      </c>
      <c r="H568" s="381">
        <v>1</v>
      </c>
      <c r="I568" s="381">
        <v>10</v>
      </c>
      <c r="K568" s="381">
        <f t="shared" si="36"/>
        <v>10</v>
      </c>
      <c r="L568" s="644">
        <f>IFERROR(IF(B568="funkcna poziadavka",VLOOKUP(G568,MODULY_CBA!$B$3:$E$23,4,0)*H568/SUMIFS($H$3:$H$168,$G$3:$G$168,G568,$B$3:$B$168,B568),),)</f>
        <v>6</v>
      </c>
      <c r="M568" s="381">
        <f>IFERROR(IF(B568="Funkcna poziadavka",VLOOKUP(G568,MODULY_CBA!$B$3:$E$23,3,0),),)</f>
        <v>0.99499999999999988</v>
      </c>
      <c r="N568" s="381">
        <f>IFERROR(IF(B568="funkcna poziadavka",VLOOKUP(G568,MODULY_CBA!$B$3:$E$23,2,0),),)</f>
        <v>0.99</v>
      </c>
      <c r="O568" s="380">
        <f t="shared" si="37"/>
        <v>15.760799999999998</v>
      </c>
      <c r="P568" s="379">
        <f>IFERROR(O568*VLOOKUP(G568,MODULY_CBA!$B$3:$F$23,5,0),)</f>
        <v>315.21599999999995</v>
      </c>
      <c r="Q568" s="480" t="str">
        <f>IFERROR(VLOOKUP(G568,MODULY_CBA!$B$3:$I$23,6,0),"")</f>
        <v>Inkrement 1</v>
      </c>
    </row>
    <row r="569" spans="1:17" ht="38.25">
      <c r="A569" s="682" t="s">
        <v>2251</v>
      </c>
      <c r="B569" s="402" t="s">
        <v>749</v>
      </c>
      <c r="C569" s="532"/>
      <c r="D569" s="532" t="s">
        <v>2373</v>
      </c>
      <c r="E569" s="532" t="s">
        <v>2295</v>
      </c>
      <c r="F569" s="390" t="s">
        <v>806</v>
      </c>
      <c r="G569" s="390" t="s">
        <v>798</v>
      </c>
      <c r="H569" s="381">
        <v>1</v>
      </c>
      <c r="I569" s="381">
        <v>5</v>
      </c>
      <c r="K569" s="381">
        <f t="shared" si="36"/>
        <v>5</v>
      </c>
      <c r="L569" s="644">
        <f>IFERROR(IF(B569="funkcna poziadavka",VLOOKUP(G569,MODULY_CBA!$B$3:$E$23,4,0)*H569/SUMIFS($H$3:$H$168,$G$3:$G$168,G569,$B$3:$B$168,B569),),)</f>
        <v>6</v>
      </c>
      <c r="M569" s="381">
        <f>IFERROR(IF(B569="Funkcna poziadavka",VLOOKUP(G569,MODULY_CBA!$B$3:$E$23,3,0),),)</f>
        <v>0.99499999999999988</v>
      </c>
      <c r="N569" s="381">
        <f>IFERROR(IF(B569="funkcna poziadavka",VLOOKUP(G569,MODULY_CBA!$B$3:$E$23,2,0),),)</f>
        <v>0.99</v>
      </c>
      <c r="O569" s="380">
        <f t="shared" si="37"/>
        <v>10.835549999999998</v>
      </c>
      <c r="P569" s="379">
        <f>IFERROR(O569*VLOOKUP(G569,MODULY_CBA!$B$3:$F$23,5,0),)</f>
        <v>216.71099999999996</v>
      </c>
      <c r="Q569" s="480" t="str">
        <f>IFERROR(VLOOKUP(G569,MODULY_CBA!$B$3:$I$23,6,0),"")</f>
        <v>Inkrement 1</v>
      </c>
    </row>
    <row r="570" spans="1:17" ht="38.25">
      <c r="A570" s="682" t="s">
        <v>2254</v>
      </c>
      <c r="B570" s="402" t="s">
        <v>749</v>
      </c>
      <c r="C570" s="532"/>
      <c r="D570" s="532" t="s">
        <v>2297</v>
      </c>
      <c r="E570" s="532" t="s">
        <v>2374</v>
      </c>
      <c r="F570" s="390" t="s">
        <v>806</v>
      </c>
      <c r="G570" s="390" t="s">
        <v>798</v>
      </c>
      <c r="H570" s="381">
        <v>1</v>
      </c>
      <c r="I570" s="381">
        <v>5</v>
      </c>
      <c r="K570" s="381">
        <f t="shared" si="36"/>
        <v>5</v>
      </c>
      <c r="L570" s="644">
        <f>IFERROR(IF(B570="funkcna poziadavka",VLOOKUP(G570,MODULY_CBA!$B$3:$E$23,4,0)*H570/SUMIFS($H$3:$H$168,$G$3:$G$168,G570,$B$3:$B$168,B570),),)</f>
        <v>6</v>
      </c>
      <c r="M570" s="381">
        <f>IFERROR(IF(B570="Funkcna poziadavka",VLOOKUP(G570,MODULY_CBA!$B$3:$E$23,3,0),),)</f>
        <v>0.99499999999999988</v>
      </c>
      <c r="N570" s="381">
        <f>IFERROR(IF(B570="funkcna poziadavka",VLOOKUP(G570,MODULY_CBA!$B$3:$E$23,2,0),),)</f>
        <v>0.99</v>
      </c>
      <c r="O570" s="380">
        <f t="shared" si="37"/>
        <v>10.835549999999998</v>
      </c>
      <c r="P570" s="379">
        <f>IFERROR(O570*VLOOKUP(G570,MODULY_CBA!$B$3:$F$23,5,0),)</f>
        <v>216.71099999999996</v>
      </c>
      <c r="Q570" s="480" t="str">
        <f>IFERROR(VLOOKUP(G570,MODULY_CBA!$B$3:$I$23,6,0),"")</f>
        <v>Inkrement 1</v>
      </c>
    </row>
    <row r="571" spans="1:17" ht="25.5">
      <c r="A571" s="682" t="s">
        <v>2257</v>
      </c>
      <c r="B571" s="402" t="s">
        <v>749</v>
      </c>
      <c r="C571" s="532"/>
      <c r="D571" s="532" t="s">
        <v>2375</v>
      </c>
      <c r="E571" s="532" t="s">
        <v>2376</v>
      </c>
      <c r="F571" s="390" t="s">
        <v>806</v>
      </c>
      <c r="G571" s="390" t="s">
        <v>787</v>
      </c>
      <c r="H571" s="381">
        <v>1</v>
      </c>
      <c r="I571" s="381">
        <v>5</v>
      </c>
      <c r="K571" s="381">
        <f t="shared" si="36"/>
        <v>5</v>
      </c>
      <c r="L571" s="644">
        <f>IFERROR(IF(B571="funkcna poziadavka",VLOOKUP(G571,MODULY_CBA!$B$3:$E$23,4,0)*H571/SUMIFS($H$3:$H$168,$G$3:$G$168,G571,$B$3:$B$168,B571),),)</f>
        <v>6</v>
      </c>
      <c r="M571" s="381">
        <f>IFERROR(IF(B571="Funkcna poziadavka",VLOOKUP(G571,MODULY_CBA!$B$3:$E$23,3,0),),)</f>
        <v>0.99499999999999988</v>
      </c>
      <c r="N571" s="381">
        <f>IFERROR(IF(B571="funkcna poziadavka",VLOOKUP(G571,MODULY_CBA!$B$3:$E$23,2,0),),)</f>
        <v>0.99</v>
      </c>
      <c r="O571" s="380">
        <f t="shared" si="37"/>
        <v>10.835549999999998</v>
      </c>
      <c r="P571" s="379">
        <f>IFERROR(O571*VLOOKUP(G571,MODULY_CBA!$B$3:$F$23,5,0),)</f>
        <v>216.71099999999996</v>
      </c>
      <c r="Q571" s="480" t="str">
        <f>IFERROR(VLOOKUP(G571,MODULY_CBA!$B$3:$I$23,6,0),"")</f>
        <v>Inkrement 1</v>
      </c>
    </row>
    <row r="572" spans="1:17" ht="25.5">
      <c r="A572" s="682" t="s">
        <v>2260</v>
      </c>
      <c r="B572" s="402" t="s">
        <v>749</v>
      </c>
      <c r="C572" s="532"/>
      <c r="D572" s="532" t="s">
        <v>2377</v>
      </c>
      <c r="E572" s="532" t="s">
        <v>2378</v>
      </c>
      <c r="F572" s="390" t="s">
        <v>806</v>
      </c>
      <c r="G572" s="390" t="s">
        <v>787</v>
      </c>
      <c r="H572" s="381">
        <v>1</v>
      </c>
      <c r="I572" s="381">
        <v>5</v>
      </c>
      <c r="K572" s="381">
        <f t="shared" si="36"/>
        <v>5</v>
      </c>
      <c r="L572" s="644">
        <f>IFERROR(IF(B572="funkcna poziadavka",VLOOKUP(G572,MODULY_CBA!$B$3:$E$23,4,0)*H572/SUMIFS($H$3:$H$168,$G$3:$G$168,G572,$B$3:$B$168,B572),),)</f>
        <v>6</v>
      </c>
      <c r="M572" s="381">
        <f>IFERROR(IF(B572="Funkcna poziadavka",VLOOKUP(G572,MODULY_CBA!$B$3:$E$23,3,0),),)</f>
        <v>0.99499999999999988</v>
      </c>
      <c r="N572" s="381">
        <f>IFERROR(IF(B572="funkcna poziadavka",VLOOKUP(G572,MODULY_CBA!$B$3:$E$23,2,0),),)</f>
        <v>0.99</v>
      </c>
      <c r="O572" s="380">
        <f t="shared" si="37"/>
        <v>10.835549999999998</v>
      </c>
      <c r="P572" s="379">
        <f>IFERROR(O572*VLOOKUP(G572,MODULY_CBA!$B$3:$F$23,5,0),)</f>
        <v>216.71099999999996</v>
      </c>
      <c r="Q572" s="480" t="str">
        <f>IFERROR(VLOOKUP(G572,MODULY_CBA!$B$3:$I$23,6,0),"")</f>
        <v>Inkrement 1</v>
      </c>
    </row>
    <row r="573" spans="1:17" ht="25.5">
      <c r="A573" s="682" t="s">
        <v>2263</v>
      </c>
      <c r="B573" s="402" t="s">
        <v>749</v>
      </c>
      <c r="C573" s="532"/>
      <c r="D573" s="532" t="s">
        <v>2379</v>
      </c>
      <c r="E573" s="532" t="s">
        <v>2380</v>
      </c>
      <c r="F573" s="390" t="s">
        <v>806</v>
      </c>
      <c r="G573" s="390" t="s">
        <v>787</v>
      </c>
      <c r="H573" s="381">
        <v>1</v>
      </c>
      <c r="I573" s="381">
        <v>5</v>
      </c>
      <c r="K573" s="381">
        <f t="shared" si="36"/>
        <v>5</v>
      </c>
      <c r="L573" s="644">
        <f>IFERROR(IF(B573="funkcna poziadavka",VLOOKUP(G573,MODULY_CBA!$B$3:$E$23,4,0)*H573/SUMIFS($H$3:$H$168,$G$3:$G$168,G573,$B$3:$B$168,B573),),)</f>
        <v>6</v>
      </c>
      <c r="M573" s="381">
        <f>IFERROR(IF(B573="Funkcna poziadavka",VLOOKUP(G573,MODULY_CBA!$B$3:$E$23,3,0),),)</f>
        <v>0.99499999999999988</v>
      </c>
      <c r="N573" s="381">
        <f>IFERROR(IF(B573="funkcna poziadavka",VLOOKUP(G573,MODULY_CBA!$B$3:$E$23,2,0),),)</f>
        <v>0.99</v>
      </c>
      <c r="O573" s="380">
        <f t="shared" si="37"/>
        <v>10.835549999999998</v>
      </c>
      <c r="P573" s="379">
        <f>IFERROR(O573*VLOOKUP(G573,MODULY_CBA!$B$3:$F$23,5,0),)</f>
        <v>216.71099999999996</v>
      </c>
      <c r="Q573" s="480" t="str">
        <f>IFERROR(VLOOKUP(G573,MODULY_CBA!$B$3:$I$23,6,0),"")</f>
        <v>Inkrement 1</v>
      </c>
    </row>
    <row r="574" spans="1:17" ht="25.5">
      <c r="A574" s="682" t="s">
        <v>2266</v>
      </c>
      <c r="B574" s="402" t="s">
        <v>749</v>
      </c>
      <c r="C574" s="532"/>
      <c r="D574" s="532" t="s">
        <v>2381</v>
      </c>
      <c r="E574" s="532" t="s">
        <v>2382</v>
      </c>
      <c r="F574" s="390" t="s">
        <v>806</v>
      </c>
      <c r="G574" s="390" t="s">
        <v>787</v>
      </c>
      <c r="H574" s="381">
        <v>1</v>
      </c>
      <c r="I574" s="381">
        <v>10</v>
      </c>
      <c r="K574" s="381">
        <f t="shared" si="36"/>
        <v>10</v>
      </c>
      <c r="L574" s="644">
        <f>IFERROR(IF(B574="funkcna poziadavka",VLOOKUP(G574,MODULY_CBA!$B$3:$E$23,4,0)*H574/SUMIFS($H$3:$H$168,$G$3:$G$168,G574,$B$3:$B$168,B574),),)</f>
        <v>6</v>
      </c>
      <c r="M574" s="381">
        <f>IFERROR(IF(B574="Funkcna poziadavka",VLOOKUP(G574,MODULY_CBA!$B$3:$E$23,3,0),),)</f>
        <v>0.99499999999999988</v>
      </c>
      <c r="N574" s="381">
        <f>IFERROR(IF(B574="funkcna poziadavka",VLOOKUP(G574,MODULY_CBA!$B$3:$E$23,2,0),),)</f>
        <v>0.99</v>
      </c>
      <c r="O574" s="380">
        <f t="shared" si="37"/>
        <v>15.760799999999998</v>
      </c>
      <c r="P574" s="379">
        <f>IFERROR(O574*VLOOKUP(G574,MODULY_CBA!$B$3:$F$23,5,0),)</f>
        <v>315.21599999999995</v>
      </c>
      <c r="Q574" s="480" t="str">
        <f>IFERROR(VLOOKUP(G574,MODULY_CBA!$B$3:$I$23,6,0),"")</f>
        <v>Inkrement 1</v>
      </c>
    </row>
    <row r="575" spans="1:17" ht="89.25">
      <c r="A575" s="682" t="s">
        <v>2269</v>
      </c>
      <c r="B575" s="402" t="s">
        <v>749</v>
      </c>
      <c r="C575" s="532"/>
      <c r="D575" s="532" t="s">
        <v>2383</v>
      </c>
      <c r="E575" s="532" t="s">
        <v>2384</v>
      </c>
      <c r="F575" s="390" t="s">
        <v>806</v>
      </c>
      <c r="G575" s="390" t="s">
        <v>787</v>
      </c>
      <c r="H575" s="381">
        <v>1</v>
      </c>
      <c r="I575" s="381">
        <v>10</v>
      </c>
      <c r="K575" s="381">
        <f t="shared" ref="K575:K616" si="38">H575*I575</f>
        <v>10</v>
      </c>
      <c r="L575" s="644">
        <f>IFERROR(IF(B575="funkcna poziadavka",VLOOKUP(G575,MODULY_CBA!$B$3:$E$23,4,0)*H575/SUMIFS($H$3:$H$168,$G$3:$G$168,G575,$B$3:$B$168,B575),),)</f>
        <v>6</v>
      </c>
      <c r="M575" s="381">
        <f>IFERROR(IF(B575="Funkcna poziadavka",VLOOKUP(G575,MODULY_CBA!$B$3:$E$23,3,0),),)</f>
        <v>0.99499999999999988</v>
      </c>
      <c r="N575" s="381">
        <f>IFERROR(IF(B575="funkcna poziadavka",VLOOKUP(G575,MODULY_CBA!$B$3:$E$23,2,0),),)</f>
        <v>0.99</v>
      </c>
      <c r="O575" s="380">
        <f t="shared" ref="O575:O616" si="39">(K575+L575)*M575*N575</f>
        <v>15.760799999999998</v>
      </c>
      <c r="P575" s="379">
        <f>IFERROR(O575*VLOOKUP(G575,MODULY_CBA!$B$3:$F$23,5,0),)</f>
        <v>315.21599999999995</v>
      </c>
      <c r="Q575" s="480" t="str">
        <f>IFERROR(VLOOKUP(G575,MODULY_CBA!$B$3:$I$23,6,0),"")</f>
        <v>Inkrement 1</v>
      </c>
    </row>
    <row r="576" spans="1:17" ht="25.5">
      <c r="A576" s="682" t="s">
        <v>2272</v>
      </c>
      <c r="B576" s="402" t="s">
        <v>749</v>
      </c>
      <c r="C576" s="532"/>
      <c r="D576" s="532" t="s">
        <v>2385</v>
      </c>
      <c r="E576" s="532" t="s">
        <v>2386</v>
      </c>
      <c r="F576" s="390" t="s">
        <v>806</v>
      </c>
      <c r="G576" s="390" t="s">
        <v>787</v>
      </c>
      <c r="H576" s="381">
        <v>1</v>
      </c>
      <c r="I576" s="381">
        <v>5</v>
      </c>
      <c r="K576" s="381">
        <f t="shared" si="38"/>
        <v>5</v>
      </c>
      <c r="L576" s="644">
        <f>IFERROR(IF(B576="funkcna poziadavka",VLOOKUP(G576,MODULY_CBA!$B$3:$E$23,4,0)*H576/SUMIFS($H$3:$H$168,$G$3:$G$168,G576,$B$3:$B$168,B576),),)</f>
        <v>6</v>
      </c>
      <c r="M576" s="381">
        <f>IFERROR(IF(B576="Funkcna poziadavka",VLOOKUP(G576,MODULY_CBA!$B$3:$E$23,3,0),),)</f>
        <v>0.99499999999999988</v>
      </c>
      <c r="N576" s="381">
        <f>IFERROR(IF(B576="funkcna poziadavka",VLOOKUP(G576,MODULY_CBA!$B$3:$E$23,2,0),),)</f>
        <v>0.99</v>
      </c>
      <c r="O576" s="380">
        <f t="shared" si="39"/>
        <v>10.835549999999998</v>
      </c>
      <c r="P576" s="379">
        <f>IFERROR(O576*VLOOKUP(G576,MODULY_CBA!$B$3:$F$23,5,0),)</f>
        <v>216.71099999999996</v>
      </c>
      <c r="Q576" s="480" t="str">
        <f>IFERROR(VLOOKUP(G576,MODULY_CBA!$B$3:$I$23,6,0),"")</f>
        <v>Inkrement 1</v>
      </c>
    </row>
    <row r="577" spans="1:17" ht="102">
      <c r="A577" s="682" t="s">
        <v>2275</v>
      </c>
      <c r="B577" s="402" t="s">
        <v>749</v>
      </c>
      <c r="C577" s="532"/>
      <c r="D577" s="532" t="s">
        <v>2387</v>
      </c>
      <c r="E577" s="532" t="s">
        <v>2388</v>
      </c>
      <c r="F577" s="390" t="s">
        <v>806</v>
      </c>
      <c r="G577" s="390" t="s">
        <v>787</v>
      </c>
      <c r="H577" s="381">
        <v>1</v>
      </c>
      <c r="I577" s="381">
        <v>10</v>
      </c>
      <c r="K577" s="381">
        <f t="shared" si="38"/>
        <v>10</v>
      </c>
      <c r="L577" s="644">
        <f>IFERROR(IF(B577="funkcna poziadavka",VLOOKUP(G577,MODULY_CBA!$B$3:$E$23,4,0)*H577/SUMIFS($H$3:$H$168,$G$3:$G$168,G577,$B$3:$B$168,B577),),)</f>
        <v>6</v>
      </c>
      <c r="M577" s="381">
        <f>IFERROR(IF(B577="Funkcna poziadavka",VLOOKUP(G577,MODULY_CBA!$B$3:$E$23,3,0),),)</f>
        <v>0.99499999999999988</v>
      </c>
      <c r="N577" s="381">
        <f>IFERROR(IF(B577="funkcna poziadavka",VLOOKUP(G577,MODULY_CBA!$B$3:$E$23,2,0),),)</f>
        <v>0.99</v>
      </c>
      <c r="O577" s="380">
        <f t="shared" si="39"/>
        <v>15.760799999999998</v>
      </c>
      <c r="P577" s="379">
        <f>IFERROR(O577*VLOOKUP(G577,MODULY_CBA!$B$3:$F$23,5,0),)</f>
        <v>315.21599999999995</v>
      </c>
      <c r="Q577" s="480" t="str">
        <f>IFERROR(VLOOKUP(G577,MODULY_CBA!$B$3:$I$23,6,0),"")</f>
        <v>Inkrement 1</v>
      </c>
    </row>
    <row r="578" spans="1:17" ht="25.5">
      <c r="A578" s="682" t="s">
        <v>2278</v>
      </c>
      <c r="B578" s="402" t="s">
        <v>749</v>
      </c>
      <c r="C578" s="532"/>
      <c r="D578" s="532" t="s">
        <v>2389</v>
      </c>
      <c r="E578" s="532" t="s">
        <v>2390</v>
      </c>
      <c r="F578" s="390" t="s">
        <v>806</v>
      </c>
      <c r="G578" s="390" t="s">
        <v>787</v>
      </c>
      <c r="H578" s="381">
        <v>1</v>
      </c>
      <c r="I578" s="381">
        <v>5</v>
      </c>
      <c r="K578" s="381">
        <f t="shared" si="38"/>
        <v>5</v>
      </c>
      <c r="L578" s="644">
        <f>IFERROR(IF(B578="funkcna poziadavka",VLOOKUP(G578,MODULY_CBA!$B$3:$E$23,4,0)*H578/SUMIFS($H$3:$H$168,$G$3:$G$168,G578,$B$3:$B$168,B578),),)</f>
        <v>6</v>
      </c>
      <c r="M578" s="381">
        <f>IFERROR(IF(B578="Funkcna poziadavka",VLOOKUP(G578,MODULY_CBA!$B$3:$E$23,3,0),),)</f>
        <v>0.99499999999999988</v>
      </c>
      <c r="N578" s="381">
        <f>IFERROR(IF(B578="funkcna poziadavka",VLOOKUP(G578,MODULY_CBA!$B$3:$E$23,2,0),),)</f>
        <v>0.99</v>
      </c>
      <c r="O578" s="380">
        <f t="shared" si="39"/>
        <v>10.835549999999998</v>
      </c>
      <c r="P578" s="379">
        <f>IFERROR(O578*VLOOKUP(G578,MODULY_CBA!$B$3:$F$23,5,0),)</f>
        <v>216.71099999999996</v>
      </c>
      <c r="Q578" s="480" t="str">
        <f>IFERROR(VLOOKUP(G578,MODULY_CBA!$B$3:$I$23,6,0),"")</f>
        <v>Inkrement 1</v>
      </c>
    </row>
    <row r="579" spans="1:17" ht="25.5">
      <c r="A579" s="682" t="s">
        <v>2281</v>
      </c>
      <c r="B579" s="402" t="s">
        <v>749</v>
      </c>
      <c r="C579" s="532"/>
      <c r="D579" s="532" t="s">
        <v>2391</v>
      </c>
      <c r="E579" s="532" t="s">
        <v>2392</v>
      </c>
      <c r="F579" s="390" t="s">
        <v>806</v>
      </c>
      <c r="G579" s="390" t="s">
        <v>787</v>
      </c>
      <c r="H579" s="381">
        <v>1</v>
      </c>
      <c r="I579" s="381">
        <v>5</v>
      </c>
      <c r="K579" s="381">
        <f t="shared" si="38"/>
        <v>5</v>
      </c>
      <c r="L579" s="644">
        <f>IFERROR(IF(B579="funkcna poziadavka",VLOOKUP(G579,MODULY_CBA!$B$3:$E$23,4,0)*H579/SUMIFS($H$3:$H$168,$G$3:$G$168,G579,$B$3:$B$168,B579),),)</f>
        <v>6</v>
      </c>
      <c r="M579" s="381">
        <f>IFERROR(IF(B579="Funkcna poziadavka",VLOOKUP(G579,MODULY_CBA!$B$3:$E$23,3,0),),)</f>
        <v>0.99499999999999988</v>
      </c>
      <c r="N579" s="381">
        <f>IFERROR(IF(B579="funkcna poziadavka",VLOOKUP(G579,MODULY_CBA!$B$3:$E$23,2,0),),)</f>
        <v>0.99</v>
      </c>
      <c r="O579" s="380">
        <f t="shared" si="39"/>
        <v>10.835549999999998</v>
      </c>
      <c r="P579" s="379">
        <f>IFERROR(O579*VLOOKUP(G579,MODULY_CBA!$B$3:$F$23,5,0),)</f>
        <v>216.71099999999996</v>
      </c>
      <c r="Q579" s="480" t="str">
        <f>IFERROR(VLOOKUP(G579,MODULY_CBA!$B$3:$I$23,6,0),"")</f>
        <v>Inkrement 1</v>
      </c>
    </row>
    <row r="580" spans="1:17" ht="25.5">
      <c r="A580" s="682" t="s">
        <v>2284</v>
      </c>
      <c r="B580" s="402" t="s">
        <v>749</v>
      </c>
      <c r="C580" s="532"/>
      <c r="D580" s="532" t="s">
        <v>2393</v>
      </c>
      <c r="E580" s="532" t="s">
        <v>2394</v>
      </c>
      <c r="F580" s="390" t="s">
        <v>806</v>
      </c>
      <c r="G580" s="390" t="s">
        <v>787</v>
      </c>
      <c r="H580" s="381">
        <v>1</v>
      </c>
      <c r="I580" s="381">
        <v>5</v>
      </c>
      <c r="K580" s="381">
        <f t="shared" si="38"/>
        <v>5</v>
      </c>
      <c r="L580" s="644">
        <f>IFERROR(IF(B580="funkcna poziadavka",VLOOKUP(G580,MODULY_CBA!$B$3:$E$23,4,0)*H580/SUMIFS($H$3:$H$168,$G$3:$G$168,G580,$B$3:$B$168,B580),),)</f>
        <v>6</v>
      </c>
      <c r="M580" s="381">
        <f>IFERROR(IF(B580="Funkcna poziadavka",VLOOKUP(G580,MODULY_CBA!$B$3:$E$23,3,0),),)</f>
        <v>0.99499999999999988</v>
      </c>
      <c r="N580" s="381">
        <f>IFERROR(IF(B580="funkcna poziadavka",VLOOKUP(G580,MODULY_CBA!$B$3:$E$23,2,0),),)</f>
        <v>0.99</v>
      </c>
      <c r="O580" s="380">
        <f t="shared" si="39"/>
        <v>10.835549999999998</v>
      </c>
      <c r="P580" s="379">
        <f>IFERROR(O580*VLOOKUP(G580,MODULY_CBA!$B$3:$F$23,5,0),)</f>
        <v>216.71099999999996</v>
      </c>
      <c r="Q580" s="480" t="str">
        <f>IFERROR(VLOOKUP(G580,MODULY_CBA!$B$3:$I$23,6,0),"")</f>
        <v>Inkrement 1</v>
      </c>
    </row>
    <row r="581" spans="1:17" ht="25.5">
      <c r="A581" s="682" t="s">
        <v>2287</v>
      </c>
      <c r="B581" s="402" t="s">
        <v>749</v>
      </c>
      <c r="C581" s="532"/>
      <c r="D581" s="532" t="s">
        <v>2395</v>
      </c>
      <c r="E581" s="532" t="s">
        <v>2396</v>
      </c>
      <c r="F581" s="390" t="s">
        <v>806</v>
      </c>
      <c r="G581" s="390" t="s">
        <v>787</v>
      </c>
      <c r="H581" s="381">
        <v>1</v>
      </c>
      <c r="I581" s="381">
        <v>5</v>
      </c>
      <c r="K581" s="381">
        <f t="shared" si="38"/>
        <v>5</v>
      </c>
      <c r="L581" s="644">
        <f>IFERROR(IF(B581="funkcna poziadavka",VLOOKUP(G581,MODULY_CBA!$B$3:$E$23,4,0)*H581/SUMIFS($H$3:$H$168,$G$3:$G$168,G581,$B$3:$B$168,B581),),)</f>
        <v>6</v>
      </c>
      <c r="M581" s="381">
        <f>IFERROR(IF(B581="Funkcna poziadavka",VLOOKUP(G581,MODULY_CBA!$B$3:$E$23,3,0),),)</f>
        <v>0.99499999999999988</v>
      </c>
      <c r="N581" s="381">
        <f>IFERROR(IF(B581="funkcna poziadavka",VLOOKUP(G581,MODULY_CBA!$B$3:$E$23,2,0),),)</f>
        <v>0.99</v>
      </c>
      <c r="O581" s="380">
        <f t="shared" si="39"/>
        <v>10.835549999999998</v>
      </c>
      <c r="P581" s="379">
        <f>IFERROR(O581*VLOOKUP(G581,MODULY_CBA!$B$3:$F$23,5,0),)</f>
        <v>216.71099999999996</v>
      </c>
      <c r="Q581" s="480" t="str">
        <f>IFERROR(VLOOKUP(G581,MODULY_CBA!$B$3:$I$23,6,0),"")</f>
        <v>Inkrement 1</v>
      </c>
    </row>
    <row r="582" spans="1:17" ht="25.5">
      <c r="A582" s="682" t="s">
        <v>2290</v>
      </c>
      <c r="B582" s="402" t="s">
        <v>749</v>
      </c>
      <c r="C582" s="532"/>
      <c r="D582" s="532" t="s">
        <v>2397</v>
      </c>
      <c r="E582" s="532" t="s">
        <v>2398</v>
      </c>
      <c r="F582" s="390" t="s">
        <v>806</v>
      </c>
      <c r="G582" s="390" t="s">
        <v>787</v>
      </c>
      <c r="H582" s="381">
        <v>1</v>
      </c>
      <c r="I582" s="381">
        <v>5</v>
      </c>
      <c r="K582" s="381">
        <f t="shared" si="38"/>
        <v>5</v>
      </c>
      <c r="L582" s="644">
        <f>IFERROR(IF(B582="funkcna poziadavka",VLOOKUP(G582,MODULY_CBA!$B$3:$E$23,4,0)*H582/SUMIFS($H$3:$H$168,$G$3:$G$168,G582,$B$3:$B$168,B582),),)</f>
        <v>6</v>
      </c>
      <c r="M582" s="381">
        <f>IFERROR(IF(B582="Funkcna poziadavka",VLOOKUP(G582,MODULY_CBA!$B$3:$E$23,3,0),),)</f>
        <v>0.99499999999999988</v>
      </c>
      <c r="N582" s="381">
        <f>IFERROR(IF(B582="funkcna poziadavka",VLOOKUP(G582,MODULY_CBA!$B$3:$E$23,2,0),),)</f>
        <v>0.99</v>
      </c>
      <c r="O582" s="380">
        <f t="shared" si="39"/>
        <v>10.835549999999998</v>
      </c>
      <c r="P582" s="379">
        <f>IFERROR(O582*VLOOKUP(G582,MODULY_CBA!$B$3:$F$23,5,0),)</f>
        <v>216.71099999999996</v>
      </c>
      <c r="Q582" s="480" t="str">
        <f>IFERROR(VLOOKUP(G582,MODULY_CBA!$B$3:$I$23,6,0),"")</f>
        <v>Inkrement 1</v>
      </c>
    </row>
    <row r="583" spans="1:17" ht="38.25">
      <c r="A583" s="682" t="s">
        <v>2293</v>
      </c>
      <c r="B583" s="402" t="s">
        <v>749</v>
      </c>
      <c r="C583" s="532"/>
      <c r="D583" s="532" t="s">
        <v>2399</v>
      </c>
      <c r="E583" s="532" t="s">
        <v>2400</v>
      </c>
      <c r="F583" s="390" t="s">
        <v>806</v>
      </c>
      <c r="G583" s="390" t="s">
        <v>787</v>
      </c>
      <c r="H583" s="381">
        <v>1</v>
      </c>
      <c r="I583" s="381">
        <v>15</v>
      </c>
      <c r="K583" s="381">
        <f t="shared" si="38"/>
        <v>15</v>
      </c>
      <c r="L583" s="644">
        <f>IFERROR(IF(B583="funkcna poziadavka",VLOOKUP(G583,MODULY_CBA!$B$3:$E$23,4,0)*H583/SUMIFS($H$3:$H$168,$G$3:$G$168,G583,$B$3:$B$168,B583),),)</f>
        <v>6</v>
      </c>
      <c r="M583" s="381">
        <f>IFERROR(IF(B583="Funkcna poziadavka",VLOOKUP(G583,MODULY_CBA!$B$3:$E$23,3,0),),)</f>
        <v>0.99499999999999988</v>
      </c>
      <c r="N583" s="381">
        <f>IFERROR(IF(B583="funkcna poziadavka",VLOOKUP(G583,MODULY_CBA!$B$3:$E$23,2,0),),)</f>
        <v>0.99</v>
      </c>
      <c r="O583" s="380">
        <f t="shared" si="39"/>
        <v>20.686049999999994</v>
      </c>
      <c r="P583" s="379">
        <f>IFERROR(O583*VLOOKUP(G583,MODULY_CBA!$B$3:$F$23,5,0),)</f>
        <v>413.72099999999989</v>
      </c>
      <c r="Q583" s="480" t="str">
        <f>IFERROR(VLOOKUP(G583,MODULY_CBA!$B$3:$I$23,6,0),"")</f>
        <v>Inkrement 1</v>
      </c>
    </row>
    <row r="584" spans="1:17" ht="38.25">
      <c r="A584" s="682" t="s">
        <v>2296</v>
      </c>
      <c r="B584" s="402" t="s">
        <v>749</v>
      </c>
      <c r="C584" s="532"/>
      <c r="D584" s="532" t="s">
        <v>2401</v>
      </c>
      <c r="E584" s="532" t="s">
        <v>2402</v>
      </c>
      <c r="F584" s="390" t="s">
        <v>806</v>
      </c>
      <c r="G584" s="390" t="s">
        <v>787</v>
      </c>
      <c r="H584" s="381">
        <v>1</v>
      </c>
      <c r="I584" s="381">
        <v>10</v>
      </c>
      <c r="K584" s="381">
        <f t="shared" si="38"/>
        <v>10</v>
      </c>
      <c r="L584" s="644">
        <f>IFERROR(IF(B584="funkcna poziadavka",VLOOKUP(G584,MODULY_CBA!$B$3:$E$23,4,0)*H584/SUMIFS($H$3:$H$168,$G$3:$G$168,G584,$B$3:$B$168,B584),),)</f>
        <v>6</v>
      </c>
      <c r="M584" s="381">
        <f>IFERROR(IF(B584="Funkcna poziadavka",VLOOKUP(G584,MODULY_CBA!$B$3:$E$23,3,0),),)</f>
        <v>0.99499999999999988</v>
      </c>
      <c r="N584" s="381">
        <f>IFERROR(IF(B584="funkcna poziadavka",VLOOKUP(G584,MODULY_CBA!$B$3:$E$23,2,0),),)</f>
        <v>0.99</v>
      </c>
      <c r="O584" s="380">
        <f t="shared" si="39"/>
        <v>15.760799999999998</v>
      </c>
      <c r="P584" s="379">
        <f>IFERROR(O584*VLOOKUP(G584,MODULY_CBA!$B$3:$F$23,5,0),)</f>
        <v>315.21599999999995</v>
      </c>
      <c r="Q584" s="480" t="str">
        <f>IFERROR(VLOOKUP(G584,MODULY_CBA!$B$3:$I$23,6,0),"")</f>
        <v>Inkrement 1</v>
      </c>
    </row>
    <row r="585" spans="1:17" ht="38.25">
      <c r="A585" s="682" t="s">
        <v>2299</v>
      </c>
      <c r="B585" s="402" t="s">
        <v>749</v>
      </c>
      <c r="C585" s="532"/>
      <c r="D585" s="532" t="s">
        <v>2403</v>
      </c>
      <c r="E585" s="532" t="s">
        <v>2404</v>
      </c>
      <c r="F585" s="390" t="s">
        <v>806</v>
      </c>
      <c r="G585" s="390" t="s">
        <v>787</v>
      </c>
      <c r="H585" s="381">
        <v>1</v>
      </c>
      <c r="I585" s="381">
        <v>5</v>
      </c>
      <c r="K585" s="381">
        <f t="shared" si="38"/>
        <v>5</v>
      </c>
      <c r="L585" s="644">
        <f>IFERROR(IF(B585="funkcna poziadavka",VLOOKUP(G585,MODULY_CBA!$B$3:$E$23,4,0)*H585/SUMIFS($H$3:$H$168,$G$3:$G$168,G585,$B$3:$B$168,B585),),)</f>
        <v>6</v>
      </c>
      <c r="M585" s="381">
        <f>IFERROR(IF(B585="Funkcna poziadavka",VLOOKUP(G585,MODULY_CBA!$B$3:$E$23,3,0),),)</f>
        <v>0.99499999999999988</v>
      </c>
      <c r="N585" s="381">
        <f>IFERROR(IF(B585="funkcna poziadavka",VLOOKUP(G585,MODULY_CBA!$B$3:$E$23,2,0),),)</f>
        <v>0.99</v>
      </c>
      <c r="O585" s="380">
        <f t="shared" si="39"/>
        <v>10.835549999999998</v>
      </c>
      <c r="P585" s="379">
        <f>IFERROR(O585*VLOOKUP(G585,MODULY_CBA!$B$3:$F$23,5,0),)</f>
        <v>216.71099999999996</v>
      </c>
      <c r="Q585" s="480" t="str">
        <f>IFERROR(VLOOKUP(G585,MODULY_CBA!$B$3:$I$23,6,0),"")</f>
        <v>Inkrement 1</v>
      </c>
    </row>
    <row r="586" spans="1:17" ht="38.25">
      <c r="A586" s="682" t="s">
        <v>2302</v>
      </c>
      <c r="B586" s="402" t="s">
        <v>749</v>
      </c>
      <c r="C586" s="532" t="s">
        <v>2405</v>
      </c>
      <c r="D586" s="532" t="s">
        <v>2406</v>
      </c>
      <c r="E586" s="532" t="s">
        <v>2407</v>
      </c>
      <c r="F586" s="390" t="s">
        <v>806</v>
      </c>
      <c r="G586" s="390" t="s">
        <v>785</v>
      </c>
      <c r="H586" s="381">
        <v>1</v>
      </c>
      <c r="I586" s="381">
        <v>15</v>
      </c>
      <c r="K586" s="381">
        <f t="shared" si="38"/>
        <v>15</v>
      </c>
      <c r="L586" s="644">
        <f>IFERROR(IF(B586="funkcna poziadavka",VLOOKUP(G586,MODULY_CBA!$B$3:$E$23,4,0)*H586/SUMIFS($H$3:$H$168,$G$3:$G$168,G586,$B$3:$B$168,B586),),)</f>
        <v>6</v>
      </c>
      <c r="M586" s="381">
        <f>IFERROR(IF(B586="Funkcna poziadavka",VLOOKUP(G586,MODULY_CBA!$B$3:$E$23,3,0),),)</f>
        <v>0.99499999999999988</v>
      </c>
      <c r="N586" s="381">
        <f>IFERROR(IF(B586="funkcna poziadavka",VLOOKUP(G586,MODULY_CBA!$B$3:$E$23,2,0),),)</f>
        <v>0.99</v>
      </c>
      <c r="O586" s="380">
        <f t="shared" si="39"/>
        <v>20.686049999999994</v>
      </c>
      <c r="P586" s="379">
        <f>IFERROR(O586*VLOOKUP(G586,MODULY_CBA!$B$3:$F$23,5,0),)</f>
        <v>413.72099999999989</v>
      </c>
      <c r="Q586" s="480" t="str">
        <f>IFERROR(VLOOKUP(G586,MODULY_CBA!$B$3:$I$23,6,0),"")</f>
        <v>Inkrement 1</v>
      </c>
    </row>
    <row r="587" spans="1:17">
      <c r="A587" s="682" t="s">
        <v>2305</v>
      </c>
      <c r="B587" s="402" t="s">
        <v>749</v>
      </c>
      <c r="C587" s="532" t="s">
        <v>2405</v>
      </c>
      <c r="D587" s="532" t="s">
        <v>2408</v>
      </c>
      <c r="E587" s="532" t="s">
        <v>2409</v>
      </c>
      <c r="F587" s="390" t="s">
        <v>806</v>
      </c>
      <c r="G587" s="390" t="s">
        <v>785</v>
      </c>
      <c r="H587" s="381">
        <v>1</v>
      </c>
      <c r="I587" s="381">
        <v>10</v>
      </c>
      <c r="K587" s="381">
        <f t="shared" si="38"/>
        <v>10</v>
      </c>
      <c r="L587" s="644">
        <f>IFERROR(IF(B587="funkcna poziadavka",VLOOKUP(G587,MODULY_CBA!$B$3:$E$23,4,0)*H587/SUMIFS($H$3:$H$168,$G$3:$G$168,G587,$B$3:$B$168,B587),),)</f>
        <v>6</v>
      </c>
      <c r="M587" s="381">
        <f>IFERROR(IF(B587="Funkcna poziadavka",VLOOKUP(G587,MODULY_CBA!$B$3:$E$23,3,0),),)</f>
        <v>0.99499999999999988</v>
      </c>
      <c r="N587" s="381">
        <f>IFERROR(IF(B587="funkcna poziadavka",VLOOKUP(G587,MODULY_CBA!$B$3:$E$23,2,0),),)</f>
        <v>0.99</v>
      </c>
      <c r="O587" s="380">
        <f t="shared" si="39"/>
        <v>15.760799999999998</v>
      </c>
      <c r="P587" s="379">
        <f>IFERROR(O587*VLOOKUP(G587,MODULY_CBA!$B$3:$F$23,5,0),)</f>
        <v>315.21599999999995</v>
      </c>
      <c r="Q587" s="480" t="str">
        <f>IFERROR(VLOOKUP(G587,MODULY_CBA!$B$3:$I$23,6,0),"")</f>
        <v>Inkrement 1</v>
      </c>
    </row>
    <row r="588" spans="1:17" ht="25.5">
      <c r="A588" s="682" t="s">
        <v>2308</v>
      </c>
      <c r="B588" s="402" t="s">
        <v>749</v>
      </c>
      <c r="C588" s="532" t="s">
        <v>2405</v>
      </c>
      <c r="D588" s="532" t="s">
        <v>2410</v>
      </c>
      <c r="E588" s="532" t="s">
        <v>2411</v>
      </c>
      <c r="F588" s="390" t="s">
        <v>806</v>
      </c>
      <c r="G588" s="390" t="s">
        <v>785</v>
      </c>
      <c r="H588" s="381">
        <v>1</v>
      </c>
      <c r="I588" s="381">
        <v>10</v>
      </c>
      <c r="K588" s="381">
        <f t="shared" si="38"/>
        <v>10</v>
      </c>
      <c r="L588" s="644">
        <f>IFERROR(IF(B588="funkcna poziadavka",VLOOKUP(G588,MODULY_CBA!$B$3:$E$23,4,0)*H588/SUMIFS($H$3:$H$168,$G$3:$G$168,G588,$B$3:$B$168,B588),),)</f>
        <v>6</v>
      </c>
      <c r="M588" s="381">
        <f>IFERROR(IF(B588="Funkcna poziadavka",VLOOKUP(G588,MODULY_CBA!$B$3:$E$23,3,0),),)</f>
        <v>0.99499999999999988</v>
      </c>
      <c r="N588" s="381">
        <f>IFERROR(IF(B588="funkcna poziadavka",VLOOKUP(G588,MODULY_CBA!$B$3:$E$23,2,0),),)</f>
        <v>0.99</v>
      </c>
      <c r="O588" s="380">
        <f t="shared" si="39"/>
        <v>15.760799999999998</v>
      </c>
      <c r="P588" s="379">
        <f>IFERROR(O588*VLOOKUP(G588,MODULY_CBA!$B$3:$F$23,5,0),)</f>
        <v>315.21599999999995</v>
      </c>
      <c r="Q588" s="480" t="str">
        <f>IFERROR(VLOOKUP(G588,MODULY_CBA!$B$3:$I$23,6,0),"")</f>
        <v>Inkrement 1</v>
      </c>
    </row>
    <row r="589" spans="1:17" ht="25.5">
      <c r="A589" s="682" t="s">
        <v>2311</v>
      </c>
      <c r="B589" s="402" t="s">
        <v>749</v>
      </c>
      <c r="C589" s="532" t="s">
        <v>2405</v>
      </c>
      <c r="D589" s="532" t="s">
        <v>2412</v>
      </c>
      <c r="E589" s="532" t="s">
        <v>2413</v>
      </c>
      <c r="F589" s="390" t="s">
        <v>806</v>
      </c>
      <c r="G589" s="390" t="s">
        <v>785</v>
      </c>
      <c r="H589" s="381">
        <v>1</v>
      </c>
      <c r="I589" s="381">
        <v>5</v>
      </c>
      <c r="K589" s="381">
        <f t="shared" si="38"/>
        <v>5</v>
      </c>
      <c r="L589" s="644">
        <f>IFERROR(IF(B589="funkcna poziadavka",VLOOKUP(G589,MODULY_CBA!$B$3:$E$23,4,0)*H589/SUMIFS($H$3:$H$168,$G$3:$G$168,G589,$B$3:$B$168,B589),),)</f>
        <v>6</v>
      </c>
      <c r="M589" s="381">
        <f>IFERROR(IF(B589="Funkcna poziadavka",VLOOKUP(G589,MODULY_CBA!$B$3:$E$23,3,0),),)</f>
        <v>0.99499999999999988</v>
      </c>
      <c r="N589" s="381">
        <f>IFERROR(IF(B589="funkcna poziadavka",VLOOKUP(G589,MODULY_CBA!$B$3:$E$23,2,0),),)</f>
        <v>0.99</v>
      </c>
      <c r="O589" s="380">
        <f t="shared" si="39"/>
        <v>10.835549999999998</v>
      </c>
      <c r="P589" s="379">
        <f>IFERROR(O589*VLOOKUP(G589,MODULY_CBA!$B$3:$F$23,5,0),)</f>
        <v>216.71099999999996</v>
      </c>
      <c r="Q589" s="480" t="str">
        <f>IFERROR(VLOOKUP(G589,MODULY_CBA!$B$3:$I$23,6,0),"")</f>
        <v>Inkrement 1</v>
      </c>
    </row>
    <row r="590" spans="1:17" ht="25.5">
      <c r="A590" s="682" t="s">
        <v>2314</v>
      </c>
      <c r="B590" s="402" t="s">
        <v>749</v>
      </c>
      <c r="C590" s="532" t="s">
        <v>2405</v>
      </c>
      <c r="D590" s="532" t="s">
        <v>2414</v>
      </c>
      <c r="E590" s="532" t="s">
        <v>2415</v>
      </c>
      <c r="F590" s="390" t="s">
        <v>806</v>
      </c>
      <c r="G590" s="390" t="s">
        <v>785</v>
      </c>
      <c r="H590" s="381">
        <v>1</v>
      </c>
      <c r="I590" s="381">
        <v>5</v>
      </c>
      <c r="K590" s="381">
        <f t="shared" si="38"/>
        <v>5</v>
      </c>
      <c r="L590" s="644">
        <f>IFERROR(IF(B590="funkcna poziadavka",VLOOKUP(G590,MODULY_CBA!$B$3:$E$23,4,0)*H590/SUMIFS($H$3:$H$168,$G$3:$G$168,G590,$B$3:$B$168,B590),),)</f>
        <v>6</v>
      </c>
      <c r="M590" s="381">
        <f>IFERROR(IF(B590="Funkcna poziadavka",VLOOKUP(G590,MODULY_CBA!$B$3:$E$23,3,0),),)</f>
        <v>0.99499999999999988</v>
      </c>
      <c r="N590" s="381">
        <f>IFERROR(IF(B590="funkcna poziadavka",VLOOKUP(G590,MODULY_CBA!$B$3:$E$23,2,0),),)</f>
        <v>0.99</v>
      </c>
      <c r="O590" s="380">
        <f t="shared" si="39"/>
        <v>10.835549999999998</v>
      </c>
      <c r="P590" s="379">
        <f>IFERROR(O590*VLOOKUP(G590,MODULY_CBA!$B$3:$F$23,5,0),)</f>
        <v>216.71099999999996</v>
      </c>
      <c r="Q590" s="480" t="str">
        <f>IFERROR(VLOOKUP(G590,MODULY_CBA!$B$3:$I$23,6,0),"")</f>
        <v>Inkrement 1</v>
      </c>
    </row>
    <row r="591" spans="1:17" ht="165.75">
      <c r="A591" s="682" t="s">
        <v>2317</v>
      </c>
      <c r="B591" s="402" t="s">
        <v>749</v>
      </c>
      <c r="C591" s="532" t="s">
        <v>2405</v>
      </c>
      <c r="D591" s="532" t="s">
        <v>2416</v>
      </c>
      <c r="E591" s="532" t="s">
        <v>2417</v>
      </c>
      <c r="F591" s="390" t="s">
        <v>806</v>
      </c>
      <c r="G591" s="390" t="s">
        <v>785</v>
      </c>
      <c r="H591" s="381">
        <v>1</v>
      </c>
      <c r="I591" s="381">
        <v>10</v>
      </c>
      <c r="K591" s="381">
        <f t="shared" si="38"/>
        <v>10</v>
      </c>
      <c r="L591" s="644">
        <f>IFERROR(IF(B591="funkcna poziadavka",VLOOKUP(G591,MODULY_CBA!$B$3:$E$23,4,0)*H591/SUMIFS($H$3:$H$168,$G$3:$G$168,G591,$B$3:$B$168,B591),),)</f>
        <v>6</v>
      </c>
      <c r="M591" s="381">
        <f>IFERROR(IF(B591="Funkcna poziadavka",VLOOKUP(G591,MODULY_CBA!$B$3:$E$23,3,0),),)</f>
        <v>0.99499999999999988</v>
      </c>
      <c r="N591" s="381">
        <f>IFERROR(IF(B591="funkcna poziadavka",VLOOKUP(G591,MODULY_CBA!$B$3:$E$23,2,0),),)</f>
        <v>0.99</v>
      </c>
      <c r="O591" s="380">
        <f t="shared" si="39"/>
        <v>15.760799999999998</v>
      </c>
      <c r="P591" s="379">
        <f>IFERROR(O591*VLOOKUP(G591,MODULY_CBA!$B$3:$F$23,5,0),)</f>
        <v>315.21599999999995</v>
      </c>
      <c r="Q591" s="480" t="str">
        <f>IFERROR(VLOOKUP(G591,MODULY_CBA!$B$3:$I$23,6,0),"")</f>
        <v>Inkrement 1</v>
      </c>
    </row>
    <row r="592" spans="1:17" ht="38.25">
      <c r="A592" s="682" t="s">
        <v>2320</v>
      </c>
      <c r="B592" s="402" t="s">
        <v>749</v>
      </c>
      <c r="C592" s="532" t="s">
        <v>2405</v>
      </c>
      <c r="D592" s="532" t="s">
        <v>2418</v>
      </c>
      <c r="E592" s="532" t="s">
        <v>2419</v>
      </c>
      <c r="F592" s="390" t="s">
        <v>806</v>
      </c>
      <c r="G592" s="390" t="s">
        <v>785</v>
      </c>
      <c r="H592" s="381">
        <v>1</v>
      </c>
      <c r="I592" s="381">
        <v>10</v>
      </c>
      <c r="K592" s="381">
        <f t="shared" si="38"/>
        <v>10</v>
      </c>
      <c r="L592" s="644">
        <f>IFERROR(IF(B592="funkcna poziadavka",VLOOKUP(G592,MODULY_CBA!$B$3:$E$23,4,0)*H592/SUMIFS($H$3:$H$168,$G$3:$G$168,G592,$B$3:$B$168,B592),),)</f>
        <v>6</v>
      </c>
      <c r="M592" s="381">
        <f>IFERROR(IF(B592="Funkcna poziadavka",VLOOKUP(G592,MODULY_CBA!$B$3:$E$23,3,0),),)</f>
        <v>0.99499999999999988</v>
      </c>
      <c r="N592" s="381">
        <f>IFERROR(IF(B592="funkcna poziadavka",VLOOKUP(G592,MODULY_CBA!$B$3:$E$23,2,0),),)</f>
        <v>0.99</v>
      </c>
      <c r="O592" s="380">
        <f t="shared" si="39"/>
        <v>15.760799999999998</v>
      </c>
      <c r="P592" s="379">
        <f>IFERROR(O592*VLOOKUP(G592,MODULY_CBA!$B$3:$F$23,5,0),)</f>
        <v>315.21599999999995</v>
      </c>
      <c r="Q592" s="480" t="str">
        <f>IFERROR(VLOOKUP(G592,MODULY_CBA!$B$3:$I$23,6,0),"")</f>
        <v>Inkrement 1</v>
      </c>
    </row>
    <row r="593" spans="1:17" ht="38.25">
      <c r="A593" s="682" t="s">
        <v>2323</v>
      </c>
      <c r="B593" s="402" t="s">
        <v>749</v>
      </c>
      <c r="C593" s="532" t="s">
        <v>2405</v>
      </c>
      <c r="D593" s="532" t="s">
        <v>2420</v>
      </c>
      <c r="E593" s="532" t="s">
        <v>2421</v>
      </c>
      <c r="F593" s="390" t="s">
        <v>806</v>
      </c>
      <c r="G593" s="390" t="s">
        <v>785</v>
      </c>
      <c r="H593" s="381">
        <v>1</v>
      </c>
      <c r="I593" s="381">
        <v>10</v>
      </c>
      <c r="K593" s="381">
        <f t="shared" si="38"/>
        <v>10</v>
      </c>
      <c r="L593" s="644">
        <f>IFERROR(IF(B593="funkcna poziadavka",VLOOKUP(G593,MODULY_CBA!$B$3:$E$23,4,0)*H593/SUMIFS($H$3:$H$168,$G$3:$G$168,G593,$B$3:$B$168,B593),),)</f>
        <v>6</v>
      </c>
      <c r="M593" s="381">
        <f>IFERROR(IF(B593="Funkcna poziadavka",VLOOKUP(G593,MODULY_CBA!$B$3:$E$23,3,0),),)</f>
        <v>0.99499999999999988</v>
      </c>
      <c r="N593" s="381">
        <f>IFERROR(IF(B593="funkcna poziadavka",VLOOKUP(G593,MODULY_CBA!$B$3:$E$23,2,0),),)</f>
        <v>0.99</v>
      </c>
      <c r="O593" s="380">
        <f t="shared" si="39"/>
        <v>15.760799999999998</v>
      </c>
      <c r="P593" s="379">
        <f>IFERROR(O593*VLOOKUP(G593,MODULY_CBA!$B$3:$F$23,5,0),)</f>
        <v>315.21599999999995</v>
      </c>
      <c r="Q593" s="480" t="str">
        <f>IFERROR(VLOOKUP(G593,MODULY_CBA!$B$3:$I$23,6,0),"")</f>
        <v>Inkrement 1</v>
      </c>
    </row>
    <row r="594" spans="1:17" ht="38.25">
      <c r="A594" s="682" t="s">
        <v>2326</v>
      </c>
      <c r="B594" s="402" t="s">
        <v>749</v>
      </c>
      <c r="C594" s="532" t="s">
        <v>2405</v>
      </c>
      <c r="D594" s="532" t="s">
        <v>2422</v>
      </c>
      <c r="E594" s="532" t="s">
        <v>2423</v>
      </c>
      <c r="F594" s="390" t="s">
        <v>806</v>
      </c>
      <c r="G594" s="390" t="s">
        <v>785</v>
      </c>
      <c r="H594" s="381">
        <v>1</v>
      </c>
      <c r="I594" s="381">
        <v>10</v>
      </c>
      <c r="K594" s="381">
        <f t="shared" si="38"/>
        <v>10</v>
      </c>
      <c r="L594" s="644">
        <f>IFERROR(IF(B594="funkcna poziadavka",VLOOKUP(G594,MODULY_CBA!$B$3:$E$23,4,0)*H594/SUMIFS($H$3:$H$168,$G$3:$G$168,G594,$B$3:$B$168,B594),),)</f>
        <v>6</v>
      </c>
      <c r="M594" s="381">
        <f>IFERROR(IF(B594="Funkcna poziadavka",VLOOKUP(G594,MODULY_CBA!$B$3:$E$23,3,0),),)</f>
        <v>0.99499999999999988</v>
      </c>
      <c r="N594" s="381">
        <f>IFERROR(IF(B594="funkcna poziadavka",VLOOKUP(G594,MODULY_CBA!$B$3:$E$23,2,0),),)</f>
        <v>0.99</v>
      </c>
      <c r="O594" s="380">
        <f t="shared" si="39"/>
        <v>15.760799999999998</v>
      </c>
      <c r="P594" s="379">
        <f>IFERROR(O594*VLOOKUP(G594,MODULY_CBA!$B$3:$F$23,5,0),)</f>
        <v>315.21599999999995</v>
      </c>
      <c r="Q594" s="480" t="str">
        <f>IFERROR(VLOOKUP(G594,MODULY_CBA!$B$3:$I$23,6,0),"")</f>
        <v>Inkrement 1</v>
      </c>
    </row>
    <row r="595" spans="1:17" ht="38.25">
      <c r="A595" s="682" t="s">
        <v>2329</v>
      </c>
      <c r="B595" s="402" t="s">
        <v>749</v>
      </c>
      <c r="C595" s="532" t="s">
        <v>2405</v>
      </c>
      <c r="D595" s="532" t="s">
        <v>2424</v>
      </c>
      <c r="E595" s="532" t="s">
        <v>2425</v>
      </c>
      <c r="F595" s="390" t="s">
        <v>806</v>
      </c>
      <c r="G595" s="390" t="s">
        <v>785</v>
      </c>
      <c r="H595" s="381">
        <v>1</v>
      </c>
      <c r="I595" s="381">
        <v>10</v>
      </c>
      <c r="K595" s="381">
        <f t="shared" si="38"/>
        <v>10</v>
      </c>
      <c r="L595" s="644">
        <f>IFERROR(IF(B595="funkcna poziadavka",VLOOKUP(G595,MODULY_CBA!$B$3:$E$23,4,0)*H595/SUMIFS($H$3:$H$168,$G$3:$G$168,G595,$B$3:$B$168,B595),),)</f>
        <v>6</v>
      </c>
      <c r="M595" s="381">
        <f>IFERROR(IF(B595="Funkcna poziadavka",VLOOKUP(G595,MODULY_CBA!$B$3:$E$23,3,0),),)</f>
        <v>0.99499999999999988</v>
      </c>
      <c r="N595" s="381">
        <f>IFERROR(IF(B595="funkcna poziadavka",VLOOKUP(G595,MODULY_CBA!$B$3:$E$23,2,0),),)</f>
        <v>0.99</v>
      </c>
      <c r="O595" s="380">
        <f t="shared" si="39"/>
        <v>15.760799999999998</v>
      </c>
      <c r="P595" s="379">
        <f>IFERROR(O595*VLOOKUP(G595,MODULY_CBA!$B$3:$F$23,5,0),)</f>
        <v>315.21599999999995</v>
      </c>
      <c r="Q595" s="480" t="str">
        <f>IFERROR(VLOOKUP(G595,MODULY_CBA!$B$3:$I$23,6,0),"")</f>
        <v>Inkrement 1</v>
      </c>
    </row>
    <row r="596" spans="1:17" ht="38.25">
      <c r="A596" s="682" t="s">
        <v>2332</v>
      </c>
      <c r="B596" s="402" t="s">
        <v>749</v>
      </c>
      <c r="C596" s="532" t="s">
        <v>2405</v>
      </c>
      <c r="D596" s="532" t="s">
        <v>2426</v>
      </c>
      <c r="E596" s="532" t="s">
        <v>2427</v>
      </c>
      <c r="F596" s="390" t="s">
        <v>806</v>
      </c>
      <c r="G596" s="390" t="s">
        <v>785</v>
      </c>
      <c r="H596" s="381">
        <v>1</v>
      </c>
      <c r="I596" s="381">
        <v>10</v>
      </c>
      <c r="K596" s="381">
        <f t="shared" si="38"/>
        <v>10</v>
      </c>
      <c r="L596" s="644">
        <f>IFERROR(IF(B596="funkcna poziadavka",VLOOKUP(G596,MODULY_CBA!$B$3:$E$23,4,0)*H596/SUMIFS($H$3:$H$168,$G$3:$G$168,G596,$B$3:$B$168,B596),),)</f>
        <v>6</v>
      </c>
      <c r="M596" s="381">
        <f>IFERROR(IF(B596="Funkcna poziadavka",VLOOKUP(G596,MODULY_CBA!$B$3:$E$23,3,0),),)</f>
        <v>0.99499999999999988</v>
      </c>
      <c r="N596" s="381">
        <f>IFERROR(IF(B596="funkcna poziadavka",VLOOKUP(G596,MODULY_CBA!$B$3:$E$23,2,0),),)</f>
        <v>0.99</v>
      </c>
      <c r="O596" s="380">
        <f t="shared" si="39"/>
        <v>15.760799999999998</v>
      </c>
      <c r="P596" s="379">
        <f>IFERROR(O596*VLOOKUP(G596,MODULY_CBA!$B$3:$F$23,5,0),)</f>
        <v>315.21599999999995</v>
      </c>
      <c r="Q596" s="480" t="str">
        <f>IFERROR(VLOOKUP(G596,MODULY_CBA!$B$3:$I$23,6,0),"")</f>
        <v>Inkrement 1</v>
      </c>
    </row>
    <row r="597" spans="1:17" ht="25.5">
      <c r="A597" s="682" t="s">
        <v>2335</v>
      </c>
      <c r="B597" s="402" t="s">
        <v>749</v>
      </c>
      <c r="C597" s="532" t="s">
        <v>2405</v>
      </c>
      <c r="D597" s="532" t="s">
        <v>2428</v>
      </c>
      <c r="E597" s="532" t="s">
        <v>2429</v>
      </c>
      <c r="F597" s="390" t="s">
        <v>806</v>
      </c>
      <c r="G597" s="390" t="s">
        <v>785</v>
      </c>
      <c r="H597" s="381">
        <v>1</v>
      </c>
      <c r="I597" s="381">
        <v>5</v>
      </c>
      <c r="K597" s="381">
        <f t="shared" si="38"/>
        <v>5</v>
      </c>
      <c r="L597" s="644">
        <f>IFERROR(IF(B597="funkcna poziadavka",VLOOKUP(G597,MODULY_CBA!$B$3:$E$23,4,0)*H597/SUMIFS($H$3:$H$168,$G$3:$G$168,G597,$B$3:$B$168,B597),),)</f>
        <v>6</v>
      </c>
      <c r="M597" s="381">
        <f>IFERROR(IF(B597="Funkcna poziadavka",VLOOKUP(G597,MODULY_CBA!$B$3:$E$23,3,0),),)</f>
        <v>0.99499999999999988</v>
      </c>
      <c r="N597" s="381">
        <f>IFERROR(IF(B597="funkcna poziadavka",VLOOKUP(G597,MODULY_CBA!$B$3:$E$23,2,0),),)</f>
        <v>0.99</v>
      </c>
      <c r="O597" s="380">
        <f t="shared" si="39"/>
        <v>10.835549999999998</v>
      </c>
      <c r="P597" s="379">
        <f>IFERROR(O597*VLOOKUP(G597,MODULY_CBA!$B$3:$F$23,5,0),)</f>
        <v>216.71099999999996</v>
      </c>
      <c r="Q597" s="480" t="str">
        <f>IFERROR(VLOOKUP(G597,MODULY_CBA!$B$3:$I$23,6,0),"")</f>
        <v>Inkrement 1</v>
      </c>
    </row>
    <row r="598" spans="1:17" ht="38.25">
      <c r="A598" s="682" t="s">
        <v>2338</v>
      </c>
      <c r="B598" s="402" t="s">
        <v>749</v>
      </c>
      <c r="C598" s="532" t="s">
        <v>2405</v>
      </c>
      <c r="D598" s="532" t="s">
        <v>2430</v>
      </c>
      <c r="E598" s="532" t="s">
        <v>2431</v>
      </c>
      <c r="F598" s="390" t="s">
        <v>806</v>
      </c>
      <c r="G598" s="390" t="s">
        <v>785</v>
      </c>
      <c r="H598" s="381">
        <v>1</v>
      </c>
      <c r="I598" s="381">
        <v>5</v>
      </c>
      <c r="K598" s="381">
        <f t="shared" si="38"/>
        <v>5</v>
      </c>
      <c r="L598" s="644">
        <f>IFERROR(IF(B598="funkcna poziadavka",VLOOKUP(G598,MODULY_CBA!$B$3:$E$23,4,0)*H598/SUMIFS($H$3:$H$168,$G$3:$G$168,G598,$B$3:$B$168,B598),),)</f>
        <v>6</v>
      </c>
      <c r="M598" s="381">
        <f>IFERROR(IF(B598="Funkcna poziadavka",VLOOKUP(G598,MODULY_CBA!$B$3:$E$23,3,0),),)</f>
        <v>0.99499999999999988</v>
      </c>
      <c r="N598" s="381">
        <f>IFERROR(IF(B598="funkcna poziadavka",VLOOKUP(G598,MODULY_CBA!$B$3:$E$23,2,0),),)</f>
        <v>0.99</v>
      </c>
      <c r="O598" s="380">
        <f t="shared" si="39"/>
        <v>10.835549999999998</v>
      </c>
      <c r="P598" s="379">
        <f>IFERROR(O598*VLOOKUP(G598,MODULY_CBA!$B$3:$F$23,5,0),)</f>
        <v>216.71099999999996</v>
      </c>
      <c r="Q598" s="480" t="str">
        <f>IFERROR(VLOOKUP(G598,MODULY_CBA!$B$3:$I$23,6,0),"")</f>
        <v>Inkrement 1</v>
      </c>
    </row>
    <row r="599" spans="1:17" ht="25.5">
      <c r="A599" s="682" t="s">
        <v>2341</v>
      </c>
      <c r="B599" s="402" t="s">
        <v>749</v>
      </c>
      <c r="C599" s="532" t="s">
        <v>2405</v>
      </c>
      <c r="D599" s="532" t="s">
        <v>2432</v>
      </c>
      <c r="E599" s="532" t="s">
        <v>2433</v>
      </c>
      <c r="F599" s="390" t="s">
        <v>806</v>
      </c>
      <c r="G599" s="390" t="s">
        <v>785</v>
      </c>
      <c r="H599" s="381">
        <v>1</v>
      </c>
      <c r="I599" s="381">
        <v>5</v>
      </c>
      <c r="K599" s="381">
        <f t="shared" si="38"/>
        <v>5</v>
      </c>
      <c r="L599" s="644">
        <f>IFERROR(IF(B599="funkcna poziadavka",VLOOKUP(G599,MODULY_CBA!$B$3:$E$23,4,0)*H599/SUMIFS($H$3:$H$168,$G$3:$G$168,G599,$B$3:$B$168,B599),),)</f>
        <v>6</v>
      </c>
      <c r="M599" s="381">
        <f>IFERROR(IF(B599="Funkcna poziadavka",VLOOKUP(G599,MODULY_CBA!$B$3:$E$23,3,0),),)</f>
        <v>0.99499999999999988</v>
      </c>
      <c r="N599" s="381">
        <f>IFERROR(IF(B599="funkcna poziadavka",VLOOKUP(G599,MODULY_CBA!$B$3:$E$23,2,0),),)</f>
        <v>0.99</v>
      </c>
      <c r="O599" s="380">
        <f t="shared" si="39"/>
        <v>10.835549999999998</v>
      </c>
      <c r="P599" s="379">
        <f>IFERROR(O599*VLOOKUP(G599,MODULY_CBA!$B$3:$F$23,5,0),)</f>
        <v>216.71099999999996</v>
      </c>
      <c r="Q599" s="480" t="str">
        <f>IFERROR(VLOOKUP(G599,MODULY_CBA!$B$3:$I$23,6,0),"")</f>
        <v>Inkrement 1</v>
      </c>
    </row>
    <row r="600" spans="1:17" ht="25.5">
      <c r="A600" s="682" t="s">
        <v>2344</v>
      </c>
      <c r="B600" s="402" t="s">
        <v>749</v>
      </c>
      <c r="C600" s="532" t="s">
        <v>2405</v>
      </c>
      <c r="D600" s="532" t="s">
        <v>2434</v>
      </c>
      <c r="E600" s="532" t="s">
        <v>2435</v>
      </c>
      <c r="F600" s="390" t="s">
        <v>806</v>
      </c>
      <c r="G600" s="390" t="s">
        <v>785</v>
      </c>
      <c r="H600" s="381">
        <v>1</v>
      </c>
      <c r="I600" s="381">
        <v>5</v>
      </c>
      <c r="K600" s="381">
        <f t="shared" si="38"/>
        <v>5</v>
      </c>
      <c r="L600" s="644">
        <f>IFERROR(IF(B600="funkcna poziadavka",VLOOKUP(G600,MODULY_CBA!$B$3:$E$23,4,0)*H600/SUMIFS($H$3:$H$168,$G$3:$G$168,G600,$B$3:$B$168,B600),),)</f>
        <v>6</v>
      </c>
      <c r="M600" s="381">
        <f>IFERROR(IF(B600="Funkcna poziadavka",VLOOKUP(G600,MODULY_CBA!$B$3:$E$23,3,0),),)</f>
        <v>0.99499999999999988</v>
      </c>
      <c r="N600" s="381">
        <f>IFERROR(IF(B600="funkcna poziadavka",VLOOKUP(G600,MODULY_CBA!$B$3:$E$23,2,0),),)</f>
        <v>0.99</v>
      </c>
      <c r="O600" s="380">
        <f t="shared" si="39"/>
        <v>10.835549999999998</v>
      </c>
      <c r="P600" s="379">
        <f>IFERROR(O600*VLOOKUP(G600,MODULY_CBA!$B$3:$F$23,5,0),)</f>
        <v>216.71099999999996</v>
      </c>
      <c r="Q600" s="480" t="str">
        <f>IFERROR(VLOOKUP(G600,MODULY_CBA!$B$3:$I$23,6,0),"")</f>
        <v>Inkrement 1</v>
      </c>
    </row>
    <row r="601" spans="1:17" ht="25.5">
      <c r="A601" s="682" t="s">
        <v>2347</v>
      </c>
      <c r="B601" s="402" t="s">
        <v>749</v>
      </c>
      <c r="C601" s="532" t="s">
        <v>2405</v>
      </c>
      <c r="D601" s="532" t="s">
        <v>2436</v>
      </c>
      <c r="E601" s="532" t="s">
        <v>2437</v>
      </c>
      <c r="F601" s="390" t="s">
        <v>806</v>
      </c>
      <c r="G601" s="390" t="s">
        <v>785</v>
      </c>
      <c r="H601" s="381">
        <v>1</v>
      </c>
      <c r="I601" s="381">
        <v>5</v>
      </c>
      <c r="K601" s="381">
        <f t="shared" si="38"/>
        <v>5</v>
      </c>
      <c r="L601" s="644">
        <f>IFERROR(IF(B601="funkcna poziadavka",VLOOKUP(G601,MODULY_CBA!$B$3:$E$23,4,0)*H601/SUMIFS($H$3:$H$168,$G$3:$G$168,G601,$B$3:$B$168,B601),),)</f>
        <v>6</v>
      </c>
      <c r="M601" s="381">
        <f>IFERROR(IF(B601="Funkcna poziadavka",VLOOKUP(G601,MODULY_CBA!$B$3:$E$23,3,0),),)</f>
        <v>0.99499999999999988</v>
      </c>
      <c r="N601" s="381">
        <f>IFERROR(IF(B601="funkcna poziadavka",VLOOKUP(G601,MODULY_CBA!$B$3:$E$23,2,0),),)</f>
        <v>0.99</v>
      </c>
      <c r="O601" s="380">
        <f t="shared" si="39"/>
        <v>10.835549999999998</v>
      </c>
      <c r="P601" s="379">
        <f>IFERROR(O601*VLOOKUP(G601,MODULY_CBA!$B$3:$F$23,5,0),)</f>
        <v>216.71099999999996</v>
      </c>
      <c r="Q601" s="480" t="str">
        <f>IFERROR(VLOOKUP(G601,MODULY_CBA!$B$3:$I$23,6,0),"")</f>
        <v>Inkrement 1</v>
      </c>
    </row>
    <row r="602" spans="1:17">
      <c r="A602" s="682" t="s">
        <v>2349</v>
      </c>
      <c r="B602" s="402" t="s">
        <v>749</v>
      </c>
      <c r="C602" s="532" t="s">
        <v>2405</v>
      </c>
      <c r="D602" s="532" t="s">
        <v>2438</v>
      </c>
      <c r="E602" s="532" t="s">
        <v>2439</v>
      </c>
      <c r="F602" s="390" t="s">
        <v>806</v>
      </c>
      <c r="G602" s="390" t="s">
        <v>785</v>
      </c>
      <c r="H602" s="381">
        <v>1</v>
      </c>
      <c r="I602" s="381">
        <v>5</v>
      </c>
      <c r="K602" s="381">
        <f t="shared" si="38"/>
        <v>5</v>
      </c>
      <c r="L602" s="644">
        <f>IFERROR(IF(B602="funkcna poziadavka",VLOOKUP(G602,MODULY_CBA!$B$3:$E$23,4,0)*H602/SUMIFS($H$3:$H$168,$G$3:$G$168,G602,$B$3:$B$168,B602),),)</f>
        <v>6</v>
      </c>
      <c r="M602" s="381">
        <f>IFERROR(IF(B602="Funkcna poziadavka",VLOOKUP(G602,MODULY_CBA!$B$3:$E$23,3,0),),)</f>
        <v>0.99499999999999988</v>
      </c>
      <c r="N602" s="381">
        <f>IFERROR(IF(B602="funkcna poziadavka",VLOOKUP(G602,MODULY_CBA!$B$3:$E$23,2,0),),)</f>
        <v>0.99</v>
      </c>
      <c r="O602" s="380">
        <f t="shared" si="39"/>
        <v>10.835549999999998</v>
      </c>
      <c r="P602" s="379">
        <f>IFERROR(O602*VLOOKUP(G602,MODULY_CBA!$B$3:$F$23,5,0),)</f>
        <v>216.71099999999996</v>
      </c>
      <c r="Q602" s="480" t="str">
        <f>IFERROR(VLOOKUP(G602,MODULY_CBA!$B$3:$I$23,6,0),"")</f>
        <v>Inkrement 1</v>
      </c>
    </row>
    <row r="603" spans="1:17" ht="25.5">
      <c r="A603" s="682" t="s">
        <v>2351</v>
      </c>
      <c r="B603" s="402" t="s">
        <v>749</v>
      </c>
      <c r="C603" s="532" t="s">
        <v>2405</v>
      </c>
      <c r="D603" s="532" t="s">
        <v>2440</v>
      </c>
      <c r="E603" s="532" t="s">
        <v>2441</v>
      </c>
      <c r="F603" s="390" t="s">
        <v>806</v>
      </c>
      <c r="G603" s="390" t="s">
        <v>785</v>
      </c>
      <c r="H603" s="381">
        <v>1</v>
      </c>
      <c r="I603" s="381">
        <v>5</v>
      </c>
      <c r="K603" s="381">
        <f t="shared" si="38"/>
        <v>5</v>
      </c>
      <c r="L603" s="644">
        <f>IFERROR(IF(B603="funkcna poziadavka",VLOOKUP(G603,MODULY_CBA!$B$3:$E$23,4,0)*H603/SUMIFS($H$3:$H$168,$G$3:$G$168,G603,$B$3:$B$168,B603),),)</f>
        <v>6</v>
      </c>
      <c r="M603" s="381">
        <f>IFERROR(IF(B603="Funkcna poziadavka",VLOOKUP(G603,MODULY_CBA!$B$3:$E$23,3,0),),)</f>
        <v>0.99499999999999988</v>
      </c>
      <c r="N603" s="381">
        <f>IFERROR(IF(B603="funkcna poziadavka",VLOOKUP(G603,MODULY_CBA!$B$3:$E$23,2,0),),)</f>
        <v>0.99</v>
      </c>
      <c r="O603" s="380">
        <f t="shared" si="39"/>
        <v>10.835549999999998</v>
      </c>
      <c r="P603" s="379">
        <f>IFERROR(O603*VLOOKUP(G603,MODULY_CBA!$B$3:$F$23,5,0),)</f>
        <v>216.71099999999996</v>
      </c>
      <c r="Q603" s="480" t="str">
        <f>IFERROR(VLOOKUP(G603,MODULY_CBA!$B$3:$I$23,6,0),"")</f>
        <v>Inkrement 1</v>
      </c>
    </row>
    <row r="604" spans="1:17" ht="25.5">
      <c r="A604" s="682" t="s">
        <v>2353</v>
      </c>
      <c r="B604" s="402" t="s">
        <v>749</v>
      </c>
      <c r="C604" s="532" t="s">
        <v>2405</v>
      </c>
      <c r="D604" s="532" t="s">
        <v>2442</v>
      </c>
      <c r="E604" s="532" t="s">
        <v>2443</v>
      </c>
      <c r="F604" s="390" t="s">
        <v>806</v>
      </c>
      <c r="G604" s="390" t="s">
        <v>785</v>
      </c>
      <c r="H604" s="381">
        <v>1</v>
      </c>
      <c r="I604" s="381">
        <v>5</v>
      </c>
      <c r="K604" s="381">
        <f t="shared" si="38"/>
        <v>5</v>
      </c>
      <c r="L604" s="644">
        <f>IFERROR(IF(B604="funkcna poziadavka",VLOOKUP(G604,MODULY_CBA!$B$3:$E$23,4,0)*H604/SUMIFS($H$3:$H$168,$G$3:$G$168,G604,$B$3:$B$168,B604),),)</f>
        <v>6</v>
      </c>
      <c r="M604" s="381">
        <f>IFERROR(IF(B604="Funkcna poziadavka",VLOOKUP(G604,MODULY_CBA!$B$3:$E$23,3,0),),)</f>
        <v>0.99499999999999988</v>
      </c>
      <c r="N604" s="381">
        <f>IFERROR(IF(B604="funkcna poziadavka",VLOOKUP(G604,MODULY_CBA!$B$3:$E$23,2,0),),)</f>
        <v>0.99</v>
      </c>
      <c r="O604" s="380">
        <f t="shared" si="39"/>
        <v>10.835549999999998</v>
      </c>
      <c r="P604" s="379">
        <f>IFERROR(O604*VLOOKUP(G604,MODULY_CBA!$B$3:$F$23,5,0),)</f>
        <v>216.71099999999996</v>
      </c>
      <c r="Q604" s="480" t="str">
        <f>IFERROR(VLOOKUP(G604,MODULY_CBA!$B$3:$I$23,6,0),"")</f>
        <v>Inkrement 1</v>
      </c>
    </row>
    <row r="605" spans="1:17">
      <c r="A605" s="682" t="s">
        <v>2355</v>
      </c>
      <c r="B605" s="402" t="s">
        <v>749</v>
      </c>
      <c r="C605" s="532" t="s">
        <v>2405</v>
      </c>
      <c r="D605" s="532" t="s">
        <v>2444</v>
      </c>
      <c r="E605" s="532" t="s">
        <v>2445</v>
      </c>
      <c r="F605" s="390" t="s">
        <v>806</v>
      </c>
      <c r="G605" s="390" t="s">
        <v>785</v>
      </c>
      <c r="H605" s="381">
        <v>1</v>
      </c>
      <c r="I605" s="381">
        <v>5</v>
      </c>
      <c r="K605" s="381">
        <f t="shared" si="38"/>
        <v>5</v>
      </c>
      <c r="L605" s="644">
        <f>IFERROR(IF(B605="funkcna poziadavka",VLOOKUP(G605,MODULY_CBA!$B$3:$E$23,4,0)*H605/SUMIFS($H$3:$H$168,$G$3:$G$168,G605,$B$3:$B$168,B605),),)</f>
        <v>6</v>
      </c>
      <c r="M605" s="381">
        <f>IFERROR(IF(B605="Funkcna poziadavka",VLOOKUP(G605,MODULY_CBA!$B$3:$E$23,3,0),),)</f>
        <v>0.99499999999999988</v>
      </c>
      <c r="N605" s="381">
        <f>IFERROR(IF(B605="funkcna poziadavka",VLOOKUP(G605,MODULY_CBA!$B$3:$E$23,2,0),),)</f>
        <v>0.99</v>
      </c>
      <c r="O605" s="380">
        <f t="shared" si="39"/>
        <v>10.835549999999998</v>
      </c>
      <c r="P605" s="379">
        <f>IFERROR(O605*VLOOKUP(G605,MODULY_CBA!$B$3:$F$23,5,0),)</f>
        <v>216.71099999999996</v>
      </c>
      <c r="Q605" s="480" t="str">
        <f>IFERROR(VLOOKUP(G605,MODULY_CBA!$B$3:$I$23,6,0),"")</f>
        <v>Inkrement 1</v>
      </c>
    </row>
    <row r="606" spans="1:17" ht="51">
      <c r="A606" s="682" t="s">
        <v>2357</v>
      </c>
      <c r="B606" s="402" t="s">
        <v>749</v>
      </c>
      <c r="C606" s="532" t="s">
        <v>2405</v>
      </c>
      <c r="D606" s="532" t="s">
        <v>2446</v>
      </c>
      <c r="E606" s="532" t="s">
        <v>2447</v>
      </c>
      <c r="F606" s="390" t="s">
        <v>806</v>
      </c>
      <c r="G606" s="390" t="s">
        <v>785</v>
      </c>
      <c r="H606" s="381">
        <v>1</v>
      </c>
      <c r="I606" s="381">
        <v>10</v>
      </c>
      <c r="K606" s="381">
        <f t="shared" si="38"/>
        <v>10</v>
      </c>
      <c r="L606" s="644">
        <f>IFERROR(IF(B606="funkcna poziadavka",VLOOKUP(G606,MODULY_CBA!$B$3:$E$23,4,0)*H606/SUMIFS($H$3:$H$168,$G$3:$G$168,G606,$B$3:$B$168,B606),),)</f>
        <v>6</v>
      </c>
      <c r="M606" s="381">
        <f>IFERROR(IF(B606="Funkcna poziadavka",VLOOKUP(G606,MODULY_CBA!$B$3:$E$23,3,0),),)</f>
        <v>0.99499999999999988</v>
      </c>
      <c r="N606" s="381">
        <f>IFERROR(IF(B606="funkcna poziadavka",VLOOKUP(G606,MODULY_CBA!$B$3:$E$23,2,0),),)</f>
        <v>0.99</v>
      </c>
      <c r="O606" s="380">
        <f t="shared" si="39"/>
        <v>15.760799999999998</v>
      </c>
      <c r="P606" s="379">
        <f>IFERROR(O606*VLOOKUP(G606,MODULY_CBA!$B$3:$F$23,5,0),)</f>
        <v>315.21599999999995</v>
      </c>
      <c r="Q606" s="480" t="str">
        <f>IFERROR(VLOOKUP(G606,MODULY_CBA!$B$3:$I$23,6,0),"")</f>
        <v>Inkrement 1</v>
      </c>
    </row>
    <row r="607" spans="1:17" ht="127.5">
      <c r="A607" s="682" t="s">
        <v>2359</v>
      </c>
      <c r="B607" s="402" t="s">
        <v>749</v>
      </c>
      <c r="C607" s="532" t="s">
        <v>2405</v>
      </c>
      <c r="D607" s="532" t="s">
        <v>2448</v>
      </c>
      <c r="E607" s="532" t="s">
        <v>2449</v>
      </c>
      <c r="F607" s="390" t="s">
        <v>806</v>
      </c>
      <c r="G607" s="390" t="s">
        <v>785</v>
      </c>
      <c r="H607" s="381">
        <v>1</v>
      </c>
      <c r="I607" s="381">
        <v>15</v>
      </c>
      <c r="K607" s="381">
        <f t="shared" si="38"/>
        <v>15</v>
      </c>
      <c r="L607" s="644">
        <f>IFERROR(IF(B607="funkcna poziadavka",VLOOKUP(G607,MODULY_CBA!$B$3:$E$23,4,0)*H607/SUMIFS($H$3:$H$168,$G$3:$G$168,G607,$B$3:$B$168,B607),),)</f>
        <v>6</v>
      </c>
      <c r="M607" s="381">
        <f>IFERROR(IF(B607="Funkcna poziadavka",VLOOKUP(G607,MODULY_CBA!$B$3:$E$23,3,0),),)</f>
        <v>0.99499999999999988</v>
      </c>
      <c r="N607" s="381">
        <f>IFERROR(IF(B607="funkcna poziadavka",VLOOKUP(G607,MODULY_CBA!$B$3:$E$23,2,0),),)</f>
        <v>0.99</v>
      </c>
      <c r="O607" s="380">
        <f t="shared" si="39"/>
        <v>20.686049999999994</v>
      </c>
      <c r="P607" s="379">
        <f>IFERROR(O607*VLOOKUP(G607,MODULY_CBA!$B$3:$F$23,5,0),)</f>
        <v>413.72099999999989</v>
      </c>
      <c r="Q607" s="480" t="str">
        <f>IFERROR(VLOOKUP(G607,MODULY_CBA!$B$3:$I$23,6,0),"")</f>
        <v>Inkrement 1</v>
      </c>
    </row>
    <row r="608" spans="1:17" ht="38.25">
      <c r="A608" s="682" t="s">
        <v>2361</v>
      </c>
      <c r="B608" s="402" t="s">
        <v>749</v>
      </c>
      <c r="C608" s="532" t="s">
        <v>2405</v>
      </c>
      <c r="D608" s="532" t="s">
        <v>2450</v>
      </c>
      <c r="E608" s="532" t="s">
        <v>2451</v>
      </c>
      <c r="F608" s="390" t="s">
        <v>806</v>
      </c>
      <c r="G608" s="390" t="s">
        <v>785</v>
      </c>
      <c r="H608" s="381">
        <v>1</v>
      </c>
      <c r="I608" s="381">
        <v>5</v>
      </c>
      <c r="K608" s="381">
        <f t="shared" si="38"/>
        <v>5</v>
      </c>
      <c r="L608" s="644">
        <f>IFERROR(IF(B608="funkcna poziadavka",VLOOKUP(G608,MODULY_CBA!$B$3:$E$23,4,0)*H608/SUMIFS($H$3:$H$168,$G$3:$G$168,G608,$B$3:$B$168,B608),),)</f>
        <v>6</v>
      </c>
      <c r="M608" s="381">
        <f>IFERROR(IF(B608="Funkcna poziadavka",VLOOKUP(G608,MODULY_CBA!$B$3:$E$23,3,0),),)</f>
        <v>0.99499999999999988</v>
      </c>
      <c r="N608" s="381">
        <f>IFERROR(IF(B608="funkcna poziadavka",VLOOKUP(G608,MODULY_CBA!$B$3:$E$23,2,0),),)</f>
        <v>0.99</v>
      </c>
      <c r="O608" s="380">
        <f t="shared" si="39"/>
        <v>10.835549999999998</v>
      </c>
      <c r="P608" s="379">
        <f>IFERROR(O608*VLOOKUP(G608,MODULY_CBA!$B$3:$F$23,5,0),)</f>
        <v>216.71099999999996</v>
      </c>
      <c r="Q608" s="480" t="str">
        <f>IFERROR(VLOOKUP(G608,MODULY_CBA!$B$3:$I$23,6,0),"")</f>
        <v>Inkrement 1</v>
      </c>
    </row>
    <row r="609" spans="1:17">
      <c r="A609" s="682" t="s">
        <v>2363</v>
      </c>
      <c r="B609" s="402" t="s">
        <v>749</v>
      </c>
      <c r="C609" s="532"/>
      <c r="D609" s="532" t="s">
        <v>2452</v>
      </c>
      <c r="E609" s="532" t="s">
        <v>2453</v>
      </c>
      <c r="F609" s="390" t="s">
        <v>806</v>
      </c>
      <c r="G609" s="390" t="s">
        <v>786</v>
      </c>
      <c r="H609" s="381">
        <v>1</v>
      </c>
      <c r="I609" s="381">
        <v>10</v>
      </c>
      <c r="K609" s="381">
        <f t="shared" si="38"/>
        <v>10</v>
      </c>
      <c r="L609" s="644">
        <f>IFERROR(IF(B609="funkcna poziadavka",VLOOKUP(G609,MODULY_CBA!$B$3:$E$23,4,0)*H609/SUMIFS($H$3:$H$168,$G$3:$G$168,G609,$B$3:$B$168,B609),),)</f>
        <v>12</v>
      </c>
      <c r="M609" s="381">
        <f>IFERROR(IF(B609="Funkcna poziadavka",VLOOKUP(G609,MODULY_CBA!$B$3:$E$23,3,0),),)</f>
        <v>0.99499999999999988</v>
      </c>
      <c r="N609" s="381">
        <f>IFERROR(IF(B609="funkcna poziadavka",VLOOKUP(G609,MODULY_CBA!$B$3:$E$23,2,0),),)</f>
        <v>0.99</v>
      </c>
      <c r="O609" s="380">
        <f t="shared" si="39"/>
        <v>21.671099999999996</v>
      </c>
      <c r="P609" s="379">
        <f>IFERROR(O609*VLOOKUP(G609,MODULY_CBA!$B$3:$F$23,5,0),)</f>
        <v>433.42199999999991</v>
      </c>
      <c r="Q609" s="480" t="str">
        <f>IFERROR(VLOOKUP(G609,MODULY_CBA!$B$3:$I$23,6,0),"")</f>
        <v>Inkrement 1</v>
      </c>
    </row>
    <row r="610" spans="1:17">
      <c r="A610" s="682" t="s">
        <v>2365</v>
      </c>
      <c r="B610" s="402" t="s">
        <v>749</v>
      </c>
      <c r="C610" s="532"/>
      <c r="D610" s="532" t="s">
        <v>2454</v>
      </c>
      <c r="E610" s="532" t="s">
        <v>2455</v>
      </c>
      <c r="F610" s="390" t="s">
        <v>806</v>
      </c>
      <c r="G610" s="390" t="s">
        <v>786</v>
      </c>
      <c r="H610" s="381">
        <v>1</v>
      </c>
      <c r="I610" s="381">
        <v>10</v>
      </c>
      <c r="K610" s="381">
        <f t="shared" si="38"/>
        <v>10</v>
      </c>
      <c r="L610" s="644">
        <f>IFERROR(IF(B610="funkcna poziadavka",VLOOKUP(G610,MODULY_CBA!$B$3:$E$23,4,0)*H610/SUMIFS($H$3:$H$168,$G$3:$G$168,G610,$B$3:$B$168,B610),),)</f>
        <v>12</v>
      </c>
      <c r="M610" s="381">
        <f>IFERROR(IF(B610="Funkcna poziadavka",VLOOKUP(G610,MODULY_CBA!$B$3:$E$23,3,0),),)</f>
        <v>0.99499999999999988</v>
      </c>
      <c r="N610" s="381">
        <f>IFERROR(IF(B610="funkcna poziadavka",VLOOKUP(G610,MODULY_CBA!$B$3:$E$23,2,0),),)</f>
        <v>0.99</v>
      </c>
      <c r="O610" s="380">
        <f t="shared" si="39"/>
        <v>21.671099999999996</v>
      </c>
      <c r="P610" s="379">
        <f>IFERROR(O610*VLOOKUP(G610,MODULY_CBA!$B$3:$F$23,5,0),)</f>
        <v>433.42199999999991</v>
      </c>
      <c r="Q610" s="480" t="str">
        <f>IFERROR(VLOOKUP(G610,MODULY_CBA!$B$3:$I$23,6,0),"")</f>
        <v>Inkrement 1</v>
      </c>
    </row>
    <row r="611" spans="1:17" ht="38.25" hidden="1">
      <c r="A611" s="402" t="s">
        <v>2456</v>
      </c>
      <c r="B611" s="402" t="s">
        <v>1095</v>
      </c>
      <c r="C611" s="665" t="s">
        <v>2457</v>
      </c>
      <c r="D611" s="665" t="s">
        <v>2458</v>
      </c>
      <c r="E611" s="666" t="s">
        <v>2459</v>
      </c>
      <c r="F611" s="390" t="s">
        <v>806</v>
      </c>
      <c r="G611" s="390"/>
      <c r="H611" s="381"/>
      <c r="I611" s="381"/>
      <c r="K611" s="381">
        <f t="shared" si="38"/>
        <v>0</v>
      </c>
      <c r="L611" s="644">
        <f>IFERROR(IF(B611="funkcna poziadavka",VLOOKUP(G611,MODULY_CBA!$B$3:$E$23,4,0)*H611/SUMIFS($H$3:$H$168,$G$3:$G$168,G611,$B$3:$B$168,B611),),)</f>
        <v>0</v>
      </c>
      <c r="M611" s="381">
        <f>IFERROR(IF(B611="Funkcna poziadavka",VLOOKUP(G611,MODULY_CBA!$B$3:$E$23,3,0),),)</f>
        <v>0</v>
      </c>
      <c r="N611" s="381">
        <f>IFERROR(IF(B611="funkcna poziadavka",VLOOKUP(G611,MODULY_CBA!$B$3:$E$23,2,0),),)</f>
        <v>0</v>
      </c>
      <c r="O611" s="380">
        <f t="shared" si="39"/>
        <v>0</v>
      </c>
      <c r="P611" s="379">
        <f>IFERROR(O611*VLOOKUP(G611,MODULY_CBA!$B$3:$F$23,5,0),)</f>
        <v>0</v>
      </c>
      <c r="Q611" s="480" t="str">
        <f>IFERROR(VLOOKUP(G611,MODULY_CBA!$B$3:$I$23,6,0),"")</f>
        <v/>
      </c>
    </row>
    <row r="612" spans="1:17" ht="51" hidden="1">
      <c r="A612" s="402" t="s">
        <v>2460</v>
      </c>
      <c r="B612" s="402" t="s">
        <v>1095</v>
      </c>
      <c r="C612" s="665" t="s">
        <v>2457</v>
      </c>
      <c r="D612" s="665" t="s">
        <v>2461</v>
      </c>
      <c r="E612" s="666" t="s">
        <v>2462</v>
      </c>
      <c r="F612" s="390" t="s">
        <v>806</v>
      </c>
      <c r="G612" s="390"/>
      <c r="H612" s="381"/>
      <c r="I612" s="381"/>
      <c r="K612" s="381">
        <f t="shared" si="38"/>
        <v>0</v>
      </c>
      <c r="L612" s="644">
        <f>IFERROR(IF(B612="funkcna poziadavka",VLOOKUP(G612,MODULY_CBA!$B$3:$E$23,4,0)*H612/SUMIFS($H$3:$H$168,$G$3:$G$168,G612,$B$3:$B$168,B612),),)</f>
        <v>0</v>
      </c>
      <c r="M612" s="381">
        <f>IFERROR(IF(B612="Funkcna poziadavka",VLOOKUP(G612,MODULY_CBA!$B$3:$E$23,3,0),),)</f>
        <v>0</v>
      </c>
      <c r="N612" s="381">
        <f>IFERROR(IF(B612="funkcna poziadavka",VLOOKUP(G612,MODULY_CBA!$B$3:$E$23,2,0),),)</f>
        <v>0</v>
      </c>
      <c r="O612" s="380">
        <f t="shared" si="39"/>
        <v>0</v>
      </c>
      <c r="P612" s="379">
        <f>IFERROR(O612*VLOOKUP(G612,MODULY_CBA!$B$3:$F$23,5,0),)</f>
        <v>0</v>
      </c>
      <c r="Q612" s="480" t="str">
        <f>IFERROR(VLOOKUP(G612,MODULY_CBA!$B$3:$I$23,6,0),"")</f>
        <v/>
      </c>
    </row>
    <row r="613" spans="1:17" ht="38.25" hidden="1">
      <c r="A613" s="402" t="s">
        <v>2463</v>
      </c>
      <c r="B613" s="402" t="s">
        <v>1095</v>
      </c>
      <c r="C613" s="665" t="s">
        <v>2457</v>
      </c>
      <c r="D613" s="665" t="s">
        <v>2464</v>
      </c>
      <c r="E613" s="666" t="s">
        <v>2465</v>
      </c>
      <c r="F613" s="390" t="s">
        <v>806</v>
      </c>
      <c r="G613" s="390"/>
      <c r="H613" s="381"/>
      <c r="I613" s="381"/>
      <c r="K613" s="381">
        <f t="shared" si="38"/>
        <v>0</v>
      </c>
      <c r="L613" s="644">
        <f>IFERROR(IF(B613="funkcna poziadavka",VLOOKUP(G613,MODULY_CBA!$B$3:$E$23,4,0)*H613/SUMIFS($H$3:$H$168,$G$3:$G$168,G613,$B$3:$B$168,B613),),)</f>
        <v>0</v>
      </c>
      <c r="M613" s="381">
        <f>IFERROR(IF(B613="Funkcna poziadavka",VLOOKUP(G613,MODULY_CBA!$B$3:$E$23,3,0),),)</f>
        <v>0</v>
      </c>
      <c r="N613" s="381">
        <f>IFERROR(IF(B613="funkcna poziadavka",VLOOKUP(G613,MODULY_CBA!$B$3:$E$23,2,0),),)</f>
        <v>0</v>
      </c>
      <c r="O613" s="380">
        <f t="shared" si="39"/>
        <v>0</v>
      </c>
      <c r="P613" s="379">
        <f>IFERROR(O613*VLOOKUP(G613,MODULY_CBA!$B$3:$F$23,5,0),)</f>
        <v>0</v>
      </c>
      <c r="Q613" s="480" t="str">
        <f>IFERROR(VLOOKUP(G613,MODULY_CBA!$B$3:$I$23,6,0),"")</f>
        <v/>
      </c>
    </row>
    <row r="614" spans="1:17" ht="63.75" hidden="1">
      <c r="A614" s="402" t="s">
        <v>2466</v>
      </c>
      <c r="B614" s="402" t="s">
        <v>1095</v>
      </c>
      <c r="C614" s="665" t="s">
        <v>2457</v>
      </c>
      <c r="D614" s="665" t="s">
        <v>2467</v>
      </c>
      <c r="E614" s="666" t="s">
        <v>2468</v>
      </c>
      <c r="F614" s="390" t="s">
        <v>806</v>
      </c>
      <c r="G614" s="390"/>
      <c r="H614" s="381"/>
      <c r="I614" s="381"/>
      <c r="K614" s="381">
        <f t="shared" si="38"/>
        <v>0</v>
      </c>
      <c r="L614" s="644">
        <f>IFERROR(IF(B614="funkcna poziadavka",VLOOKUP(G614,MODULY_CBA!$B$3:$E$23,4,0)*H614/SUMIFS($H$3:$H$168,$G$3:$G$168,G614,$B$3:$B$168,B614),),)</f>
        <v>0</v>
      </c>
      <c r="M614" s="381">
        <f>IFERROR(IF(B614="Funkcna poziadavka",VLOOKUP(G614,MODULY_CBA!$B$3:$E$23,3,0),),)</f>
        <v>0</v>
      </c>
      <c r="N614" s="381">
        <f>IFERROR(IF(B614="funkcna poziadavka",VLOOKUP(G614,MODULY_CBA!$B$3:$E$23,2,0),),)</f>
        <v>0</v>
      </c>
      <c r="O614" s="380">
        <f t="shared" si="39"/>
        <v>0</v>
      </c>
      <c r="P614" s="379">
        <f>IFERROR(O614*VLOOKUP(G614,MODULY_CBA!$B$3:$F$23,5,0),)</f>
        <v>0</v>
      </c>
      <c r="Q614" s="480" t="str">
        <f>IFERROR(VLOOKUP(G614,MODULY_CBA!$B$3:$I$23,6,0),"")</f>
        <v/>
      </c>
    </row>
    <row r="615" spans="1:17" ht="51" hidden="1">
      <c r="A615" s="402" t="s">
        <v>2469</v>
      </c>
      <c r="B615" s="402" t="s">
        <v>1095</v>
      </c>
      <c r="C615" s="665" t="s">
        <v>2457</v>
      </c>
      <c r="D615" s="665" t="s">
        <v>2470</v>
      </c>
      <c r="E615" s="666" t="s">
        <v>2471</v>
      </c>
      <c r="F615" s="390" t="s">
        <v>806</v>
      </c>
      <c r="G615" s="390"/>
      <c r="H615" s="381"/>
      <c r="I615" s="381"/>
      <c r="K615" s="381">
        <f t="shared" si="38"/>
        <v>0</v>
      </c>
      <c r="L615" s="644">
        <f>IFERROR(IF(B615="funkcna poziadavka",VLOOKUP(G615,MODULY_CBA!$B$3:$E$23,4,0)*H615/SUMIFS($H$3:$H$168,$G$3:$G$168,G615,$B$3:$B$168,B615),),)</f>
        <v>0</v>
      </c>
      <c r="M615" s="381">
        <f>IFERROR(IF(B615="Funkcna poziadavka",VLOOKUP(G615,MODULY_CBA!$B$3:$E$23,3,0),),)</f>
        <v>0</v>
      </c>
      <c r="N615" s="381">
        <f>IFERROR(IF(B615="funkcna poziadavka",VLOOKUP(G615,MODULY_CBA!$B$3:$E$23,2,0),),)</f>
        <v>0</v>
      </c>
      <c r="O615" s="380">
        <f t="shared" si="39"/>
        <v>0</v>
      </c>
      <c r="P615" s="379">
        <f>IFERROR(O615*VLOOKUP(G615,MODULY_CBA!$B$3:$F$23,5,0),)</f>
        <v>0</v>
      </c>
      <c r="Q615" s="480" t="str">
        <f>IFERROR(VLOOKUP(G615,MODULY_CBA!$B$3:$I$23,6,0),"")</f>
        <v/>
      </c>
    </row>
    <row r="616" spans="1:17" ht="38.25" hidden="1">
      <c r="A616" s="402" t="s">
        <v>2472</v>
      </c>
      <c r="B616" s="402" t="s">
        <v>1095</v>
      </c>
      <c r="C616" s="665" t="s">
        <v>2457</v>
      </c>
      <c r="D616" s="665" t="s">
        <v>2473</v>
      </c>
      <c r="E616" s="666" t="s">
        <v>2474</v>
      </c>
      <c r="F616" s="390" t="s">
        <v>806</v>
      </c>
      <c r="G616" s="390"/>
      <c r="H616" s="381"/>
      <c r="I616" s="381"/>
      <c r="K616" s="381">
        <f t="shared" si="38"/>
        <v>0</v>
      </c>
      <c r="L616" s="644">
        <f>IFERROR(IF(B616="funkcna poziadavka",VLOOKUP(G616,MODULY_CBA!$B$3:$E$23,4,0)*H616/SUMIFS($H$3:$H$168,$G$3:$G$168,G616,$B$3:$B$168,B616),),)</f>
        <v>0</v>
      </c>
      <c r="M616" s="381">
        <f>IFERROR(IF(B616="Funkcna poziadavka",VLOOKUP(G616,MODULY_CBA!$B$3:$E$23,3,0),),)</f>
        <v>0</v>
      </c>
      <c r="N616" s="381">
        <f>IFERROR(IF(B616="funkcna poziadavka",VLOOKUP(G616,MODULY_CBA!$B$3:$E$23,2,0),),)</f>
        <v>0</v>
      </c>
      <c r="O616" s="380">
        <f t="shared" si="39"/>
        <v>0</v>
      </c>
      <c r="P616" s="379">
        <f>IFERROR(O616*VLOOKUP(G616,MODULY_CBA!$B$3:$F$23,5,0),)</f>
        <v>0</v>
      </c>
      <c r="Q616" s="480" t="str">
        <f>IFERROR(VLOOKUP(G616,MODULY_CBA!$B$3:$I$23,6,0),"")</f>
        <v/>
      </c>
    </row>
    <row r="628" spans="1:6">
      <c r="F628" s="719"/>
    </row>
    <row r="629" spans="1:6">
      <c r="B629" s="720"/>
      <c r="E629" s="683"/>
      <c r="F629" s="719"/>
    </row>
    <row r="630" spans="1:6">
      <c r="A630" s="684"/>
      <c r="B630" s="720"/>
      <c r="E630" s="683"/>
      <c r="F630" s="719"/>
    </row>
    <row r="631" spans="1:6">
      <c r="A631" s="684"/>
      <c r="B631" s="720"/>
      <c r="E631" s="683"/>
      <c r="F631" s="719"/>
    </row>
    <row r="632" spans="1:6">
      <c r="A632" s="684"/>
      <c r="B632" s="720"/>
      <c r="F632" s="719"/>
    </row>
    <row r="633" spans="1:6">
      <c r="A633" s="684"/>
      <c r="B633" s="720"/>
      <c r="F633" s="719"/>
    </row>
    <row r="634" spans="1:6">
      <c r="A634" s="684"/>
      <c r="F634" s="719"/>
    </row>
  </sheetData>
  <autoFilter ref="A2:AE616">
    <filterColumn colId="1">
      <filters>
        <filter val="Funkcna poziadavka"/>
      </filters>
    </filterColumn>
  </autoFilter>
  <mergeCells count="4">
    <mergeCell ref="T1:V1"/>
    <mergeCell ref="W1:AC1"/>
    <mergeCell ref="AD1:AE1"/>
    <mergeCell ref="A1:S1"/>
  </mergeCells>
  <phoneticPr fontId="58" type="noConversion"/>
  <conditionalFormatting sqref="H3:I616">
    <cfRule type="expression" dxfId="20" priority="1">
      <formula>$B3="Funkcna poziadavka"</formula>
    </cfRule>
  </conditionalFormatting>
  <conditionalFormatting sqref="K263:P616 J3:P262">
    <cfRule type="expression" dxfId="19" priority="3">
      <formula>$B3="funkcna poziadavka"</formula>
    </cfRule>
  </conditionalFormatting>
  <dataValidations count="4">
    <dataValidation type="list" allowBlank="1" showInputMessage="1" showErrorMessage="1" sqref="G617:G1048576">
      <formula1>Moduly_2</formula1>
    </dataValidation>
    <dataValidation type="list" allowBlank="1" showInputMessage="1" showErrorMessage="1" sqref="I3:I616">
      <formula1>"5,10,15"</formula1>
    </dataValidation>
    <dataValidation type="list" allowBlank="1" showInputMessage="1" showErrorMessage="1" sqref="B3:B616">
      <formula1>"Funkcna poziadavka, Ne-Funkcna poziadavka, Technicka poziadavka"</formula1>
    </dataValidation>
    <dataValidation type="list" allowBlank="1" showInputMessage="1" showErrorMessage="1" sqref="G3:G612">
      <formula1>MODULY</formula1>
    </dataValidation>
  </dataValidations>
  <pageMargins left="0.7" right="0.7" top="0.75" bottom="0.75" header="0.3" footer="0.3"/>
  <pageSetup paperSize="9" orientation="portrait" horizontalDpi="4294967293" verticalDpi="1200"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27">
    <tabColor rgb="FFFFC000"/>
  </sheetPr>
  <dimension ref="A1:G17"/>
  <sheetViews>
    <sheetView workbookViewId="0">
      <pane xSplit="2" ySplit="4" topLeftCell="D11" activePane="bottomRight" state="frozen"/>
      <selection pane="topRight" activeCell="C1" sqref="C1"/>
      <selection pane="bottomLeft" activeCell="A5" sqref="A5"/>
      <selection pane="bottomRight" activeCell="I5" sqref="I5"/>
    </sheetView>
  </sheetViews>
  <sheetFormatPr defaultColWidth="8.85546875" defaultRowHeight="12.75"/>
  <cols>
    <col min="1" max="1" width="40" style="408" customWidth="1"/>
    <col min="2" max="2" width="11.140625" style="408" customWidth="1"/>
    <col min="3" max="3" width="11.140625" style="408" hidden="1" customWidth="1"/>
    <col min="4" max="4" width="55.42578125" style="408" customWidth="1"/>
    <col min="5" max="7" width="10.85546875" style="408" customWidth="1"/>
    <col min="8" max="16384" width="8.85546875" style="408"/>
  </cols>
  <sheetData>
    <row r="1" spans="1:7" ht="13.5" thickBot="1">
      <c r="A1" s="609" t="s">
        <v>354</v>
      </c>
      <c r="B1" s="608">
        <f>SUM(G5:G17)</f>
        <v>39</v>
      </c>
      <c r="C1" s="608"/>
    </row>
    <row r="2" spans="1:7" ht="13.5" thickBot="1">
      <c r="A2" s="609" t="s">
        <v>325</v>
      </c>
      <c r="B2" s="612">
        <f>0.6 + (0.01*B1)</f>
        <v>0.99</v>
      </c>
      <c r="C2" s="613"/>
    </row>
    <row r="4" spans="1:7" s="621" customFormat="1">
      <c r="A4" s="617" t="s">
        <v>40</v>
      </c>
      <c r="B4" s="618" t="s">
        <v>454</v>
      </c>
      <c r="C4" s="617" t="s">
        <v>558</v>
      </c>
      <c r="D4" s="617" t="s">
        <v>672</v>
      </c>
      <c r="E4" s="619" t="s">
        <v>453</v>
      </c>
      <c r="F4" s="620" t="s">
        <v>2</v>
      </c>
      <c r="G4" s="620" t="s">
        <v>555</v>
      </c>
    </row>
    <row r="5" spans="1:7" ht="36" customHeight="1">
      <c r="A5" s="604" t="s">
        <v>353</v>
      </c>
      <c r="B5" s="603" t="s">
        <v>367</v>
      </c>
      <c r="C5" s="603">
        <v>1</v>
      </c>
      <c r="D5" s="615" t="str">
        <f>HLOOKUP(F5,Parametre_ECF_TCF!$B$1:$G$14,TCF_v02!C5+1,0)</f>
        <v>Aplikačné spracovanie je distribuované a údaje sa prenášajú iba jedným smerom.</v>
      </c>
      <c r="E5" s="605">
        <v>1</v>
      </c>
      <c r="F5" s="606">
        <v>3</v>
      </c>
      <c r="G5" s="607">
        <f>E5*F5</f>
        <v>3</v>
      </c>
    </row>
    <row r="6" spans="1:7" ht="51">
      <c r="A6" s="604" t="s">
        <v>352</v>
      </c>
      <c r="B6" s="603" t="s">
        <v>366</v>
      </c>
      <c r="C6" s="603">
        <v>2</v>
      </c>
      <c r="D6" s="615" t="str">
        <f>HLOOKUP(F6,Parametre_ECF_TCF!$B$1:$G$14,TCF_v02!C6+1,0)</f>
        <v>Čas odozvy a prenosové rýchlosti sú kritické počas komerčných hodín. Nie je potrebný žiadny špeciálny dizajn pre použitie jadra procesora. Požiadavky týkajúce sa lehôt na komunikáciu s prepojenými systémami sú obmedzujúce.</v>
      </c>
      <c r="E6" s="605">
        <v>1</v>
      </c>
      <c r="F6" s="606">
        <v>3</v>
      </c>
      <c r="G6" s="607">
        <f t="shared" ref="G6:G17" si="0">E6*F6</f>
        <v>3</v>
      </c>
    </row>
    <row r="7" spans="1:7" ht="153">
      <c r="A7" s="604" t="s">
        <v>351</v>
      </c>
      <c r="B7" s="603" t="s">
        <v>365</v>
      </c>
      <c r="C7" s="603">
        <v>3</v>
      </c>
      <c r="D7" s="615" t="str">
        <f>HLOOKUP(F7,Parametre_ECF_TCF!$B$1:$G$14,TCF_v02!C7+1,0)</f>
        <v>Aplikácia vyžaduje 6 alebo viac z nižšie uvedených položiek, neexistujú však žiadne požiadavky týkajúce sa efektívnosti používateľov.
-	Navigačná pomoc (napríklad dynamicky generované ponuky, adaptívne hypermédiá atď.).
-	Online pomoc a dokumentácia.
-	Automatizovaný pohyb kurzora.
-	Preddefinované funkčné klávesy.
-	Dávkové úlohy odoslané z online transakcií. 
-	Vysoké využitie farieb a vizuálneho zvýraznenia na obrazovkách.
-	Minimalizácia počtu obrazoviek na dosiahnutie obchodných cieľov. 
-	Dvojjazyčná podpora (počíta sa ako štyri položky).
-	Viacjazyčná podpora (počíta sa ako šesť položiek)</v>
      </c>
      <c r="E7" s="605">
        <v>1</v>
      </c>
      <c r="F7" s="606">
        <v>3</v>
      </c>
      <c r="G7" s="607">
        <f t="shared" si="0"/>
        <v>3</v>
      </c>
    </row>
    <row r="8" spans="1:7" ht="153">
      <c r="A8" s="604" t="s">
        <v>350</v>
      </c>
      <c r="B8" s="603" t="s">
        <v>364</v>
      </c>
      <c r="C8" s="603">
        <v>4</v>
      </c>
      <c r="D8" s="615" t="str">
        <f>HLOOKUP(F8,Parametre_ECF_TCF!$B$1:$G$14,TCF_v02!C8+1,0)</f>
        <v>Z možností uvedených nižsie sú potrebné 3:
-	Starostlivá kontrola (napríklad špeciálne spracovanie auditu) a / alebo bezpečné spracovanie špecifické pre danú aplikáciu.
-	Rozsiahle logické spracovanie.
-	Rozsiahle matematické spracovanie.
-	Veľa spracovania výnimiek vyplývajúcich z neúplných transakcií, ktoré je potrebné znovu spracovať, ako napríklad neúplné transakcie bankomatu spôsobené prerušením komunikácie, chýbajúcimi hodnotami údajov alebo neúspešnou zmenou údajov.
-	Komplexné spracovanie na správu viacerých vstupných a výstupných možností, napríklad multimédií alebo nezávislosti od zariadenia</v>
      </c>
      <c r="E8" s="605">
        <v>1</v>
      </c>
      <c r="F8" s="606">
        <v>3</v>
      </c>
      <c r="G8" s="607">
        <f t="shared" si="0"/>
        <v>3</v>
      </c>
    </row>
    <row r="9" spans="1:7" ht="25.5">
      <c r="A9" s="604" t="s">
        <v>349</v>
      </c>
      <c r="B9" s="603" t="s">
        <v>363</v>
      </c>
      <c r="C9" s="603">
        <v>5</v>
      </c>
      <c r="D9" s="615" t="str">
        <f>HLOOKUP(F9,Parametre_ECF_TCF!$B$1:$G$14,TCF_v02!C9+1,0)</f>
        <v>10% alebo viac aplikácie musí brať do úvahy viac, ako potrebuje používateľ.</v>
      </c>
      <c r="E9" s="605">
        <v>1</v>
      </c>
      <c r="F9" s="606">
        <v>3</v>
      </c>
      <c r="G9" s="607">
        <f t="shared" si="0"/>
        <v>3</v>
      </c>
    </row>
    <row r="10" spans="1:7" ht="38.25">
      <c r="A10" s="604" t="s">
        <v>348</v>
      </c>
      <c r="B10" s="603" t="s">
        <v>362</v>
      </c>
      <c r="C10" s="603">
        <v>6</v>
      </c>
      <c r="D10" s="615" t="str">
        <f>HLOOKUP(F10,Parametre_ECF_TCF!$B$1:$G$14,TCF_v02!C10+1,0)</f>
        <v>Musia byť poskytnuté a otestované požiadavky stanovené klientom na prevod a inštaláciu údajov a príručky na prevod a inštaláciu. Dopad konverzie na projekt je značný.</v>
      </c>
      <c r="E10" s="605">
        <v>0.5</v>
      </c>
      <c r="F10" s="606">
        <v>3</v>
      </c>
      <c r="G10" s="607">
        <f t="shared" si="0"/>
        <v>1.5</v>
      </c>
    </row>
    <row r="11" spans="1:7" ht="127.5">
      <c r="A11" s="604" t="s">
        <v>347</v>
      </c>
      <c r="B11" s="603" t="s">
        <v>361</v>
      </c>
      <c r="C11" s="603">
        <v>7</v>
      </c>
      <c r="D11" s="615" t="str">
        <f>HLOOKUP(F11,Parametre_ECF_TCF!$B$1:$G$14,TCF_v02!C11+1,0)</f>
        <v>Pre systém platia 3 z nasledujúcich položiek:
-	Musia byť poskytnuté efektívne procesy pre inicializáciu, zálohovanie a obnovu, ale zásah obsluhy je stále nevyhnutný.
-	Musia byť poskytnuté efektívne procesy pre inicializáciu, zálohovanie a obnovu a nie je potrebný žiadny zásah operátora (počíta sa ako dve položky).
-	Aplikácia musí minimalizovať potrebu ukladania dát v offline médiách (napríklad pásky).
-	Aplikácia musí minimalizovať potrebu zaobchádzania s papierom.</v>
      </c>
      <c r="E11" s="605">
        <v>0.5</v>
      </c>
      <c r="F11" s="606">
        <v>3</v>
      </c>
      <c r="G11" s="607">
        <f t="shared" si="0"/>
        <v>1.5</v>
      </c>
    </row>
    <row r="12" spans="1:7" ht="38.25">
      <c r="A12" s="604" t="s">
        <v>346</v>
      </c>
      <c r="B12" s="603" t="s">
        <v>360</v>
      </c>
      <c r="C12" s="603">
        <v>8</v>
      </c>
      <c r="D12" s="615" t="str">
        <f>HLOOKUP(F12,Parametre_ECF_TCF!$B$1:$G$14,TCF_v02!C12+1,0)</f>
        <v>Návrh musí brať do úvahy potrebu systému pracovať na rôznych platformách, ale aplikácia musí byť navrhnutá tak, aby fungovala v heterogénnych hardvérových a softvérových prostrediach.</v>
      </c>
      <c r="E12" s="605">
        <v>2</v>
      </c>
      <c r="F12" s="606">
        <v>3</v>
      </c>
      <c r="G12" s="607">
        <f t="shared" si="0"/>
        <v>6</v>
      </c>
    </row>
    <row r="13" spans="1:7" ht="255">
      <c r="A13" s="604" t="s">
        <v>345</v>
      </c>
      <c r="B13" s="603" t="s">
        <v>359</v>
      </c>
      <c r="C13" s="603">
        <v>9</v>
      </c>
      <c r="D13" s="615" t="str">
        <f>HLOOKUP(F13,Parametre_ECF_TCF!$B$1:$G$14,TCF_v02!C13+1,0)</f>
        <v>Z nasledovných možností musia byť splnené 3:
-	Musí byť poskytnutá flexibilná štruktúra hlásenia pre prácu s jednoduchými dotazmi, ako sú logické binárne operátory aplikované iba na jeden logický archív (počítať ako jedna položka).
-	Musí byť poskytnutá flexibilná štruktúra hlásenia, aby sa dalo zvládnuť stredne zložité dotazy, ako napríklad logické binárne operátory aplikované na viac ako jeden logický archív (počítať ako dve položky).
-	Musí byť poskytnutá flexibilná štruktúra hlásenia, aby sa dalo zvládnuť vysoko zložité dotazy, ako sú kombinácie logických binárnych operátorov aplikované na jeden alebo viac logických archívov (počíta sa ako tri položky).
-	Údaje o podnikovej kontrole sa uchovávajú v tabuľkách spravovaných používateľom s interaktívnym online prístupom, zmeny však musia byť účinné až nasledujúci deň (počítajú sa ako jedna položka).
-	Obchodné kontrolné údaje sa uchovávajú v tabuľkách spravovaných používateľom s interaktívnym online prístupom a zmeny sú účinné okamžite (počítajú sa ako dve položky)</v>
      </c>
      <c r="E13" s="605">
        <v>1</v>
      </c>
      <c r="F13" s="606">
        <v>3</v>
      </c>
      <c r="G13" s="607">
        <f t="shared" si="0"/>
        <v>3</v>
      </c>
    </row>
    <row r="14" spans="1:7">
      <c r="A14" s="604" t="s">
        <v>344</v>
      </c>
      <c r="B14" s="603" t="s">
        <v>358</v>
      </c>
      <c r="C14" s="603">
        <v>10</v>
      </c>
      <c r="D14" s="615" t="str">
        <f>HLOOKUP(F14,Parametre_ECF_TCF!$B$1:$G$14,TCF_v02!C14+1,0)</f>
        <v>Súčasný prístup k údajom sa očakáva neustále</v>
      </c>
      <c r="E14" s="605">
        <v>1</v>
      </c>
      <c r="F14" s="606">
        <v>3</v>
      </c>
      <c r="G14" s="607">
        <f t="shared" si="0"/>
        <v>3</v>
      </c>
    </row>
    <row r="15" spans="1:7" ht="51">
      <c r="A15" s="604" t="s">
        <v>343</v>
      </c>
      <c r="B15" s="603" t="s">
        <v>357</v>
      </c>
      <c r="C15" s="603">
        <v>11</v>
      </c>
      <c r="D15" s="615" t="str">
        <f>HLOOKUP(F15,Parametre_ECF_TCF!$B$1:$G$14,TCF_v02!C15+1,0)</f>
        <v>Pri návrhu sa musí brať do úvahy potreba bezpečnosti.
Aplikácia musí byť navrhnutá tak, aby k nej mali prístup iba autorizovaní používatelia.
Zároveň bude kontrolovaný a kontrolovaný prístup do systému</v>
      </c>
      <c r="E15" s="605">
        <v>1</v>
      </c>
      <c r="F15" s="606">
        <v>3</v>
      </c>
      <c r="G15" s="607">
        <f t="shared" si="0"/>
        <v>3</v>
      </c>
    </row>
    <row r="16" spans="1:7" ht="36" customHeight="1">
      <c r="A16" s="604" t="s">
        <v>342</v>
      </c>
      <c r="B16" s="603" t="s">
        <v>356</v>
      </c>
      <c r="C16" s="603">
        <v>12</v>
      </c>
      <c r="D16" s="615" t="str">
        <f>HLOOKUP(F16,Parametre_ECF_TCF!$B$1:$G$14,TCF_v02!C16+1,0)</f>
        <v>Predbežný kód, ktorý je nakoniec potrebné upraviť, sa použije v malých častiach aplikácie.</v>
      </c>
      <c r="E16" s="605">
        <v>1</v>
      </c>
      <c r="F16" s="606">
        <v>3</v>
      </c>
      <c r="G16" s="607">
        <f t="shared" si="0"/>
        <v>3</v>
      </c>
    </row>
    <row r="17" spans="1:7" ht="40.35" customHeight="1">
      <c r="A17" s="604" t="s">
        <v>341</v>
      </c>
      <c r="B17" s="603" t="s">
        <v>355</v>
      </c>
      <c r="C17" s="603">
        <v>13</v>
      </c>
      <c r="D17" s="615" t="str">
        <f>HLOOKUP(F17,Parametre_ECF_TCF!$B$1:$G$14,TCF_v02!C17+1,0)</f>
        <v>Existujú formálne špecifické požiadavky na školenie používateľov a aplikácia musí byť navrhnutá na podporu používateľov s rôznymi úrovňami školenia.</v>
      </c>
      <c r="E17" s="605">
        <v>1</v>
      </c>
      <c r="F17" s="606">
        <v>3</v>
      </c>
      <c r="G17" s="607">
        <f t="shared" si="0"/>
        <v>3</v>
      </c>
    </row>
  </sheetData>
  <conditionalFormatting sqref="F5:G17">
    <cfRule type="expression" dxfId="18" priority="1">
      <formula>#REF!="NIE"</formula>
    </cfRule>
    <cfRule type="expression" dxfId="17" priority="2">
      <formula>#REF!="ANO"</formula>
    </cfRule>
  </conditionalFormatting>
  <dataValidations count="1">
    <dataValidation type="list" allowBlank="1" showInputMessage="1" showErrorMessage="1" sqref="F5:F17">
      <formula1>"0,1,2,3,4,5"</formula1>
    </dataValidation>
  </dataValidations>
  <pageMargins left="0.7" right="0.7" top="0.75" bottom="0.75" header="0.3" footer="0.3"/>
  <pageSetup paperSize="9" orientation="portrait" horizontalDpi="4294967293"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28">
    <tabColor rgb="FFFFC000"/>
  </sheetPr>
  <dimension ref="A1:G12"/>
  <sheetViews>
    <sheetView workbookViewId="0">
      <pane ySplit="4" topLeftCell="A5" activePane="bottomLeft" state="frozen"/>
      <selection pane="bottomLeft" activeCell="A5" sqref="A5"/>
    </sheetView>
  </sheetViews>
  <sheetFormatPr defaultColWidth="8.85546875" defaultRowHeight="12.75"/>
  <cols>
    <col min="1" max="1" width="40" style="408" customWidth="1"/>
    <col min="2" max="2" width="11.140625" style="408" customWidth="1"/>
    <col min="3" max="3" width="10.85546875" style="408" hidden="1" customWidth="1"/>
    <col min="4" max="4" width="55.5703125" style="408" customWidth="1"/>
    <col min="5" max="7" width="10.5703125" style="408" customWidth="1"/>
    <col min="8" max="16384" width="8.85546875" style="408"/>
  </cols>
  <sheetData>
    <row r="1" spans="1:7" ht="13.5" thickBot="1">
      <c r="A1" s="609" t="s">
        <v>354</v>
      </c>
      <c r="B1" s="608">
        <f>SUM(G5:G12)</f>
        <v>13.5</v>
      </c>
      <c r="C1" s="608"/>
    </row>
    <row r="2" spans="1:7" ht="13.5" thickBot="1">
      <c r="A2" s="609" t="s">
        <v>325</v>
      </c>
      <c r="B2" s="612">
        <f>1.4 + (-0.03*B1)</f>
        <v>0.99499999999999988</v>
      </c>
      <c r="C2" s="613"/>
    </row>
    <row r="4" spans="1:7" s="621" customFormat="1">
      <c r="A4" s="617" t="s">
        <v>40</v>
      </c>
      <c r="B4" s="618" t="s">
        <v>454</v>
      </c>
      <c r="C4" s="617" t="s">
        <v>558</v>
      </c>
      <c r="D4" s="617" t="s">
        <v>672</v>
      </c>
      <c r="E4" s="619" t="s">
        <v>453</v>
      </c>
      <c r="F4" s="620" t="s">
        <v>2</v>
      </c>
      <c r="G4" s="620" t="s">
        <v>555</v>
      </c>
    </row>
    <row r="5" spans="1:7" ht="45.6" customHeight="1">
      <c r="A5" s="611" t="s">
        <v>459</v>
      </c>
      <c r="B5" s="610" t="s">
        <v>510</v>
      </c>
      <c r="C5" s="610">
        <v>1</v>
      </c>
      <c r="D5" s="615" t="str">
        <f>HLOOKUP(F5,Parametre_ECF_TCF!$B$1:$G$50,ECF_v02!C5+14,0)</f>
        <v>Niekoľko členov tímu využilo postup vo viac ako jednom projekte.</v>
      </c>
      <c r="E5" s="605">
        <v>1.5</v>
      </c>
      <c r="F5" s="606">
        <v>3</v>
      </c>
      <c r="G5" s="607">
        <f>E5*F5</f>
        <v>4.5</v>
      </c>
    </row>
    <row r="6" spans="1:7" ht="45.6" customHeight="1">
      <c r="A6" s="611" t="s">
        <v>374</v>
      </c>
      <c r="B6" s="603" t="s">
        <v>511</v>
      </c>
      <c r="C6" s="603">
        <v>2</v>
      </c>
      <c r="D6" s="615" t="str">
        <f>HLOOKUP(F6,Parametre_ECF_TCF!$B$1:$G$50,ECF_v02!C6+14,0)</f>
        <v>Väčšina členov tímu má 18 až 24 mesiacov skúseností s projektmi v rovnakej oblasti.</v>
      </c>
      <c r="E6" s="605">
        <v>0.5</v>
      </c>
      <c r="F6" s="606">
        <v>3</v>
      </c>
      <c r="G6" s="607">
        <f t="shared" ref="G6:G12" si="0">E6*F6</f>
        <v>1.5</v>
      </c>
    </row>
    <row r="7" spans="1:7" ht="45.6" customHeight="1">
      <c r="A7" s="611" t="s">
        <v>373</v>
      </c>
      <c r="B7" s="603" t="s">
        <v>512</v>
      </c>
      <c r="C7" s="603">
        <v>3</v>
      </c>
      <c r="D7" s="615" t="str">
        <f>HLOOKUP(F7,Parametre_ECF_TCF!$B$1:$G$50,ECF_v02!C7+14,0)</f>
        <v>Všetci členovia tímu majú 12 až 18 mesiacov skúseností alebo väčšina členov tímu má 18 až 24 mesiacov skúseností v oblasti objektovo orientovaných techník</v>
      </c>
      <c r="E7" s="605">
        <v>1</v>
      </c>
      <c r="F7" s="606">
        <v>3</v>
      </c>
      <c r="G7" s="607">
        <f t="shared" si="0"/>
        <v>3</v>
      </c>
    </row>
    <row r="8" spans="1:7" ht="45.6" customHeight="1">
      <c r="A8" s="611" t="s">
        <v>372</v>
      </c>
      <c r="B8" s="603" t="s">
        <v>513</v>
      </c>
      <c r="C8" s="603">
        <v>4</v>
      </c>
      <c r="D8" s="615" t="str">
        <f>HLOOKUP(F8,Parametre_ECF_TCF!$B$1:$G$50,ECF_v02!C8+14,0)</f>
        <v>Vedúci analytik má asi dvojročné skúsenosti s podobnými projektmi.</v>
      </c>
      <c r="E8" s="605">
        <v>0.5</v>
      </c>
      <c r="F8" s="606">
        <v>3</v>
      </c>
      <c r="G8" s="607">
        <f t="shared" si="0"/>
        <v>1.5</v>
      </c>
    </row>
    <row r="9" spans="1:7" ht="45.6" customHeight="1">
      <c r="A9" s="611" t="s">
        <v>371</v>
      </c>
      <c r="B9" s="603" t="s">
        <v>514</v>
      </c>
      <c r="C9" s="603">
        <v>5</v>
      </c>
      <c r="D9" s="615" t="str">
        <f>HLOOKUP(F9,Parametre_ECF_TCF!$B$1:$G$50,ECF_v02!C9+14,0)</f>
        <v>Tím má určitú motiváciu. Tím má zvyčajne iniciatívu, ale na udržanie produktivity je stále nevyhnutný zásah manažmentu.</v>
      </c>
      <c r="E9" s="605">
        <v>1</v>
      </c>
      <c r="F9" s="606">
        <v>3</v>
      </c>
      <c r="G9" s="607">
        <f t="shared" si="0"/>
        <v>3</v>
      </c>
    </row>
    <row r="10" spans="1:7" ht="45.6" customHeight="1">
      <c r="A10" s="611" t="s">
        <v>370</v>
      </c>
      <c r="B10" s="603" t="s">
        <v>515</v>
      </c>
      <c r="C10" s="603">
        <v>6</v>
      </c>
      <c r="D10" s="615" t="str">
        <f>HLOOKUP(F10,Parametre_ECF_TCF!$B$1:$G$50,ECF_v02!C10+14,0)</f>
        <v>Požiadavky boli v minulosti pomerne stabilné. Klienti požiadali o zmeny sekundárnych funkcionalít s určitou pravidelnosťou. Zmeny hlavných funkcií boli žiadané zriedka.</v>
      </c>
      <c r="E10" s="605">
        <v>2</v>
      </c>
      <c r="F10" s="606">
        <v>3</v>
      </c>
      <c r="G10" s="607">
        <f t="shared" si="0"/>
        <v>6</v>
      </c>
    </row>
    <row r="11" spans="1:7" ht="45.6" customHeight="1">
      <c r="A11" s="611" t="s">
        <v>369</v>
      </c>
      <c r="B11" s="603" t="s">
        <v>516</v>
      </c>
      <c r="C11" s="603">
        <v>7</v>
      </c>
      <c r="D11" s="615" t="str">
        <f>HLOOKUP(F11,Parametre_ECF_TCF!$B$1:$G$50,ECF_v02!C11+14,0)</f>
        <v>Až 40% tímu je na čiastočný úväzok.</v>
      </c>
      <c r="E11" s="605">
        <v>-1</v>
      </c>
      <c r="F11" s="606">
        <v>3</v>
      </c>
      <c r="G11" s="607">
        <f t="shared" si="0"/>
        <v>-3</v>
      </c>
    </row>
    <row r="12" spans="1:7" ht="45.6" customHeight="1">
      <c r="A12" s="611" t="s">
        <v>368</v>
      </c>
      <c r="B12" s="603" t="s">
        <v>517</v>
      </c>
      <c r="C12" s="614">
        <v>8</v>
      </c>
      <c r="D12" s="615" t="str">
        <f>HLOOKUP(F12,Parametre_ECF_TCF!$B$1:$G$50,ECF_v02!C12+14,0)</f>
        <v>Väčšina členov tímu má najmenej 18 mesiacov skúseností s programovaním.</v>
      </c>
      <c r="E12" s="605">
        <v>-1</v>
      </c>
      <c r="F12" s="606">
        <v>3</v>
      </c>
      <c r="G12" s="607">
        <f t="shared" si="0"/>
        <v>-3</v>
      </c>
    </row>
  </sheetData>
  <phoneticPr fontId="58" type="noConversion"/>
  <conditionalFormatting sqref="F5:G12">
    <cfRule type="expression" dxfId="16" priority="1">
      <formula>#REF!="NIE"</formula>
    </cfRule>
    <cfRule type="expression" dxfId="15" priority="2">
      <formula>#REF!="ANO"</formula>
    </cfRule>
  </conditionalFormatting>
  <dataValidations count="1">
    <dataValidation type="list" allowBlank="1" showInputMessage="1" showErrorMessage="1" sqref="F5:F12">
      <formula1>"0,1,2,3,4,5"</formula1>
    </dataValidation>
  </dataValidations>
  <pageMargins left="0.7" right="0.7" top="0.75" bottom="0.75" header="0.3" footer="0.3"/>
  <pageSetup paperSize="9"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29">
    <tabColor rgb="FFFFC000"/>
  </sheetPr>
  <dimension ref="A1:Q26"/>
  <sheetViews>
    <sheetView zoomScale="150" workbookViewId="0">
      <pane xSplit="2" ySplit="5" topLeftCell="C6" activePane="bottomRight" state="frozen"/>
      <selection activeCell="I3" sqref="I3"/>
      <selection pane="topRight" activeCell="I3" sqref="I3"/>
      <selection pane="bottomLeft" activeCell="I3" sqref="I3"/>
      <selection pane="bottomRight" activeCell="H17" sqref="H17"/>
    </sheetView>
  </sheetViews>
  <sheetFormatPr defaultColWidth="8.85546875" defaultRowHeight="12.75"/>
  <cols>
    <col min="1" max="1" width="26.42578125" style="408" customWidth="1"/>
    <col min="2" max="2" width="13.42578125" style="408" bestFit="1" customWidth="1"/>
    <col min="3" max="16" width="11.5703125" style="408" customWidth="1"/>
    <col min="17" max="16384" width="8.85546875" style="408"/>
  </cols>
  <sheetData>
    <row r="1" spans="1:17" ht="25.5">
      <c r="A1" s="855" t="s">
        <v>294</v>
      </c>
      <c r="B1" s="419" t="s">
        <v>379</v>
      </c>
      <c r="C1" s="423" t="s">
        <v>2475</v>
      </c>
      <c r="D1" s="423" t="s">
        <v>2476</v>
      </c>
      <c r="E1" s="423" t="s">
        <v>2477</v>
      </c>
      <c r="F1" s="423" t="s">
        <v>2478</v>
      </c>
      <c r="G1" s="423" t="s">
        <v>2479</v>
      </c>
      <c r="H1" s="423" t="s">
        <v>2480</v>
      </c>
      <c r="I1" s="423" t="s">
        <v>2480</v>
      </c>
      <c r="J1" s="423" t="s">
        <v>766</v>
      </c>
      <c r="K1" s="423" t="s">
        <v>766</v>
      </c>
      <c r="L1" s="423" t="s">
        <v>766</v>
      </c>
      <c r="M1" s="423" t="s">
        <v>766</v>
      </c>
      <c r="N1" s="423" t="s">
        <v>766</v>
      </c>
      <c r="O1" s="423" t="s">
        <v>766</v>
      </c>
      <c r="P1" s="423" t="s">
        <v>766</v>
      </c>
      <c r="Q1" s="416"/>
    </row>
    <row r="2" spans="1:17" ht="51">
      <c r="A2" s="855"/>
      <c r="B2" s="419" t="s">
        <v>378</v>
      </c>
      <c r="C2" s="422" t="s">
        <v>377</v>
      </c>
      <c r="D2" s="422" t="s">
        <v>445</v>
      </c>
      <c r="E2" s="422" t="s">
        <v>448</v>
      </c>
      <c r="F2" s="422" t="s">
        <v>447</v>
      </c>
      <c r="G2" s="422" t="s">
        <v>449</v>
      </c>
      <c r="H2" s="422" t="s">
        <v>449</v>
      </c>
      <c r="I2" s="422" t="s">
        <v>450</v>
      </c>
      <c r="J2" s="422"/>
      <c r="K2" s="422"/>
      <c r="L2" s="422"/>
      <c r="M2" s="422"/>
      <c r="N2" s="422"/>
      <c r="O2" s="422"/>
      <c r="P2" s="422"/>
      <c r="Q2" s="416"/>
    </row>
    <row r="3" spans="1:17">
      <c r="A3" s="855"/>
      <c r="B3" s="419" t="s">
        <v>376</v>
      </c>
      <c r="C3" s="421">
        <v>3</v>
      </c>
      <c r="D3" s="421">
        <v>3</v>
      </c>
      <c r="E3" s="421">
        <v>3</v>
      </c>
      <c r="F3" s="421">
        <v>3</v>
      </c>
      <c r="G3" s="421">
        <v>3</v>
      </c>
      <c r="H3" s="421">
        <v>2</v>
      </c>
      <c r="I3" s="421">
        <v>2</v>
      </c>
      <c r="J3" s="421"/>
      <c r="K3" s="421"/>
      <c r="L3" s="421"/>
      <c r="M3" s="421"/>
      <c r="N3" s="421"/>
      <c r="O3" s="421"/>
      <c r="P3" s="421"/>
      <c r="Q3" s="416"/>
    </row>
    <row r="4" spans="1:17">
      <c r="A4" s="855"/>
      <c r="B4" s="419" t="s">
        <v>243</v>
      </c>
      <c r="C4" s="421">
        <v>2</v>
      </c>
      <c r="D4" s="421">
        <v>2</v>
      </c>
      <c r="E4" s="421">
        <v>2</v>
      </c>
      <c r="F4" s="421">
        <v>2</v>
      </c>
      <c r="G4" s="421">
        <v>2</v>
      </c>
      <c r="H4" s="421">
        <v>2</v>
      </c>
      <c r="I4" s="421">
        <v>1</v>
      </c>
      <c r="J4" s="413"/>
      <c r="K4" s="413"/>
      <c r="L4" s="413"/>
      <c r="M4" s="413"/>
      <c r="N4" s="413"/>
      <c r="O4" s="413"/>
      <c r="P4" s="420"/>
      <c r="Q4" s="416"/>
    </row>
    <row r="5" spans="1:17">
      <c r="A5" s="855"/>
      <c r="B5" s="419" t="s">
        <v>375</v>
      </c>
      <c r="C5" s="418">
        <f t="shared" ref="C5:P5" si="0">C3*C4</f>
        <v>6</v>
      </c>
      <c r="D5" s="418">
        <f t="shared" si="0"/>
        <v>6</v>
      </c>
      <c r="E5" s="418">
        <f t="shared" si="0"/>
        <v>6</v>
      </c>
      <c r="F5" s="418">
        <f t="shared" si="0"/>
        <v>6</v>
      </c>
      <c r="G5" s="418">
        <f t="shared" si="0"/>
        <v>6</v>
      </c>
      <c r="H5" s="418">
        <f t="shared" si="0"/>
        <v>4</v>
      </c>
      <c r="I5" s="418">
        <f t="shared" si="0"/>
        <v>2</v>
      </c>
      <c r="J5" s="418">
        <f t="shared" si="0"/>
        <v>0</v>
      </c>
      <c r="K5" s="418">
        <f t="shared" si="0"/>
        <v>0</v>
      </c>
      <c r="L5" s="418">
        <f t="shared" si="0"/>
        <v>0</v>
      </c>
      <c r="M5" s="418">
        <f t="shared" si="0"/>
        <v>0</v>
      </c>
      <c r="N5" s="418">
        <f t="shared" si="0"/>
        <v>0</v>
      </c>
      <c r="O5" s="418">
        <f t="shared" si="0"/>
        <v>0</v>
      </c>
      <c r="P5" s="418">
        <f t="shared" si="0"/>
        <v>0</v>
      </c>
      <c r="Q5" s="416"/>
    </row>
    <row r="6" spans="1:17">
      <c r="A6" s="417" t="str">
        <f>IF(ISBLANK(MODULY_CBA!B3),"",MODULY_CBA!B3)</f>
        <v>Portál eNRI DOP</v>
      </c>
      <c r="B6" s="417">
        <f t="shared" ref="B6:B26" si="1">SUM(C6*C$5,D6*D$5,E6*E$5,F6*F$5,G6*G$5,H6*H$5,I6*I$5,J6*J$5,K6*K$5,L6*L$5,M6*M$5,N6*N$5,O6*O$5,P6*P$5)</f>
        <v>36</v>
      </c>
      <c r="C6" s="481">
        <v>1</v>
      </c>
      <c r="D6" s="481">
        <v>1</v>
      </c>
      <c r="E6" s="481">
        <v>1</v>
      </c>
      <c r="F6" s="481">
        <v>1</v>
      </c>
      <c r="G6" s="481">
        <v>1</v>
      </c>
      <c r="H6" s="481">
        <v>1</v>
      </c>
      <c r="I6" s="481">
        <v>1</v>
      </c>
      <c r="J6" s="481"/>
      <c r="K6" s="481"/>
      <c r="L6" s="481"/>
      <c r="M6" s="481"/>
      <c r="N6" s="481"/>
      <c r="O6" s="481"/>
      <c r="P6" s="481"/>
      <c r="Q6" s="416"/>
    </row>
    <row r="7" spans="1:17">
      <c r="A7" s="417" t="str">
        <f>IF(ISBLANK(MODULY_CBA!B4),"",MODULY_CBA!B4)</f>
        <v xml:space="preserve">Intranet </v>
      </c>
      <c r="B7" s="417">
        <f t="shared" si="1"/>
        <v>18</v>
      </c>
      <c r="C7" s="481"/>
      <c r="D7" s="481"/>
      <c r="E7" s="481">
        <v>1</v>
      </c>
      <c r="F7" s="481">
        <v>1</v>
      </c>
      <c r="G7" s="481">
        <v>1</v>
      </c>
      <c r="H7" s="481"/>
      <c r="I7" s="481"/>
      <c r="J7" s="481"/>
      <c r="K7" s="481"/>
      <c r="L7" s="481"/>
      <c r="M7" s="481"/>
      <c r="N7" s="481"/>
      <c r="O7" s="481"/>
      <c r="P7" s="481"/>
      <c r="Q7" s="416"/>
    </row>
    <row r="8" spans="1:17">
      <c r="A8" s="417" t="str">
        <f>IF(ISBLANK(MODULY_CBA!B5),"",MODULY_CBA!B5)</f>
        <v>API Gateway eNRI</v>
      </c>
      <c r="B8" s="417">
        <f t="shared" si="1"/>
        <v>24</v>
      </c>
      <c r="C8" s="481">
        <v>1</v>
      </c>
      <c r="D8" s="481"/>
      <c r="E8" s="481"/>
      <c r="F8" s="481">
        <v>1</v>
      </c>
      <c r="G8" s="481">
        <v>1</v>
      </c>
      <c r="H8" s="481">
        <v>1</v>
      </c>
      <c r="I8" s="481">
        <v>1</v>
      </c>
      <c r="J8" s="481"/>
      <c r="K8" s="481"/>
      <c r="L8" s="481"/>
      <c r="M8" s="481"/>
      <c r="N8" s="481"/>
      <c r="O8" s="481"/>
      <c r="P8" s="481"/>
      <c r="Q8" s="416"/>
    </row>
    <row r="9" spans="1:17">
      <c r="A9" s="417" t="str">
        <f>IF(ISBLANK(MODULY_CBA!B6),"",MODULY_CBA!B6)</f>
        <v>Transformačný modul</v>
      </c>
      <c r="B9" s="417">
        <f t="shared" si="1"/>
        <v>18</v>
      </c>
      <c r="C9" s="481">
        <v>1</v>
      </c>
      <c r="D9" s="481"/>
      <c r="E9" s="481">
        <v>1</v>
      </c>
      <c r="F9" s="481"/>
      <c r="G9" s="481">
        <v>1</v>
      </c>
      <c r="H9" s="481"/>
      <c r="I9" s="481"/>
      <c r="J9" s="481"/>
      <c r="K9" s="481"/>
      <c r="L9" s="481"/>
      <c r="M9" s="481"/>
      <c r="N9" s="481"/>
      <c r="O9" s="481"/>
      <c r="P9" s="481"/>
      <c r="Q9" s="416"/>
    </row>
    <row r="10" spans="1:17">
      <c r="A10" s="417" t="str">
        <f>IF(ISBLANK(MODULY_CBA!B7),"",MODULY_CBA!B7)</f>
        <v>Modul GIS</v>
      </c>
      <c r="B10" s="417">
        <f t="shared" si="1"/>
        <v>30</v>
      </c>
      <c r="C10" s="481">
        <v>1</v>
      </c>
      <c r="D10" s="481">
        <v>1</v>
      </c>
      <c r="E10" s="481">
        <v>1</v>
      </c>
      <c r="F10" s="481">
        <v>1</v>
      </c>
      <c r="G10" s="481">
        <v>1</v>
      </c>
      <c r="H10" s="481"/>
      <c r="I10" s="481"/>
      <c r="J10" s="481"/>
      <c r="K10" s="481"/>
      <c r="L10" s="481"/>
      <c r="M10" s="481"/>
      <c r="N10" s="481"/>
      <c r="O10" s="481"/>
      <c r="P10" s="481"/>
      <c r="Q10" s="416"/>
    </row>
    <row r="11" spans="1:17">
      <c r="A11" s="417" t="str">
        <f>IF(ISBLANK(MODULY_CBA!B8),"",MODULY_CBA!B8)</f>
        <v>Správa dopravných grafikonov</v>
      </c>
      <c r="B11" s="417">
        <f t="shared" si="1"/>
        <v>18</v>
      </c>
      <c r="C11" s="481">
        <v>1</v>
      </c>
      <c r="D11" s="481"/>
      <c r="E11" s="481">
        <v>1</v>
      </c>
      <c r="F11" s="481">
        <v>1</v>
      </c>
      <c r="G11" s="481"/>
      <c r="H11" s="481"/>
      <c r="I11" s="481"/>
      <c r="J11" s="481"/>
      <c r="K11" s="481"/>
      <c r="L11" s="481"/>
      <c r="M11" s="481"/>
      <c r="N11" s="481"/>
      <c r="O11" s="481"/>
      <c r="P11" s="481"/>
      <c r="Q11" s="416"/>
    </row>
    <row r="12" spans="1:17">
      <c r="A12" s="417" t="str">
        <f>IF(ISBLANK(MODULY_CBA!B9),"",MODULY_CBA!B9)</f>
        <v>Agendový modul bezpečných a chránených parkovacích miest pre nákladné a úžitkové vozidlá</v>
      </c>
      <c r="B12" s="417">
        <f t="shared" si="1"/>
        <v>24</v>
      </c>
      <c r="C12" s="481">
        <v>1</v>
      </c>
      <c r="D12" s="481"/>
      <c r="E12" s="481">
        <v>1</v>
      </c>
      <c r="F12" s="481">
        <v>1</v>
      </c>
      <c r="G12" s="481">
        <v>1</v>
      </c>
      <c r="H12" s="481"/>
      <c r="I12" s="481"/>
      <c r="J12" s="481"/>
      <c r="K12" s="481"/>
      <c r="L12" s="481"/>
      <c r="M12" s="481"/>
      <c r="N12" s="481"/>
      <c r="O12" s="481"/>
      <c r="P12" s="481"/>
      <c r="Q12" s="416"/>
    </row>
    <row r="13" spans="1:17">
      <c r="A13" s="417" t="str">
        <f>IF(ISBLANK(MODULY_CBA!B10),"",MODULY_CBA!B10)</f>
        <v>Rezervačný a plánovací modul pre vybrané agendy</v>
      </c>
      <c r="B13" s="417">
        <f t="shared" si="1"/>
        <v>12</v>
      </c>
      <c r="C13" s="481"/>
      <c r="D13" s="481"/>
      <c r="E13" s="481">
        <v>1</v>
      </c>
      <c r="F13" s="481">
        <v>1</v>
      </c>
      <c r="G13" s="481"/>
      <c r="H13" s="481"/>
      <c r="I13" s="481"/>
      <c r="J13" s="481"/>
      <c r="K13" s="481"/>
      <c r="L13" s="481"/>
      <c r="M13" s="481"/>
      <c r="N13" s="481"/>
      <c r="O13" s="481"/>
      <c r="P13" s="481"/>
      <c r="Q13" s="416"/>
    </row>
    <row r="14" spans="1:17">
      <c r="A14" s="417" t="str">
        <f>IF(ISBLANK(MODULY_CBA!B11),"",MODULY_CBA!B11)</f>
        <v>Modul optimalizácie osobnej verejnej dopravy a rezervácie kapacít</v>
      </c>
      <c r="B14" s="417">
        <f t="shared" si="1"/>
        <v>18</v>
      </c>
      <c r="C14" s="481">
        <v>1</v>
      </c>
      <c r="D14" s="481"/>
      <c r="E14" s="481">
        <v>1</v>
      </c>
      <c r="F14" s="481">
        <v>1</v>
      </c>
      <c r="G14" s="481"/>
      <c r="H14" s="481"/>
      <c r="I14" s="481"/>
      <c r="J14" s="481"/>
      <c r="K14" s="481"/>
      <c r="L14" s="481"/>
      <c r="M14" s="481"/>
      <c r="N14" s="481"/>
      <c r="O14" s="481"/>
      <c r="P14" s="481"/>
      <c r="Q14" s="416"/>
    </row>
    <row r="15" spans="1:17">
      <c r="A15" s="417" t="str">
        <f>IF(ISBLANK(MODULY_CBA!B12),"",MODULY_CBA!B12)</f>
        <v>Agendový modul licencovania hromadnej dopravy</v>
      </c>
      <c r="B15" s="417">
        <f t="shared" si="1"/>
        <v>24</v>
      </c>
      <c r="C15" s="481">
        <v>1</v>
      </c>
      <c r="D15" s="481">
        <v>1</v>
      </c>
      <c r="E15" s="481">
        <v>1</v>
      </c>
      <c r="F15" s="481">
        <v>1</v>
      </c>
      <c r="G15" s="481"/>
      <c r="H15" s="481"/>
      <c r="I15" s="481"/>
      <c r="J15" s="481"/>
      <c r="K15" s="481"/>
      <c r="L15" s="481"/>
      <c r="M15" s="481"/>
      <c r="N15" s="481"/>
      <c r="O15" s="481"/>
      <c r="P15" s="481"/>
      <c r="Q15" s="416"/>
    </row>
    <row r="16" spans="1:17">
      <c r="A16" s="417" t="str">
        <f>IF(ISBLANK(MODULY_CBA!B13),"",MODULY_CBA!B13)</f>
        <v>Správa licencovaných dopravných prostriedkov vo verejnej osobnej doprave</v>
      </c>
      <c r="B16" s="417">
        <f t="shared" si="1"/>
        <v>12</v>
      </c>
      <c r="C16" s="481"/>
      <c r="D16" s="481"/>
      <c r="E16" s="481">
        <v>1</v>
      </c>
      <c r="F16" s="481">
        <v>1</v>
      </c>
      <c r="G16" s="481"/>
      <c r="H16" s="481"/>
      <c r="I16" s="481"/>
      <c r="J16" s="481"/>
      <c r="K16" s="481"/>
      <c r="L16" s="481"/>
      <c r="M16" s="481"/>
      <c r="N16" s="481"/>
      <c r="O16" s="481"/>
      <c r="P16" s="481"/>
      <c r="Q16" s="416"/>
    </row>
    <row r="17" spans="1:17">
      <c r="A17" s="417" t="str">
        <f>IF(ISBLANK(MODULY_CBA!B14),"",MODULY_CBA!B14)</f>
        <v>Agendový modul dopravných povolení</v>
      </c>
      <c r="B17" s="417">
        <f t="shared" si="1"/>
        <v>18</v>
      </c>
      <c r="C17" s="481">
        <v>1</v>
      </c>
      <c r="D17" s="481"/>
      <c r="E17" s="481">
        <v>1</v>
      </c>
      <c r="F17" s="481">
        <v>1</v>
      </c>
      <c r="G17" s="481"/>
      <c r="H17" s="481"/>
      <c r="I17" s="481"/>
      <c r="J17" s="481"/>
      <c r="K17" s="481"/>
      <c r="L17" s="481"/>
      <c r="M17" s="481"/>
      <c r="N17" s="481"/>
      <c r="O17" s="481"/>
      <c r="P17" s="481"/>
      <c r="Q17" s="416"/>
    </row>
    <row r="18" spans="1:17">
      <c r="A18" s="417" t="str">
        <f>IF(ISBLANK(MODULY_CBA!B15),"",MODULY_CBA!B15)</f>
        <v>Žurnál a log server</v>
      </c>
      <c r="B18" s="417">
        <f t="shared" si="1"/>
        <v>18</v>
      </c>
      <c r="C18" s="481">
        <v>1</v>
      </c>
      <c r="D18" s="481"/>
      <c r="E18" s="481">
        <v>1</v>
      </c>
      <c r="F18" s="481">
        <v>1</v>
      </c>
      <c r="G18" s="481"/>
      <c r="H18" s="481"/>
      <c r="I18" s="481"/>
      <c r="J18" s="481"/>
      <c r="K18" s="481"/>
      <c r="L18" s="481"/>
      <c r="M18" s="481"/>
      <c r="N18" s="481"/>
      <c r="O18" s="481"/>
      <c r="P18" s="481"/>
      <c r="Q18" s="416"/>
    </row>
    <row r="19" spans="1:17">
      <c r="A19" s="417" t="str">
        <f>IF(ISBLANK(MODULY_CBA!B16),"",MODULY_CBA!B16)</f>
        <v>Objektové úložisko dopravných informácii</v>
      </c>
      <c r="B19" s="417">
        <f t="shared" si="1"/>
        <v>12</v>
      </c>
      <c r="C19" s="481">
        <v>1</v>
      </c>
      <c r="D19" s="481"/>
      <c r="E19" s="481">
        <v>1</v>
      </c>
      <c r="F19" s="481"/>
      <c r="G19" s="481"/>
      <c r="H19" s="481"/>
      <c r="I19" s="481"/>
      <c r="J19" s="481"/>
      <c r="K19" s="481"/>
      <c r="L19" s="481"/>
      <c r="M19" s="481"/>
      <c r="N19" s="481"/>
      <c r="O19" s="481"/>
      <c r="P19" s="481"/>
      <c r="Q19" s="416"/>
    </row>
    <row r="20" spans="1:17">
      <c r="A20" s="417" t="str">
        <f>IF(ISBLANK(MODULY_CBA!B17),"",MODULY_CBA!B17)</f>
        <v>Monitoring</v>
      </c>
      <c r="B20" s="417">
        <f t="shared" si="1"/>
        <v>6</v>
      </c>
      <c r="C20" s="481"/>
      <c r="D20" s="481"/>
      <c r="E20" s="481">
        <v>1</v>
      </c>
      <c r="F20" s="481"/>
      <c r="G20" s="481"/>
      <c r="H20" s="481"/>
      <c r="I20" s="481"/>
      <c r="J20" s="481"/>
      <c r="K20" s="481"/>
      <c r="L20" s="481"/>
      <c r="M20" s="481"/>
      <c r="N20" s="481"/>
      <c r="O20" s="481"/>
      <c r="P20" s="481"/>
      <c r="Q20" s="416"/>
    </row>
    <row r="21" spans="1:17">
      <c r="A21" s="417" t="str">
        <f>IF(ISBLANK(MODULY_CBA!B18),"",MODULY_CBA!B18)</f>
        <v>IAM</v>
      </c>
      <c r="B21" s="417">
        <f t="shared" si="1"/>
        <v>6</v>
      </c>
      <c r="C21" s="481"/>
      <c r="D21" s="481"/>
      <c r="E21" s="481">
        <v>1</v>
      </c>
      <c r="F21" s="481"/>
      <c r="G21" s="481"/>
      <c r="H21" s="481"/>
      <c r="I21" s="481"/>
      <c r="J21" s="481"/>
      <c r="K21" s="481"/>
      <c r="L21" s="481"/>
      <c r="M21" s="481"/>
      <c r="N21" s="481"/>
      <c r="O21" s="481"/>
      <c r="P21" s="481"/>
      <c r="Q21" s="416"/>
    </row>
    <row r="22" spans="1:17">
      <c r="A22" s="417" t="str">
        <f>IF(ISBLANK(MODULY_CBA!B19),"",MODULY_CBA!B19)</f>
        <v>DMS</v>
      </c>
      <c r="B22" s="417">
        <f t="shared" si="1"/>
        <v>6</v>
      </c>
      <c r="C22" s="481"/>
      <c r="D22" s="481"/>
      <c r="E22" s="481">
        <v>1</v>
      </c>
      <c r="F22" s="481"/>
      <c r="G22" s="481"/>
      <c r="H22" s="481"/>
      <c r="I22" s="481"/>
      <c r="J22" s="481"/>
      <c r="K22" s="481"/>
      <c r="L22" s="481"/>
      <c r="M22" s="481"/>
      <c r="N22" s="481"/>
      <c r="O22" s="481"/>
      <c r="P22" s="481"/>
      <c r="Q22" s="416"/>
    </row>
    <row r="23" spans="1:17">
      <c r="A23" s="417" t="str">
        <f>IF(ISBLANK(MODULY_CBA!B20),"",MODULY_CBA!B20)</f>
        <v>CMS</v>
      </c>
      <c r="B23" s="417">
        <f t="shared" si="1"/>
        <v>12</v>
      </c>
      <c r="C23" s="481">
        <v>1</v>
      </c>
      <c r="D23" s="481"/>
      <c r="E23" s="481">
        <v>1</v>
      </c>
      <c r="F23" s="481"/>
      <c r="G23" s="481"/>
      <c r="H23" s="481"/>
      <c r="I23" s="481"/>
      <c r="J23" s="481"/>
      <c r="K23" s="481"/>
      <c r="L23" s="481"/>
      <c r="M23" s="481"/>
      <c r="N23" s="481"/>
      <c r="O23" s="481"/>
      <c r="P23" s="481"/>
      <c r="Q23" s="416"/>
    </row>
    <row r="24" spans="1:17">
      <c r="A24" s="417" t="str">
        <f>IF(ISBLANK(MODULY_CBA!B21),"",MODULY_CBA!B21)</f>
        <v>Správa registratúry</v>
      </c>
      <c r="B24" s="417">
        <f t="shared" si="1"/>
        <v>6</v>
      </c>
      <c r="C24" s="481"/>
      <c r="D24" s="481"/>
      <c r="E24" s="481">
        <v>1</v>
      </c>
      <c r="F24" s="481"/>
      <c r="G24" s="481"/>
      <c r="H24" s="481"/>
      <c r="I24" s="481"/>
      <c r="J24" s="481"/>
      <c r="K24" s="481"/>
      <c r="L24" s="481"/>
      <c r="M24" s="481"/>
      <c r="N24" s="481"/>
      <c r="O24" s="481"/>
      <c r="P24" s="481"/>
      <c r="Q24" s="416"/>
    </row>
    <row r="25" spans="1:17">
      <c r="A25" s="417" t="str">
        <f>IF(ISBLANK(MODULY_CBA!B22),"",MODULY_CBA!B22)</f>
        <v/>
      </c>
      <c r="B25" s="417">
        <f t="shared" si="1"/>
        <v>6</v>
      </c>
      <c r="C25" s="481"/>
      <c r="D25" s="481"/>
      <c r="E25" s="481">
        <v>1</v>
      </c>
      <c r="F25" s="481"/>
      <c r="G25" s="481"/>
      <c r="H25" s="481"/>
      <c r="I25" s="481"/>
      <c r="J25" s="481"/>
      <c r="K25" s="481"/>
      <c r="L25" s="481"/>
      <c r="M25" s="481"/>
      <c r="N25" s="481"/>
      <c r="O25" s="481"/>
      <c r="P25" s="481"/>
      <c r="Q25" s="416"/>
    </row>
    <row r="26" spans="1:17">
      <c r="A26" s="417" t="str">
        <f>IF(ISBLANK(MODULY_CBA!B23),"",MODULY_CBA!B23)</f>
        <v/>
      </c>
      <c r="B26" s="417">
        <f t="shared" si="1"/>
        <v>6</v>
      </c>
      <c r="C26" s="481"/>
      <c r="D26" s="481"/>
      <c r="E26" s="481">
        <v>1</v>
      </c>
      <c r="F26" s="481"/>
      <c r="G26" s="481"/>
      <c r="H26" s="481"/>
      <c r="I26" s="481"/>
      <c r="J26" s="481"/>
      <c r="K26" s="481"/>
      <c r="L26" s="481"/>
      <c r="M26" s="481"/>
      <c r="N26" s="481"/>
      <c r="O26" s="481"/>
      <c r="P26" s="481"/>
      <c r="Q26" s="416"/>
    </row>
  </sheetData>
  <mergeCells count="1">
    <mergeCell ref="A1:A5"/>
  </mergeCells>
  <dataValidations count="2">
    <dataValidation type="list" allowBlank="1" showInputMessage="1" showErrorMessage="1" sqref="C2:P2">
      <formula1>Subjekt</formula1>
    </dataValidation>
    <dataValidation type="list" allowBlank="1" showInputMessage="1" showErrorMessage="1" sqref="C3:P3">
      <formula1>"1,2,3"</formula1>
    </dataValidation>
  </dataValidations>
  <pageMargins left="0.7" right="0.7" top="0.75" bottom="0.75" header="0.3" footer="0.3"/>
  <pageSetup paperSize="9"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15">
    <tabColor rgb="FF00B050"/>
  </sheetPr>
  <dimension ref="A1:L65"/>
  <sheetViews>
    <sheetView zoomScale="70" zoomScaleNormal="70" workbookViewId="0">
      <pane ySplit="2" topLeftCell="A21" activePane="bottomLeft" state="frozen"/>
      <selection activeCell="J3" sqref="J3:J11"/>
      <selection pane="bottomLeft" activeCell="E45" sqref="E45"/>
    </sheetView>
  </sheetViews>
  <sheetFormatPr defaultColWidth="8.5703125" defaultRowHeight="15"/>
  <cols>
    <col min="1" max="1" width="9.42578125" style="364" customWidth="1"/>
    <col min="2" max="2" width="36.42578125" style="364" customWidth="1"/>
    <col min="3" max="3" width="31.42578125" style="364" customWidth="1"/>
    <col min="4" max="4" width="61" style="364" customWidth="1"/>
    <col min="5" max="5" width="14.140625" style="364" bestFit="1" customWidth="1"/>
    <col min="6" max="6" width="14.140625" style="364" customWidth="1"/>
    <col min="7" max="7" width="13.5703125" style="364" customWidth="1"/>
    <col min="8" max="8" width="14.5703125" style="364" customWidth="1"/>
    <col min="9" max="9" width="14.85546875" style="371" customWidth="1"/>
    <col min="10" max="11" width="14.85546875" style="364" customWidth="1"/>
    <col min="12" max="12" width="52.140625" style="364" customWidth="1"/>
    <col min="13" max="16384" width="8.5703125" style="364"/>
  </cols>
  <sheetData>
    <row r="1" spans="1:12">
      <c r="A1" s="856" t="s">
        <v>117</v>
      </c>
      <c r="B1" s="857"/>
      <c r="C1" s="857"/>
      <c r="D1" s="858"/>
      <c r="E1" s="485">
        <f>SUM(E3:E22)</f>
        <v>9840.6854670032444</v>
      </c>
      <c r="F1" s="485">
        <f>SUM(F3:F22)</f>
        <v>2111.1221637216017</v>
      </c>
      <c r="G1" s="490"/>
      <c r="H1" s="485"/>
      <c r="I1" s="669">
        <f>SUBTOTAL(9,I3:I63)</f>
        <v>740209.85600000038</v>
      </c>
      <c r="J1" s="669">
        <f>SUBTOTAL(9,J3:J63)</f>
        <v>7666369.1999999993</v>
      </c>
      <c r="K1" s="669">
        <f>SUBTOTAL(9,K3:K63)</f>
        <v>8406579.0560000017</v>
      </c>
      <c r="L1" s="486"/>
    </row>
    <row r="2" spans="1:12" ht="51" customHeight="1">
      <c r="A2" s="487" t="s">
        <v>420</v>
      </c>
      <c r="B2" s="487" t="s">
        <v>260</v>
      </c>
      <c r="C2" s="487" t="s">
        <v>261</v>
      </c>
      <c r="D2" s="487" t="s">
        <v>250</v>
      </c>
      <c r="E2" s="488" t="s">
        <v>443</v>
      </c>
      <c r="F2" s="488" t="s">
        <v>439</v>
      </c>
      <c r="G2" s="488" t="s">
        <v>438</v>
      </c>
      <c r="H2" s="488" t="s">
        <v>437</v>
      </c>
      <c r="I2" s="488" t="s">
        <v>440</v>
      </c>
      <c r="J2" s="488" t="s">
        <v>441</v>
      </c>
      <c r="K2" s="488" t="s">
        <v>35</v>
      </c>
      <c r="L2" s="488" t="s">
        <v>412</v>
      </c>
    </row>
    <row r="3" spans="1:12" ht="15" customHeight="1">
      <c r="A3" s="680" t="s">
        <v>272</v>
      </c>
      <c r="B3" s="557" t="s">
        <v>784</v>
      </c>
      <c r="C3" s="435" t="s">
        <v>262</v>
      </c>
      <c r="D3" s="557" t="s">
        <v>2481</v>
      </c>
      <c r="E3" s="639">
        <f>IFERROR(VLOOKUP(B3,MODULY_CBA!$B$3:$O$23,14,0)*VLOOKUP('Rozpocet - Vyvoj aplikacii'!C3,AKTIVITY_POZICIE!$A$4:$C$39,3,0),0)</f>
        <v>222.23397042913811</v>
      </c>
      <c r="F3" s="497">
        <f>IFERROR(VLOOKUP(C3,POZICIE_INTERNE!$A$4:$D$39,3,0)*VLOOKUP(B3,MODULY_CBA!$B$3:$J$23,9,0)/SUM(MODULY_CBA!$J$3:$J$23),)</f>
        <v>61.553552109628562</v>
      </c>
      <c r="G3" s="503">
        <f>IFERROR(IF(ISTEXT(B3),VLOOKUP(C3,POZICIE_INTERNE!$A$4:$D$39,4,0),),)</f>
        <v>252.14500000000001</v>
      </c>
      <c r="H3" s="504">
        <f>IF(ISTEXT(B3),VLOOKUP(C3,AKTIVITY_POZICIE!$A$4:$E$39,5,0),)</f>
        <v>503.64656664743222</v>
      </c>
      <c r="I3" s="498">
        <f>G3*F3</f>
        <v>15520.420396682295</v>
      </c>
      <c r="J3" s="498">
        <f>E3*H3*1.2</f>
        <v>134312.85143887487</v>
      </c>
      <c r="K3" s="498">
        <f>J3+I3</f>
        <v>149833.27183555716</v>
      </c>
      <c r="L3" s="558"/>
    </row>
    <row r="4" spans="1:12" ht="15" customHeight="1">
      <c r="A4" s="680" t="s">
        <v>272</v>
      </c>
      <c r="B4" s="557" t="s">
        <v>784</v>
      </c>
      <c r="C4" s="435" t="s">
        <v>544</v>
      </c>
      <c r="D4" s="557" t="s">
        <v>2481</v>
      </c>
      <c r="E4" s="639">
        <f>IFERROR(VLOOKUP(B4,MODULY_CBA!$B$3:$O$23,14,0)*VLOOKUP('Rozpocet - Vyvoj aplikacii'!C4,AKTIVITY_POZICIE!$A$4:$C$39,3,0),0)</f>
        <v>533.33588171655242</v>
      </c>
      <c r="F4" s="497">
        <f>IFERROR(VLOOKUP(C4,POZICIE_INTERNE!$A$4:$D$39,3,0)*VLOOKUP(B4,MODULY_CBA!$B$3:$J$23,9,0)/SUM(MODULY_CBA!$J$3:$J$23),)</f>
        <v>90.84278398846017</v>
      </c>
      <c r="G4" s="503">
        <f>IFERROR(IF(ISTEXT(B4),VLOOKUP(C4,POZICIE_INTERNE!$A$4:$D$39,4,0),),)</f>
        <v>247.08205533596842</v>
      </c>
      <c r="H4" s="504">
        <f>IF(ISTEXT(B4),VLOOKUP(C4,AKTIVITY_POZICIE!$A$4:$E$39,5,0),)</f>
        <v>445.45804279874972</v>
      </c>
      <c r="I4" s="498">
        <f t="shared" ref="I4:I65" si="0">G4*F4</f>
        <v>22445.621780310143</v>
      </c>
      <c r="J4" s="498">
        <f t="shared" ref="J4:J65" si="1">E4*H4*1.2</f>
        <v>285094.50962856109</v>
      </c>
      <c r="K4" s="498">
        <f t="shared" ref="K4:K22" si="2">J4+I4</f>
        <v>307540.13140887121</v>
      </c>
      <c r="L4" s="558"/>
    </row>
    <row r="5" spans="1:12" ht="15" customHeight="1">
      <c r="A5" s="680" t="s">
        <v>272</v>
      </c>
      <c r="B5" s="557" t="s">
        <v>784</v>
      </c>
      <c r="C5" s="435" t="s">
        <v>263</v>
      </c>
      <c r="D5" s="557" t="s">
        <v>2481</v>
      </c>
      <c r="E5" s="639">
        <f>IFERROR(VLOOKUP(B5,MODULY_CBA!$B$3:$O$23,14,0)*VLOOKUP('Rozpocet - Vyvoj aplikacii'!C5,AKTIVITY_POZICIE!$A$4:$C$39,3,0),0)</f>
        <v>133.36602957086188</v>
      </c>
      <c r="F5" s="497">
        <f>IFERROR(VLOOKUP(C5,POZICIE_INTERNE!$A$4:$D$39,3,0)*VLOOKUP(B5,MODULY_CBA!$B$3:$J$23,9,0)/SUM(MODULY_CBA!$J$3:$J$23),)</f>
        <v>38.47097006851785</v>
      </c>
      <c r="G5" s="503">
        <f>IFERROR(IF(ISTEXT(B5),VLOOKUP(C5,POZICIE_INTERNE!$A$4:$D$39,4,0),),)</f>
        <v>246.80799999999999</v>
      </c>
      <c r="H5" s="504">
        <f>IF(ISTEXT(B5),VLOOKUP(C5,AKTIVITY_POZICIE!$A$4:$E$39,5,0),)</f>
        <v>450.80865384615385</v>
      </c>
      <c r="I5" s="498">
        <f t="shared" si="0"/>
        <v>9494.9431806707526</v>
      </c>
      <c r="J5" s="498">
        <f t="shared" si="1"/>
        <v>72147.072311575903</v>
      </c>
      <c r="K5" s="498">
        <f t="shared" si="2"/>
        <v>81642.015492246661</v>
      </c>
      <c r="L5" s="558"/>
    </row>
    <row r="6" spans="1:12" ht="15" customHeight="1">
      <c r="A6" s="681" t="s">
        <v>273</v>
      </c>
      <c r="B6" s="557" t="s">
        <v>785</v>
      </c>
      <c r="C6" s="435" t="s">
        <v>262</v>
      </c>
      <c r="D6" s="557" t="s">
        <v>2481</v>
      </c>
      <c r="E6" s="639">
        <f>IFERROR(VLOOKUP(B6,MODULY_CBA!$B$3:$O$23,14,0)*VLOOKUP('Rozpocet - Vyvoj aplikacii'!C6,AKTIVITY_POZICIE!$A$4:$C$39,3,0),0)</f>
        <v>749.19596105301116</v>
      </c>
      <c r="F6" s="497">
        <f>IFERROR(VLOOKUP(C6,POZICIE_INTERNE!$A$4:$D$39,3,0)*VLOOKUP(B6,MODULY_CBA!$B$3:$J$23,9,0)/SUM(MODULY_CBA!$J$3:$J$23),)</f>
        <v>207.50955643707175</v>
      </c>
      <c r="G6" s="503">
        <f>IFERROR(IF(ISTEXT(B6),VLOOKUP(C6,POZICIE_INTERNE!$A$4:$D$39,4,0),),)</f>
        <v>252.14500000000001</v>
      </c>
      <c r="H6" s="504">
        <f>IF(ISTEXT(B6),VLOOKUP(C6,AKTIVITY_POZICIE!$A$4:$E$39,5,0),)</f>
        <v>503.64656664743222</v>
      </c>
      <c r="I6" s="498">
        <f t="shared" si="0"/>
        <v>52322.49710782546</v>
      </c>
      <c r="J6" s="498">
        <f t="shared" si="1"/>
        <v>452795.96823656693</v>
      </c>
      <c r="K6" s="498">
        <f t="shared" si="2"/>
        <v>505118.4653443924</v>
      </c>
      <c r="L6" s="558"/>
    </row>
    <row r="7" spans="1:12" ht="15" customHeight="1">
      <c r="A7" s="681" t="s">
        <v>273</v>
      </c>
      <c r="B7" s="557" t="s">
        <v>785</v>
      </c>
      <c r="C7" s="435" t="s">
        <v>544</v>
      </c>
      <c r="D7" s="557" t="s">
        <v>2481</v>
      </c>
      <c r="E7" s="639">
        <f>IFERROR(VLOOKUP(B7,MODULY_CBA!$B$3:$O$23,14,0)*VLOOKUP('Rozpocet - Vyvoj aplikacii'!C7,AKTIVITY_POZICIE!$A$4:$C$39,3,0),0)</f>
        <v>1797.9838442120447</v>
      </c>
      <c r="F7" s="497">
        <f>IFERROR(VLOOKUP(C7,POZICIE_INTERNE!$A$4:$D$39,3,0)*VLOOKUP(B7,MODULY_CBA!$B$3:$J$23,9,0)/SUM(MODULY_CBA!$J$3:$J$23),)</f>
        <v>306.24952037504511</v>
      </c>
      <c r="G7" s="503">
        <f>IFERROR(IF(ISTEXT(B7),VLOOKUP(C7,POZICIE_INTERNE!$A$4:$D$39,4,0),),)</f>
        <v>247.08205533596842</v>
      </c>
      <c r="H7" s="504">
        <f>IF(ISTEXT(B7),VLOOKUP(C7,AKTIVITY_POZICIE!$A$4:$E$39,5,0),)</f>
        <v>445.45804279874972</v>
      </c>
      <c r="I7" s="498">
        <f t="shared" si="0"/>
        <v>75668.760939920685</v>
      </c>
      <c r="J7" s="498">
        <f t="shared" si="1"/>
        <v>961111.6370717634</v>
      </c>
      <c r="K7" s="498">
        <f t="shared" si="2"/>
        <v>1036780.3980116841</v>
      </c>
      <c r="L7" s="558"/>
    </row>
    <row r="8" spans="1:12" ht="15" customHeight="1">
      <c r="A8" s="681" t="s">
        <v>273</v>
      </c>
      <c r="B8" s="557" t="s">
        <v>785</v>
      </c>
      <c r="C8" s="435" t="s">
        <v>263</v>
      </c>
      <c r="D8" s="557" t="s">
        <v>2481</v>
      </c>
      <c r="E8" s="639">
        <f>IFERROR(VLOOKUP(B8,MODULY_CBA!$B$3:$O$23,14,0)*VLOOKUP('Rozpocet - Vyvoj aplikacii'!C8,AKTIVITY_POZICIE!$A$4:$C$39,3,0),0)</f>
        <v>449.60403894698885</v>
      </c>
      <c r="F8" s="497">
        <f>IFERROR(VLOOKUP(C8,POZICIE_INTERNE!$A$4:$D$39,3,0)*VLOOKUP(B8,MODULY_CBA!$B$3:$J$23,9,0)/SUM(MODULY_CBA!$J$3:$J$23),)</f>
        <v>129.69347277316984</v>
      </c>
      <c r="G8" s="503">
        <f>IFERROR(IF(ISTEXT(B8),VLOOKUP(C8,POZICIE_INTERNE!$A$4:$D$39,4,0),),)</f>
        <v>246.80799999999999</v>
      </c>
      <c r="H8" s="504">
        <f>IF(ISTEXT(B8),VLOOKUP(C8,AKTIVITY_POZICIE!$A$4:$E$39,5,0),)</f>
        <v>450.80865384615385</v>
      </c>
      <c r="I8" s="498">
        <f t="shared" si="0"/>
        <v>32009.386628200504</v>
      </c>
      <c r="J8" s="498">
        <f t="shared" si="1"/>
        <v>243222.46987378292</v>
      </c>
      <c r="K8" s="498">
        <f t="shared" si="2"/>
        <v>275231.85650198342</v>
      </c>
      <c r="L8" s="558"/>
    </row>
    <row r="9" spans="1:12" ht="15" customHeight="1">
      <c r="A9" s="681" t="s">
        <v>274</v>
      </c>
      <c r="B9" s="557" t="s">
        <v>786</v>
      </c>
      <c r="C9" s="435" t="s">
        <v>262</v>
      </c>
      <c r="D9" s="557" t="s">
        <v>2482</v>
      </c>
      <c r="E9" s="639">
        <f>IFERROR(VLOOKUP(B9,MODULY_CBA!$B$3:$O$23,14,0)*VLOOKUP('Rozpocet - Vyvoj aplikacii'!C9,AKTIVITY_POZICIE!$A$4:$C$39,3,0),0)</f>
        <v>740.69657410746481</v>
      </c>
      <c r="F9" s="497">
        <f>IFERROR(VLOOKUP(C9,POZICIE_INTERNE!$A$4:$D$39,3,0)*VLOOKUP(B9,MODULY_CBA!$B$3:$J$23,9,0)/SUM(MODULY_CBA!$J$3:$J$23),)</f>
        <v>205.15542733501624</v>
      </c>
      <c r="G9" s="503">
        <f>IFERROR(IF(ISTEXT(B9),VLOOKUP(C9,POZICIE_INTERNE!$A$4:$D$39,4,0),),)</f>
        <v>252.14500000000001</v>
      </c>
      <c r="H9" s="504">
        <f>IF(ISTEXT(B9),VLOOKUP(C9,AKTIVITY_POZICIE!$A$4:$E$39,5,0),)</f>
        <v>503.64656664743222</v>
      </c>
      <c r="I9" s="498">
        <f t="shared" si="0"/>
        <v>51728.915225387675</v>
      </c>
      <c r="J9" s="498">
        <f t="shared" si="1"/>
        <v>447659.14377208793</v>
      </c>
      <c r="K9" s="498">
        <f t="shared" si="2"/>
        <v>499388.0589974756</v>
      </c>
      <c r="L9" s="558"/>
    </row>
    <row r="10" spans="1:12" ht="15" customHeight="1">
      <c r="A10" s="681" t="s">
        <v>274</v>
      </c>
      <c r="B10" s="557" t="s">
        <v>786</v>
      </c>
      <c r="C10" s="435" t="s">
        <v>544</v>
      </c>
      <c r="D10" s="557" t="s">
        <v>2482</v>
      </c>
      <c r="E10" s="639">
        <f>IFERROR(VLOOKUP(B10,MODULY_CBA!$B$3:$O$23,14,0)*VLOOKUP('Rozpocet - Vyvoj aplikacii'!C10,AKTIVITY_POZICIE!$A$4:$C$39,3,0),0)</f>
        <v>1777.5862964298592</v>
      </c>
      <c r="F10" s="497">
        <f>IFERROR(VLOOKUP(C10,POZICIE_INTERNE!$A$4:$D$39,3,0)*VLOOKUP(B10,MODULY_CBA!$B$3:$J$23,9,0)/SUM(MODULY_CBA!$J$3:$J$23),)</f>
        <v>302.7752181752615</v>
      </c>
      <c r="G10" s="503">
        <f>IFERROR(IF(ISTEXT(B10),VLOOKUP(C10,POZICIE_INTERNE!$A$4:$D$39,4,0),),)</f>
        <v>247.08205533596842</v>
      </c>
      <c r="H10" s="504">
        <f>IF(ISTEXT(B10),VLOOKUP(C10,AKTIVITY_POZICIE!$A$4:$E$39,5,0),)</f>
        <v>445.45804279874972</v>
      </c>
      <c r="I10" s="498">
        <f t="shared" si="0"/>
        <v>74810.323211539871</v>
      </c>
      <c r="J10" s="498">
        <f t="shared" si="1"/>
        <v>950208.13501622784</v>
      </c>
      <c r="K10" s="498">
        <f t="shared" si="2"/>
        <v>1025018.4582277677</v>
      </c>
      <c r="L10" s="558"/>
    </row>
    <row r="11" spans="1:12" ht="15" customHeight="1">
      <c r="A11" s="681" t="s">
        <v>274</v>
      </c>
      <c r="B11" s="557" t="s">
        <v>786</v>
      </c>
      <c r="C11" s="435" t="s">
        <v>263</v>
      </c>
      <c r="D11" s="557" t="s">
        <v>2482</v>
      </c>
      <c r="E11" s="639">
        <f>IFERROR(VLOOKUP(B11,MODULY_CBA!$B$3:$O$23,14,0)*VLOOKUP('Rozpocet - Vyvoj aplikacii'!C11,AKTIVITY_POZICIE!$A$4:$C$39,3,0),0)</f>
        <v>444.50342589253518</v>
      </c>
      <c r="F11" s="497">
        <f>IFERROR(VLOOKUP(C11,POZICIE_INTERNE!$A$4:$D$39,3,0)*VLOOKUP(B11,MODULY_CBA!$B$3:$J$23,9,0)/SUM(MODULY_CBA!$J$3:$J$23),)</f>
        <v>128.22214208438515</v>
      </c>
      <c r="G11" s="503">
        <f>IFERROR(IF(ISTEXT(B11),VLOOKUP(C11,POZICIE_INTERNE!$A$4:$D$39,4,0),),)</f>
        <v>246.80799999999999</v>
      </c>
      <c r="H11" s="504">
        <f>IF(ISTEXT(B11),VLOOKUP(C11,AKTIVITY_POZICIE!$A$4:$E$39,5,0),)</f>
        <v>450.80865384615385</v>
      </c>
      <c r="I11" s="498">
        <f t="shared" si="0"/>
        <v>31646.250443562931</v>
      </c>
      <c r="J11" s="498">
        <f t="shared" si="1"/>
        <v>240463.18926794085</v>
      </c>
      <c r="K11" s="498">
        <f t="shared" si="2"/>
        <v>272109.4397115038</v>
      </c>
      <c r="L11" s="558"/>
    </row>
    <row r="12" spans="1:12" ht="15" customHeight="1">
      <c r="A12" s="681" t="s">
        <v>275</v>
      </c>
      <c r="B12" s="557" t="s">
        <v>787</v>
      </c>
      <c r="C12" s="435" t="s">
        <v>262</v>
      </c>
      <c r="D12" s="557" t="s">
        <v>2482</v>
      </c>
      <c r="E12" s="639">
        <f>IFERROR(VLOOKUP(B12,MODULY_CBA!$B$3:$O$23,14,0)*VLOOKUP('Rozpocet - Vyvoj aplikacii'!C12,AKTIVITY_POZICIE!$A$4:$C$39,3,0),0)</f>
        <v>147.23937973314102</v>
      </c>
      <c r="F12" s="497">
        <f>IFERROR(VLOOKUP(C12,POZICIE_INTERNE!$A$4:$D$39,3,0)*VLOOKUP(B12,MODULY_CBA!$B$3:$J$23,9,0)/SUM(MODULY_CBA!$J$3:$J$23),)</f>
        <v>40.781824738550306</v>
      </c>
      <c r="G12" s="503">
        <f>IFERROR(IF(ISTEXT(B12),VLOOKUP(C12,POZICIE_INTERNE!$A$4:$D$39,4,0),),)</f>
        <v>252.14500000000001</v>
      </c>
      <c r="H12" s="504">
        <f>IF(ISTEXT(B12),VLOOKUP(C12,AKTIVITY_POZICIE!$A$4:$E$39,5,0),)</f>
        <v>503.64656664743222</v>
      </c>
      <c r="I12" s="498">
        <f t="shared" si="0"/>
        <v>10282.933198701767</v>
      </c>
      <c r="J12" s="498">
        <f t="shared" si="1"/>
        <v>88987.92969347279</v>
      </c>
      <c r="K12" s="498">
        <f t="shared" si="2"/>
        <v>99270.862892174555</v>
      </c>
      <c r="L12" s="558"/>
    </row>
    <row r="13" spans="1:12" ht="15" customHeight="1">
      <c r="A13" s="681" t="s">
        <v>275</v>
      </c>
      <c r="B13" s="557" t="s">
        <v>787</v>
      </c>
      <c r="C13" s="435" t="s">
        <v>544</v>
      </c>
      <c r="D13" s="557" t="s">
        <v>2482</v>
      </c>
      <c r="E13" s="639">
        <f>IFERROR(VLOOKUP(B13,MODULY_CBA!$B$3:$O$23,14,0)*VLOOKUP('Rozpocet - Vyvoj aplikacii'!C13,AKTIVITY_POZICIE!$A$4:$C$39,3,0),0)</f>
        <v>353.35751893256401</v>
      </c>
      <c r="F13" s="497">
        <f>IFERROR(VLOOKUP(C13,POZICIE_INTERNE!$A$4:$D$39,3,0)*VLOOKUP(B13,MODULY_CBA!$B$3:$J$23,9,0)/SUM(MODULY_CBA!$J$3:$J$23),)</f>
        <v>60.187176343310497</v>
      </c>
      <c r="G13" s="503">
        <f>IFERROR(IF(ISTEXT(B13),VLOOKUP(C13,POZICIE_INTERNE!$A$4:$D$39,4,0),),)</f>
        <v>247.08205533596842</v>
      </c>
      <c r="H13" s="504">
        <f>IF(ISTEXT(B13),VLOOKUP(C13,AKTIVITY_POZICIE!$A$4:$E$39,5,0),)</f>
        <v>445.45804279874972</v>
      </c>
      <c r="I13" s="498">
        <f t="shared" si="0"/>
        <v>14871.171235773534</v>
      </c>
      <c r="J13" s="498">
        <f t="shared" si="1"/>
        <v>188887.13855030652</v>
      </c>
      <c r="K13" s="498">
        <f t="shared" si="2"/>
        <v>203758.30978608006</v>
      </c>
      <c r="L13" s="558"/>
    </row>
    <row r="14" spans="1:12" ht="15" customHeight="1">
      <c r="A14" s="681" t="s">
        <v>275</v>
      </c>
      <c r="B14" s="557" t="s">
        <v>787</v>
      </c>
      <c r="C14" s="435" t="s">
        <v>263</v>
      </c>
      <c r="D14" s="557" t="s">
        <v>2482</v>
      </c>
      <c r="E14" s="639">
        <f>IFERROR(VLOOKUP(B14,MODULY_CBA!$B$3:$O$23,14,0)*VLOOKUP('Rozpocet - Vyvoj aplikacii'!C14,AKTIVITY_POZICIE!$A$4:$C$39,3,0),0)</f>
        <v>88.360620266859002</v>
      </c>
      <c r="F14" s="497">
        <f>IFERROR(VLOOKUP(C14,POZICIE_INTERNE!$A$4:$D$39,3,0)*VLOOKUP(B14,MODULY_CBA!$B$3:$J$23,9,0)/SUM(MODULY_CBA!$J$3:$J$23),)</f>
        <v>25.488640461593942</v>
      </c>
      <c r="G14" s="503">
        <f>IFERROR(IF(ISTEXT(B14),VLOOKUP(C14,POZICIE_INTERNE!$A$4:$D$39,4,0),),)</f>
        <v>246.80799999999999</v>
      </c>
      <c r="H14" s="504">
        <f>IF(ISTEXT(B14),VLOOKUP(C14,AKTIVITY_POZICIE!$A$4:$E$39,5,0),)</f>
        <v>450.80865384615385</v>
      </c>
      <c r="I14" s="498">
        <f t="shared" si="0"/>
        <v>6290.8003750450771</v>
      </c>
      <c r="J14" s="498">
        <f t="shared" si="1"/>
        <v>47800.478730616662</v>
      </c>
      <c r="K14" s="498">
        <f t="shared" si="2"/>
        <v>54091.279105661743</v>
      </c>
      <c r="L14" s="558"/>
    </row>
    <row r="15" spans="1:12" ht="15" customHeight="1">
      <c r="A15" s="680" t="s">
        <v>276</v>
      </c>
      <c r="B15" s="557" t="s">
        <v>788</v>
      </c>
      <c r="C15" s="435" t="s">
        <v>262</v>
      </c>
      <c r="D15" s="557" t="s">
        <v>2482</v>
      </c>
      <c r="E15" s="639">
        <f>IFERROR(VLOOKUP(B15,MODULY_CBA!$B$3:$O$23,14,0)*VLOOKUP('Rozpocet - Vyvoj aplikacii'!C15,AKTIVITY_POZICIE!$A$4:$C$39,3,0),0)</f>
        <v>441.96812116840971</v>
      </c>
      <c r="F15" s="497">
        <f>IFERROR(VLOOKUP(C15,POZICIE_INTERNE!$A$4:$D$39,3,0)*VLOOKUP(B15,MODULY_CBA!$B$3:$J$23,9,0)/SUM(MODULY_CBA!$J$3:$J$23),)</f>
        <v>122.41471330688785</v>
      </c>
      <c r="G15" s="503">
        <f>IFERROR(IF(ISTEXT(B15),VLOOKUP(C15,POZICIE_INTERNE!$A$4:$D$39,4,0),),)</f>
        <v>252.14500000000001</v>
      </c>
      <c r="H15" s="504">
        <f>IF(ISTEXT(B15),VLOOKUP(C15,AKTIVITY_POZICIE!$A$4:$E$39,5,0),)</f>
        <v>503.64656664743222</v>
      </c>
      <c r="I15" s="498">
        <f t="shared" si="0"/>
        <v>30866.257886765237</v>
      </c>
      <c r="J15" s="498">
        <f t="shared" si="1"/>
        <v>267114.87215290306</v>
      </c>
      <c r="K15" s="498">
        <f t="shared" si="2"/>
        <v>297981.13003966829</v>
      </c>
      <c r="L15" s="558"/>
    </row>
    <row r="16" spans="1:12" ht="15" customHeight="1">
      <c r="A16" s="680" t="s">
        <v>276</v>
      </c>
      <c r="B16" s="557" t="s">
        <v>788</v>
      </c>
      <c r="C16" s="435" t="s">
        <v>544</v>
      </c>
      <c r="D16" s="557" t="s">
        <v>2482</v>
      </c>
      <c r="E16" s="639">
        <f>IFERROR(VLOOKUP(B16,MODULY_CBA!$B$3:$O$23,14,0)*VLOOKUP('Rozpocet - Vyvoj aplikacii'!C16,AKTIVITY_POZICIE!$A$4:$C$39,3,0),0)</f>
        <v>1060.6724846736386</v>
      </c>
      <c r="F16" s="497">
        <f>IFERROR(VLOOKUP(C16,POZICIE_INTERNE!$A$4:$D$39,3,0)*VLOOKUP(B16,MODULY_CBA!$B$3:$J$23,9,0)/SUM(MODULY_CBA!$J$3:$J$23),)</f>
        <v>180.66371438874867</v>
      </c>
      <c r="G16" s="503">
        <f>IFERROR(IF(ISTEXT(B16),VLOOKUP(C16,POZICIE_INTERNE!$A$4:$D$39,4,0),),)</f>
        <v>247.08205533596842</v>
      </c>
      <c r="H16" s="504">
        <f>IF(ISTEXT(B16),VLOOKUP(C16,AKTIVITY_POZICIE!$A$4:$E$39,5,0),)</f>
        <v>445.45804279874972</v>
      </c>
      <c r="I16" s="498">
        <f t="shared" si="0"/>
        <v>44638.761875802396</v>
      </c>
      <c r="J16" s="498">
        <f t="shared" si="1"/>
        <v>566982.10688784707</v>
      </c>
      <c r="K16" s="498">
        <f t="shared" si="2"/>
        <v>611620.86876364949</v>
      </c>
      <c r="L16" s="558"/>
    </row>
    <row r="17" spans="1:12" ht="15" customHeight="1">
      <c r="A17" s="680" t="s">
        <v>276</v>
      </c>
      <c r="B17" s="557" t="s">
        <v>788</v>
      </c>
      <c r="C17" s="435" t="s">
        <v>263</v>
      </c>
      <c r="D17" s="557" t="s">
        <v>2482</v>
      </c>
      <c r="E17" s="639">
        <f>IFERROR(VLOOKUP(B17,MODULY_CBA!$B$3:$O$23,14,0)*VLOOKUP('Rozpocet - Vyvoj aplikacii'!C17,AKTIVITY_POZICIE!$A$4:$C$39,3,0),0)</f>
        <v>265.23187883159034</v>
      </c>
      <c r="F17" s="497">
        <f>IFERROR(VLOOKUP(C17,POZICIE_INTERNE!$A$4:$D$39,3,0)*VLOOKUP(B17,MODULY_CBA!$B$3:$J$23,9,0)/SUM(MODULY_CBA!$J$3:$J$23),)</f>
        <v>76.509195816804905</v>
      </c>
      <c r="G17" s="503">
        <f>IFERROR(IF(ISTEXT(B17),VLOOKUP(C17,POZICIE_INTERNE!$A$4:$D$39,4,0),),)</f>
        <v>246.80799999999999</v>
      </c>
      <c r="H17" s="504">
        <f>IF(ISTEXT(B17),VLOOKUP(C17,AKTIVITY_POZICIE!$A$4:$E$39,5,0),)</f>
        <v>450.80865384615385</v>
      </c>
      <c r="I17" s="498">
        <f t="shared" si="0"/>
        <v>18883.081601153983</v>
      </c>
      <c r="J17" s="498">
        <f t="shared" si="1"/>
        <v>143482.59150378651</v>
      </c>
      <c r="K17" s="498">
        <f t="shared" si="2"/>
        <v>162365.67310494048</v>
      </c>
      <c r="L17" s="558"/>
    </row>
    <row r="18" spans="1:12" ht="15" customHeight="1">
      <c r="A18" s="681" t="s">
        <v>277</v>
      </c>
      <c r="B18" s="557" t="s">
        <v>789</v>
      </c>
      <c r="C18" s="435" t="s">
        <v>262</v>
      </c>
      <c r="D18" s="557" t="s">
        <v>2481</v>
      </c>
      <c r="E18" s="639">
        <f>IFERROR(VLOOKUP(B18,MODULY_CBA!$B$3:$O$23,14,0)*VLOOKUP('Rozpocet - Vyvoj aplikacii'!C18,AKTIVITY_POZICIE!$A$4:$C$39,3,0),0)</f>
        <v>123.9910566173819</v>
      </c>
      <c r="F18" s="497">
        <f>IFERROR(VLOOKUP(C18,POZICIE_INTERNE!$A$4:$D$39,3,0)*VLOOKUP(B18,MODULY_CBA!$B$3:$J$23,9,0)/SUM(MODULY_CBA!$J$3:$J$23),)</f>
        <v>34.342589253516046</v>
      </c>
      <c r="G18" s="503">
        <f>IFERROR(IF(ISTEXT(B18),VLOOKUP(C18,POZICIE_INTERNE!$A$4:$D$39,4,0),),)</f>
        <v>252.14500000000001</v>
      </c>
      <c r="H18" s="504">
        <f>IF(ISTEXT(B18),VLOOKUP(C18,AKTIVITY_POZICIE!$A$4:$E$39,5,0),)</f>
        <v>503.64656664743222</v>
      </c>
      <c r="I18" s="498">
        <f t="shared" si="0"/>
        <v>8659.3121673278038</v>
      </c>
      <c r="J18" s="498">
        <f t="shared" si="1"/>
        <v>74937.203952398122</v>
      </c>
      <c r="K18" s="498">
        <f t="shared" si="2"/>
        <v>83596.516119725929</v>
      </c>
      <c r="L18" s="558"/>
    </row>
    <row r="19" spans="1:12" ht="15" customHeight="1">
      <c r="A19" s="681" t="s">
        <v>277</v>
      </c>
      <c r="B19" s="557" t="s">
        <v>789</v>
      </c>
      <c r="C19" s="435" t="s">
        <v>544</v>
      </c>
      <c r="D19" s="557" t="s">
        <v>2481</v>
      </c>
      <c r="E19" s="639">
        <f>IFERROR(VLOOKUP(B19,MODULY_CBA!$B$3:$O$23,14,0)*VLOOKUP('Rozpocet - Vyvoj aplikacii'!C19,AKTIVITY_POZICIE!$A$4:$C$39,3,0),0)</f>
        <v>297.56422646952757</v>
      </c>
      <c r="F19" s="497">
        <f>IFERROR(VLOOKUP(C19,POZICIE_INTERNE!$A$4:$D$39,3,0)*VLOOKUP(B19,MODULY_CBA!$B$3:$J$23,9,0)/SUM(MODULY_CBA!$J$3:$J$23),)</f>
        <v>50.683937973314102</v>
      </c>
      <c r="G19" s="503">
        <f>IFERROR(IF(ISTEXT(B19),VLOOKUP(C19,POZICIE_INTERNE!$A$4:$D$39,4,0),),)</f>
        <v>247.08205533596842</v>
      </c>
      <c r="H19" s="504">
        <f>IF(ISTEXT(B19),VLOOKUP(C19,AKTIVITY_POZICIE!$A$4:$E$39,5,0),)</f>
        <v>445.45804279874972</v>
      </c>
      <c r="I19" s="498">
        <f t="shared" si="0"/>
        <v>12523.091566967187</v>
      </c>
      <c r="J19" s="498">
        <f t="shared" si="1"/>
        <v>159062.85351604759</v>
      </c>
      <c r="K19" s="498">
        <f t="shared" si="2"/>
        <v>171585.94508301478</v>
      </c>
      <c r="L19" s="558"/>
    </row>
    <row r="20" spans="1:12" ht="15" customHeight="1">
      <c r="A20" s="681" t="s">
        <v>277</v>
      </c>
      <c r="B20" s="557" t="s">
        <v>789</v>
      </c>
      <c r="C20" s="435" t="s">
        <v>263</v>
      </c>
      <c r="D20" s="557" t="s">
        <v>2481</v>
      </c>
      <c r="E20" s="639">
        <f>IFERROR(VLOOKUP(B20,MODULY_CBA!$B$3:$O$23,14,0)*VLOOKUP('Rozpocet - Vyvoj aplikacii'!C20,AKTIVITY_POZICIE!$A$4:$C$39,3,0),0)</f>
        <v>74.408943382618119</v>
      </c>
      <c r="F20" s="497">
        <f>IFERROR(VLOOKUP(C20,POZICIE_INTERNE!$A$4:$D$39,3,0)*VLOOKUP(B20,MODULY_CBA!$B$3:$J$23,9,0)/SUM(MODULY_CBA!$J$3:$J$23),)</f>
        <v>21.464118283447529</v>
      </c>
      <c r="G20" s="503">
        <f>IFERROR(IF(ISTEXT(B20),VLOOKUP(C20,POZICIE_INTERNE!$A$4:$D$39,4,0),),)</f>
        <v>246.80799999999999</v>
      </c>
      <c r="H20" s="504">
        <f>IF(ISTEXT(B20),VLOOKUP(C20,AKTIVITY_POZICIE!$A$4:$E$39,5,0),)</f>
        <v>450.80865384615385</v>
      </c>
      <c r="I20" s="498">
        <f t="shared" si="0"/>
        <v>5297.5161053011179</v>
      </c>
      <c r="J20" s="498">
        <f t="shared" si="1"/>
        <v>40253.034720519303</v>
      </c>
      <c r="K20" s="498">
        <f t="shared" si="2"/>
        <v>45550.550825820421</v>
      </c>
      <c r="L20" s="558"/>
    </row>
    <row r="21" spans="1:12" ht="15" customHeight="1">
      <c r="A21" s="681" t="s">
        <v>278</v>
      </c>
      <c r="B21" s="557" t="s">
        <v>790</v>
      </c>
      <c r="C21" s="435" t="s">
        <v>262</v>
      </c>
      <c r="D21" s="557" t="s">
        <v>2481</v>
      </c>
      <c r="E21" s="639">
        <f>IFERROR(VLOOKUP(B21,MODULY_CBA!$B$3:$O$23,14,0)*VLOOKUP('Rozpocet - Vyvoj aplikacii'!C21,AKTIVITY_POZICIE!$A$4:$C$39,3,0),0)</f>
        <v>40.997042913811754</v>
      </c>
      <c r="F21" s="497">
        <f>IFERROR(VLOOKUP(C21,POZICIE_INTERNE!$A$4:$D$39,3,0)*VLOOKUP(B21,MODULY_CBA!$B$3:$J$23,9,0)/SUM(MODULY_CBA!$J$3:$J$23),)</f>
        <v>11.355210962856113</v>
      </c>
      <c r="G21" s="503">
        <f>IFERROR(IF(ISTEXT(B21),VLOOKUP(C21,POZICIE_INTERNE!$A$4:$D$39,4,0),),)</f>
        <v>252.14500000000001</v>
      </c>
      <c r="H21" s="504">
        <f>IF(ISTEXT(B21),VLOOKUP(C21,AKTIVITY_POZICIE!$A$4:$E$39,5,0),)</f>
        <v>503.64656664743222</v>
      </c>
      <c r="I21" s="498">
        <f t="shared" si="0"/>
        <v>2863.1596682293548</v>
      </c>
      <c r="J21" s="498">
        <f t="shared" si="1"/>
        <v>24777.623887486476</v>
      </c>
      <c r="K21" s="498">
        <f t="shared" si="2"/>
        <v>27640.783555715832</v>
      </c>
      <c r="L21" s="558"/>
    </row>
    <row r="22" spans="1:12" ht="15" customHeight="1">
      <c r="A22" s="681" t="s">
        <v>278</v>
      </c>
      <c r="B22" s="557" t="s">
        <v>790</v>
      </c>
      <c r="C22" s="435" t="s">
        <v>544</v>
      </c>
      <c r="D22" s="557" t="s">
        <v>2481</v>
      </c>
      <c r="E22" s="639">
        <f>IFERROR(VLOOKUP(B22,MODULY_CBA!$B$3:$O$23,14,0)*VLOOKUP('Rozpocet - Vyvoj aplikacii'!C22,AKTIVITY_POZICIE!$A$4:$C$39,3,0),0)</f>
        <v>98.388171655247021</v>
      </c>
      <c r="F22" s="497">
        <f>IFERROR(VLOOKUP(C22,POZICIE_INTERNE!$A$4:$D$39,3,0)*VLOOKUP(B22,MODULY_CBA!$B$3:$J$23,9,0)/SUM(MODULY_CBA!$J$3:$J$23),)</f>
        <v>16.758398846015147</v>
      </c>
      <c r="G22" s="503">
        <f>IFERROR(IF(ISTEXT(B22),VLOOKUP(C22,POZICIE_INTERNE!$A$4:$D$39,4,0),),)</f>
        <v>247.08205533596842</v>
      </c>
      <c r="H22" s="504">
        <f>IF(ISTEXT(B22),VLOOKUP(C22,AKTIVITY_POZICIE!$A$4:$E$39,5,0),)</f>
        <v>445.45804279874972</v>
      </c>
      <c r="I22" s="498">
        <f t="shared" si="0"/>
        <v>4140.6996310133436</v>
      </c>
      <c r="J22" s="498">
        <f t="shared" si="1"/>
        <v>52593.362856112508</v>
      </c>
      <c r="K22" s="498">
        <f t="shared" si="2"/>
        <v>56734.062487125848</v>
      </c>
      <c r="L22" s="558"/>
    </row>
    <row r="23" spans="1:12">
      <c r="A23" s="681" t="s">
        <v>278</v>
      </c>
      <c r="B23" s="557" t="s">
        <v>790</v>
      </c>
      <c r="C23" s="435" t="s">
        <v>263</v>
      </c>
      <c r="D23" s="557" t="s">
        <v>2481</v>
      </c>
      <c r="E23" s="639">
        <f>IFERROR(VLOOKUP(B23,MODULY_CBA!$B$3:$O$23,14,0)*VLOOKUP('Rozpocet - Vyvoj aplikacii'!C23,AKTIVITY_POZICIE!$A$4:$C$39,3,0),0)</f>
        <v>24.602957086188244</v>
      </c>
      <c r="F23" s="497">
        <f>IFERROR(VLOOKUP(C23,POZICIE_INTERNE!$A$4:$D$39,3,0)*VLOOKUP(B23,MODULY_CBA!$B$3:$J$23,9,0)/SUM(MODULY_CBA!$J$3:$J$23),)</f>
        <v>7.0970068517850704</v>
      </c>
      <c r="G23" s="503">
        <f>IFERROR(IF(ISTEXT(B23),VLOOKUP(C23,POZICIE_INTERNE!$A$4:$D$39,4,0),),)</f>
        <v>246.80799999999999</v>
      </c>
      <c r="H23" s="504">
        <f>IF(ISTEXT(B23),VLOOKUP(C23,AKTIVITY_POZICIE!$A$4:$E$39,5,0),)</f>
        <v>450.80865384615385</v>
      </c>
      <c r="I23" s="498">
        <f t="shared" si="0"/>
        <v>1751.5980670753695</v>
      </c>
      <c r="J23" s="498">
        <f t="shared" si="1"/>
        <v>13309.471157591057</v>
      </c>
      <c r="K23" s="498">
        <f t="shared" ref="K23:K65" si="3">J23+I23</f>
        <v>15061.069224666426</v>
      </c>
      <c r="L23" s="558"/>
    </row>
    <row r="24" spans="1:12">
      <c r="A24" s="681" t="s">
        <v>279</v>
      </c>
      <c r="B24" s="557" t="s">
        <v>791</v>
      </c>
      <c r="C24" s="435" t="s">
        <v>262</v>
      </c>
      <c r="D24" s="557" t="s">
        <v>2481</v>
      </c>
      <c r="E24" s="639">
        <f>IFERROR(VLOOKUP(B24,MODULY_CBA!$B$3:$O$23,14,0)*VLOOKUP('Rozpocet - Vyvoj aplikacii'!C24,AKTIVITY_POZICIE!$A$4:$C$39,3,0),0)</f>
        <v>34.997475658131989</v>
      </c>
      <c r="F24" s="497">
        <f>IFERROR(VLOOKUP(C24,POZICIE_INTERNE!$A$4:$D$39,3,0)*VLOOKUP(B24,MODULY_CBA!$B$3:$J$23,9,0)/SUM(MODULY_CBA!$J$3:$J$23),)</f>
        <v>9.6934727731698516</v>
      </c>
      <c r="G24" s="503">
        <f>IFERROR(IF(ISTEXT(B24),VLOOKUP(C24,POZICIE_INTERNE!$A$4:$D$39,4,0),),)</f>
        <v>252.14500000000001</v>
      </c>
      <c r="H24" s="504">
        <f>IF(ISTEXT(B24),VLOOKUP(C24,AKTIVITY_POZICIE!$A$4:$E$39,5,0),)</f>
        <v>503.64656664743222</v>
      </c>
      <c r="I24" s="498">
        <f t="shared" si="0"/>
        <v>2444.1606923909121</v>
      </c>
      <c r="J24" s="498">
        <f t="shared" si="1"/>
        <v>21151.63014785431</v>
      </c>
      <c r="K24" s="498">
        <f t="shared" si="3"/>
        <v>23595.790840245223</v>
      </c>
      <c r="L24" s="558"/>
    </row>
    <row r="25" spans="1:12">
      <c r="A25" s="681" t="s">
        <v>279</v>
      </c>
      <c r="B25" s="557" t="s">
        <v>791</v>
      </c>
      <c r="C25" s="435" t="s">
        <v>544</v>
      </c>
      <c r="D25" s="557" t="s">
        <v>2481</v>
      </c>
      <c r="E25" s="639">
        <f>IFERROR(VLOOKUP(B25,MODULY_CBA!$B$3:$O$23,14,0)*VLOOKUP('Rozpocet - Vyvoj aplikacii'!C25,AKTIVITY_POZICIE!$A$4:$C$39,3,0),0)</f>
        <v>83.989902632527944</v>
      </c>
      <c r="F25" s="497">
        <f>IFERROR(VLOOKUP(C25,POZICIE_INTERNE!$A$4:$D$39,3,0)*VLOOKUP(B25,MODULY_CBA!$B$3:$J$23,9,0)/SUM(MODULY_CBA!$J$3:$J$23),)</f>
        <v>14.305950234403175</v>
      </c>
      <c r="G25" s="503">
        <f>IFERROR(IF(ISTEXT(B25),VLOOKUP(C25,POZICIE_INTERNE!$A$4:$D$39,4,0),),)</f>
        <v>247.08205533596842</v>
      </c>
      <c r="H25" s="504">
        <f>IF(ISTEXT(B25),VLOOKUP(C25,AKTIVITY_POZICIE!$A$4:$E$39,5,0),)</f>
        <v>445.45804279874972</v>
      </c>
      <c r="I25" s="498">
        <f t="shared" si="0"/>
        <v>3534.7435874504158</v>
      </c>
      <c r="J25" s="498">
        <f t="shared" si="1"/>
        <v>44896.773169852146</v>
      </c>
      <c r="K25" s="498">
        <f t="shared" si="3"/>
        <v>48431.516757302561</v>
      </c>
      <c r="L25" s="558"/>
    </row>
    <row r="26" spans="1:12">
      <c r="A26" s="681" t="s">
        <v>279</v>
      </c>
      <c r="B26" s="557" t="s">
        <v>791</v>
      </c>
      <c r="C26" s="435" t="s">
        <v>263</v>
      </c>
      <c r="D26" s="557" t="s">
        <v>2481</v>
      </c>
      <c r="E26" s="639">
        <f>IFERROR(VLOOKUP(B26,MODULY_CBA!$B$3:$O$23,14,0)*VLOOKUP('Rozpocet - Vyvoj aplikacii'!C26,AKTIVITY_POZICIE!$A$4:$C$39,3,0),0)</f>
        <v>21.002524341868014</v>
      </c>
      <c r="F26" s="497">
        <f>IFERROR(VLOOKUP(C26,POZICIE_INTERNE!$A$4:$D$39,3,0)*VLOOKUP(B26,MODULY_CBA!$B$3:$J$23,9,0)/SUM(MODULY_CBA!$J$3:$J$23),)</f>
        <v>6.0584204832311572</v>
      </c>
      <c r="G26" s="503">
        <f>IFERROR(IF(ISTEXT(B26),VLOOKUP(C26,POZICIE_INTERNE!$A$4:$D$39,4,0),),)</f>
        <v>246.80799999999999</v>
      </c>
      <c r="H26" s="504">
        <f>IF(ISTEXT(B26),VLOOKUP(C26,AKTIVITY_POZICIE!$A$4:$E$39,5,0),)</f>
        <v>450.80865384615385</v>
      </c>
      <c r="I26" s="498">
        <f t="shared" si="0"/>
        <v>1495.2666426253154</v>
      </c>
      <c r="J26" s="498">
        <f t="shared" si="1"/>
        <v>11361.743671114318</v>
      </c>
      <c r="K26" s="498">
        <f t="shared" si="3"/>
        <v>12857.010313739633</v>
      </c>
      <c r="L26" s="558"/>
    </row>
    <row r="27" spans="1:12">
      <c r="A27" s="680" t="s">
        <v>280</v>
      </c>
      <c r="B27" s="557" t="s">
        <v>792</v>
      </c>
      <c r="C27" s="435" t="s">
        <v>262</v>
      </c>
      <c r="D27" s="557" t="s">
        <v>2482</v>
      </c>
      <c r="E27" s="639">
        <f>IFERROR(VLOOKUP(B27,MODULY_CBA!$B$3:$O$23,14,0)*VLOOKUP('Rozpocet - Vyvoj aplikacii'!C27,AKTIVITY_POZICIE!$A$4:$C$39,3,0),0)</f>
        <v>102.24262531554274</v>
      </c>
      <c r="F27" s="497">
        <f>IFERROR(VLOOKUP(C27,POZICIE_INTERNE!$A$4:$D$39,3,0)*VLOOKUP(B27,MODULY_CBA!$B$3:$J$23,9,0)/SUM(MODULY_CBA!$J$3:$J$23),)</f>
        <v>28.318788315903355</v>
      </c>
      <c r="G27" s="503">
        <f>IFERROR(IF(ISTEXT(B27),VLOOKUP(C27,POZICIE_INTERNE!$A$4:$D$39,4,0),),)</f>
        <v>252.14500000000001</v>
      </c>
      <c r="H27" s="504">
        <f>IF(ISTEXT(B27),VLOOKUP(C27,AKTIVITY_POZICIE!$A$4:$E$39,5,0),)</f>
        <v>503.64656664743222</v>
      </c>
      <c r="I27" s="498">
        <f t="shared" si="0"/>
        <v>7140.4408799134517</v>
      </c>
      <c r="J27" s="498">
        <f t="shared" si="1"/>
        <v>61792.976646231524</v>
      </c>
      <c r="K27" s="498">
        <f t="shared" si="3"/>
        <v>68933.417526144971</v>
      </c>
      <c r="L27" s="558"/>
    </row>
    <row r="28" spans="1:12">
      <c r="A28" s="680" t="s">
        <v>280</v>
      </c>
      <c r="B28" s="557" t="s">
        <v>792</v>
      </c>
      <c r="C28" s="435" t="s">
        <v>544</v>
      </c>
      <c r="D28" s="557" t="s">
        <v>2482</v>
      </c>
      <c r="E28" s="639">
        <f>IFERROR(VLOOKUP(B28,MODULY_CBA!$B$3:$O$23,14,0)*VLOOKUP('Rozpocet - Vyvoj aplikacii'!C28,AKTIVITY_POZICIE!$A$4:$C$39,3,0),0)</f>
        <v>245.37050126217093</v>
      </c>
      <c r="F28" s="497">
        <f>IFERROR(VLOOKUP(C28,POZICIE_INTERNE!$A$4:$D$39,3,0)*VLOOKUP(B28,MODULY_CBA!$B$3:$J$23,9,0)/SUM(MODULY_CBA!$J$3:$J$23),)</f>
        <v>41.793811756220705</v>
      </c>
      <c r="G28" s="503">
        <f>IFERROR(IF(ISTEXT(B28),VLOOKUP(C28,POZICIE_INTERNE!$A$4:$D$39,4,0),),)</f>
        <v>247.08205533596842</v>
      </c>
      <c r="H28" s="504">
        <f>IF(ISTEXT(B28),VLOOKUP(C28,AKTIVITY_POZICIE!$A$4:$E$39,5,0),)</f>
        <v>445.45804279874972</v>
      </c>
      <c r="I28" s="498">
        <f t="shared" si="0"/>
        <v>10326.500909051572</v>
      </c>
      <c r="J28" s="498">
        <f t="shared" si="1"/>
        <v>131162.71590335376</v>
      </c>
      <c r="K28" s="498">
        <f t="shared" si="3"/>
        <v>141489.21681240533</v>
      </c>
      <c r="L28" s="558"/>
    </row>
    <row r="29" spans="1:12">
      <c r="A29" s="680" t="s">
        <v>280</v>
      </c>
      <c r="B29" s="557" t="s">
        <v>792</v>
      </c>
      <c r="C29" s="435" t="s">
        <v>263</v>
      </c>
      <c r="D29" s="557" t="s">
        <v>2482</v>
      </c>
      <c r="E29" s="639">
        <f>IFERROR(VLOOKUP(B29,MODULY_CBA!$B$3:$O$23,14,0)*VLOOKUP('Rozpocet - Vyvoj aplikacii'!C29,AKTIVITY_POZICIE!$A$4:$C$39,3,0),0)</f>
        <v>61.357374684457277</v>
      </c>
      <c r="F29" s="497">
        <f>IFERROR(VLOOKUP(C29,POZICIE_INTERNE!$A$4:$D$39,3,0)*VLOOKUP(B29,MODULY_CBA!$B$3:$J$23,9,0)/SUM(MODULY_CBA!$J$3:$J$23),)</f>
        <v>17.699242697439598</v>
      </c>
      <c r="G29" s="503">
        <f>IFERROR(IF(ISTEXT(B29),VLOOKUP(C29,POZICIE_INTERNE!$A$4:$D$39,4,0),),)</f>
        <v>246.80799999999999</v>
      </c>
      <c r="H29" s="504">
        <f>IF(ISTEXT(B29),VLOOKUP(C29,AKTIVITY_POZICIE!$A$4:$E$39,5,0),)</f>
        <v>450.80865384615385</v>
      </c>
      <c r="I29" s="498">
        <f t="shared" si="0"/>
        <v>4368.3146916696724</v>
      </c>
      <c r="J29" s="498">
        <f t="shared" si="1"/>
        <v>33192.522582041114</v>
      </c>
      <c r="K29" s="498">
        <f t="shared" si="3"/>
        <v>37560.837273710786</v>
      </c>
      <c r="L29" s="558"/>
    </row>
    <row r="30" spans="1:12">
      <c r="A30" s="681" t="s">
        <v>281</v>
      </c>
      <c r="B30" s="557" t="s">
        <v>793</v>
      </c>
      <c r="C30" s="435" t="s">
        <v>262</v>
      </c>
      <c r="D30" s="557" t="s">
        <v>2481</v>
      </c>
      <c r="E30" s="639">
        <f>IFERROR(VLOOKUP(B30,MODULY_CBA!$B$3:$O$23,14,0)*VLOOKUP('Rozpocet - Vyvoj aplikacii'!C30,AKTIVITY_POZICIE!$A$4:$C$39,3,0),0)</f>
        <v>121.74121889650199</v>
      </c>
      <c r="F30" s="497">
        <f>IFERROR(VLOOKUP(C30,POZICIE_INTERNE!$A$4:$D$39,3,0)*VLOOKUP(B30,MODULY_CBA!$B$3:$J$23,9,0)/SUM(MODULY_CBA!$J$3:$J$23),)</f>
        <v>33.7194374323837</v>
      </c>
      <c r="G30" s="503">
        <f>IFERROR(IF(ISTEXT(B30),VLOOKUP(C30,POZICIE_INTERNE!$A$4:$D$39,4,0),),)</f>
        <v>252.14500000000001</v>
      </c>
      <c r="H30" s="504">
        <f>IF(ISTEXT(B30),VLOOKUP(C30,AKTIVITY_POZICIE!$A$4:$E$39,5,0),)</f>
        <v>503.64656664743222</v>
      </c>
      <c r="I30" s="498">
        <f t="shared" si="0"/>
        <v>8502.1875513883879</v>
      </c>
      <c r="J30" s="498">
        <f t="shared" si="1"/>
        <v>73577.456300036065</v>
      </c>
      <c r="K30" s="498">
        <f t="shared" si="3"/>
        <v>82079.643851424451</v>
      </c>
      <c r="L30" s="558"/>
    </row>
    <row r="31" spans="1:12">
      <c r="A31" s="681" t="s">
        <v>281</v>
      </c>
      <c r="B31" s="557" t="s">
        <v>793</v>
      </c>
      <c r="C31" s="435" t="s">
        <v>544</v>
      </c>
      <c r="D31" s="557" t="s">
        <v>2481</v>
      </c>
      <c r="E31" s="639">
        <f>IFERROR(VLOOKUP(B31,MODULY_CBA!$B$3:$O$23,14,0)*VLOOKUP('Rozpocet - Vyvoj aplikacii'!C31,AKTIVITY_POZICIE!$A$4:$C$39,3,0),0)</f>
        <v>292.16487558600795</v>
      </c>
      <c r="F31" s="497">
        <f>IFERROR(VLOOKUP(C31,POZICIE_INTERNE!$A$4:$D$39,3,0)*VLOOKUP(B31,MODULY_CBA!$B$3:$J$23,9,0)/SUM(MODULY_CBA!$J$3:$J$23),)</f>
        <v>49.764269743959616</v>
      </c>
      <c r="G31" s="503">
        <f>IFERROR(IF(ISTEXT(B31),VLOOKUP(C31,POZICIE_INTERNE!$A$4:$D$39,4,0),),)</f>
        <v>247.08205533596842</v>
      </c>
      <c r="H31" s="504">
        <f>IF(ISTEXT(B31),VLOOKUP(C31,AKTIVITY_POZICIE!$A$4:$E$39,5,0),)</f>
        <v>445.45804279874972</v>
      </c>
      <c r="I31" s="498">
        <f t="shared" si="0"/>
        <v>12295.858050631088</v>
      </c>
      <c r="J31" s="498">
        <f t="shared" si="1"/>
        <v>156176.63238369997</v>
      </c>
      <c r="K31" s="498">
        <f t="shared" si="3"/>
        <v>168472.49043433106</v>
      </c>
      <c r="L31" s="558"/>
    </row>
    <row r="32" spans="1:12">
      <c r="A32" s="681" t="s">
        <v>281</v>
      </c>
      <c r="B32" s="557" t="s">
        <v>793</v>
      </c>
      <c r="C32" s="435" t="s">
        <v>263</v>
      </c>
      <c r="D32" s="557" t="s">
        <v>2481</v>
      </c>
      <c r="E32" s="639">
        <f>IFERROR(VLOOKUP(B32,MODULY_CBA!$B$3:$O$23,14,0)*VLOOKUP('Rozpocet - Vyvoj aplikacii'!C32,AKTIVITY_POZICIE!$A$4:$C$39,3,0),0)</f>
        <v>73.058781103498021</v>
      </c>
      <c r="F32" s="497">
        <f>IFERROR(VLOOKUP(C32,POZICIE_INTERNE!$A$4:$D$39,3,0)*VLOOKUP(B32,MODULY_CBA!$B$3:$J$23,9,0)/SUM(MODULY_CBA!$J$3:$J$23),)</f>
        <v>21.074648395239812</v>
      </c>
      <c r="G32" s="503">
        <f>IFERROR(IF(ISTEXT(B32),VLOOKUP(C32,POZICIE_INTERNE!$A$4:$D$39,4,0),),)</f>
        <v>246.80799999999999</v>
      </c>
      <c r="H32" s="504">
        <f>IF(ISTEXT(B32),VLOOKUP(C32,AKTIVITY_POZICIE!$A$4:$E$39,5,0),)</f>
        <v>450.80865384615385</v>
      </c>
      <c r="I32" s="498">
        <f t="shared" si="0"/>
        <v>5201.3918211323471</v>
      </c>
      <c r="J32" s="498">
        <f t="shared" si="1"/>
        <v>39522.636913090515</v>
      </c>
      <c r="K32" s="498">
        <f t="shared" si="3"/>
        <v>44724.028734222862</v>
      </c>
      <c r="L32" s="558"/>
    </row>
    <row r="33" spans="1:12">
      <c r="A33" s="681" t="s">
        <v>282</v>
      </c>
      <c r="B33" s="557" t="s">
        <v>794</v>
      </c>
      <c r="C33" s="435" t="s">
        <v>262</v>
      </c>
      <c r="D33" s="557" t="s">
        <v>2481</v>
      </c>
      <c r="E33" s="639">
        <f>IFERROR(VLOOKUP(B33,MODULY_CBA!$B$3:$O$23,14,0)*VLOOKUP('Rozpocet - Vyvoj aplikacii'!C33,AKTIVITY_POZICIE!$A$4:$C$39,3,0),0)</f>
        <v>27.747998557518933</v>
      </c>
      <c r="F33" s="497">
        <f>IFERROR(VLOOKUP(C33,POZICIE_INTERNE!$A$4:$D$39,3,0)*VLOOKUP(B33,MODULY_CBA!$B$3:$J$23,9,0)/SUM(MODULY_CBA!$J$3:$J$23),)</f>
        <v>7.6855391272989539</v>
      </c>
      <c r="G33" s="503">
        <f>IFERROR(IF(ISTEXT(B33),VLOOKUP(C33,POZICIE_INTERNE!$A$4:$D$39,4,0),),)</f>
        <v>252.14500000000001</v>
      </c>
      <c r="H33" s="504">
        <f>IF(ISTEXT(B33),VLOOKUP(C33,AKTIVITY_POZICIE!$A$4:$E$39,5,0),)</f>
        <v>503.64656664743222</v>
      </c>
      <c r="I33" s="498">
        <f t="shared" si="0"/>
        <v>1937.8702632527948</v>
      </c>
      <c r="J33" s="498">
        <f t="shared" si="1"/>
        <v>16770.221045798775</v>
      </c>
      <c r="K33" s="498">
        <f t="shared" si="3"/>
        <v>18708.091309051568</v>
      </c>
      <c r="L33" s="558"/>
    </row>
    <row r="34" spans="1:12">
      <c r="A34" s="681" t="s">
        <v>282</v>
      </c>
      <c r="B34" s="557" t="s">
        <v>794</v>
      </c>
      <c r="C34" s="435" t="s">
        <v>544</v>
      </c>
      <c r="D34" s="557" t="s">
        <v>2481</v>
      </c>
      <c r="E34" s="639">
        <f>IFERROR(VLOOKUP(B34,MODULY_CBA!$B$3:$O$23,14,0)*VLOOKUP('Rozpocet - Vyvoj aplikacii'!C34,AKTIVITY_POZICIE!$A$4:$C$39,3,0),0)</f>
        <v>66.591994230075727</v>
      </c>
      <c r="F34" s="497">
        <f>IFERROR(VLOOKUP(C34,POZICIE_INTERNE!$A$4:$D$39,3,0)*VLOOKUP(B34,MODULY_CBA!$B$3:$J$23,9,0)/SUM(MODULY_CBA!$J$3:$J$23),)</f>
        <v>11.342574828705375</v>
      </c>
      <c r="G34" s="503">
        <f>IFERROR(IF(ISTEXT(B34),VLOOKUP(C34,POZICIE_INTERNE!$A$4:$D$39,4,0),),)</f>
        <v>247.08205533596842</v>
      </c>
      <c r="H34" s="504">
        <f>IF(ISTEXT(B34),VLOOKUP(C34,AKTIVITY_POZICIE!$A$4:$E$39,5,0),)</f>
        <v>445.45804279874972</v>
      </c>
      <c r="I34" s="498">
        <f t="shared" si="0"/>
        <v>2802.546701478544</v>
      </c>
      <c r="J34" s="498">
        <f t="shared" si="1"/>
        <v>35596.727298954203</v>
      </c>
      <c r="K34" s="498">
        <f t="shared" si="3"/>
        <v>38399.27400043275</v>
      </c>
      <c r="L34" s="558"/>
    </row>
    <row r="35" spans="1:12">
      <c r="A35" s="681" t="s">
        <v>282</v>
      </c>
      <c r="B35" s="557" t="s">
        <v>794</v>
      </c>
      <c r="C35" s="435" t="s">
        <v>263</v>
      </c>
      <c r="D35" s="557" t="s">
        <v>2481</v>
      </c>
      <c r="E35" s="639">
        <f>IFERROR(VLOOKUP(B35,MODULY_CBA!$B$3:$O$23,14,0)*VLOOKUP('Rozpocet - Vyvoj aplikacii'!C35,AKTIVITY_POZICIE!$A$4:$C$39,3,0),0)</f>
        <v>16.652001442481069</v>
      </c>
      <c r="F35" s="497">
        <f>IFERROR(VLOOKUP(C35,POZICIE_INTERNE!$A$4:$D$39,3,0)*VLOOKUP(B35,MODULY_CBA!$B$3:$J$23,9,0)/SUM(MODULY_CBA!$J$3:$J$23),)</f>
        <v>4.803461954561846</v>
      </c>
      <c r="G35" s="503">
        <f>IFERROR(IF(ISTEXT(B35),VLOOKUP(C35,POZICIE_INTERNE!$A$4:$D$39,4,0),),)</f>
        <v>246.80799999999999</v>
      </c>
      <c r="H35" s="504">
        <f>IF(ISTEXT(B35),VLOOKUP(C35,AKTIVITY_POZICIE!$A$4:$E$39,5,0),)</f>
        <v>450.80865384615385</v>
      </c>
      <c r="I35" s="498">
        <f t="shared" si="0"/>
        <v>1185.5328380815001</v>
      </c>
      <c r="J35" s="498">
        <f t="shared" si="1"/>
        <v>9008.239624954922</v>
      </c>
      <c r="K35" s="498">
        <f t="shared" si="3"/>
        <v>10193.772463036423</v>
      </c>
      <c r="L35" s="558"/>
    </row>
    <row r="36" spans="1:12">
      <c r="A36" s="681" t="s">
        <v>283</v>
      </c>
      <c r="B36" s="557" t="s">
        <v>795</v>
      </c>
      <c r="C36" s="435" t="s">
        <v>262</v>
      </c>
      <c r="D36" s="557" t="s">
        <v>2481</v>
      </c>
      <c r="E36" s="639">
        <f>IFERROR(VLOOKUP(B36,MODULY_CBA!$B$3:$O$23,14,0)*VLOOKUP('Rozpocet - Vyvoj aplikacii'!C36,AKTIVITY_POZICIE!$A$4:$C$39,3,0),0)</f>
        <v>6.2495492246664268</v>
      </c>
      <c r="F36" s="497">
        <f>IFERROR(VLOOKUP(C36,POZICIE_INTERNE!$A$4:$D$39,3,0)*VLOOKUP(B36,MODULY_CBA!$B$3:$J$23,9,0)/SUM(MODULY_CBA!$J$3:$J$23),)</f>
        <v>1.7309772809231878</v>
      </c>
      <c r="G36" s="503">
        <f>IFERROR(IF(ISTEXT(B36),VLOOKUP(C36,POZICIE_INTERNE!$A$4:$D$39,4,0),),)</f>
        <v>252.14500000000001</v>
      </c>
      <c r="H36" s="504">
        <f>IF(ISTEXT(B36),VLOOKUP(C36,AKTIVITY_POZICIE!$A$4:$E$39,5,0),)</f>
        <v>503.64656664743222</v>
      </c>
      <c r="I36" s="498">
        <f t="shared" si="0"/>
        <v>436.45726649837718</v>
      </c>
      <c r="J36" s="498">
        <f t="shared" si="1"/>
        <v>3777.0768121168412</v>
      </c>
      <c r="K36" s="498">
        <f t="shared" si="3"/>
        <v>4213.5340786152183</v>
      </c>
      <c r="L36" s="558"/>
    </row>
    <row r="37" spans="1:12">
      <c r="A37" s="681" t="s">
        <v>283</v>
      </c>
      <c r="B37" s="557" t="s">
        <v>795</v>
      </c>
      <c r="C37" s="435" t="s">
        <v>544</v>
      </c>
      <c r="D37" s="557" t="s">
        <v>2481</v>
      </c>
      <c r="E37" s="639">
        <f>IFERROR(VLOOKUP(B37,MODULY_CBA!$B$3:$O$23,14,0)*VLOOKUP('Rozpocet - Vyvoj aplikacii'!C37,AKTIVITY_POZICIE!$A$4:$C$39,3,0),0)</f>
        <v>14.998196898665705</v>
      </c>
      <c r="F37" s="497">
        <f>IFERROR(VLOOKUP(C37,POZICIE_INTERNE!$A$4:$D$39,3,0)*VLOOKUP(B37,MODULY_CBA!$B$3:$J$23,9,0)/SUM(MODULY_CBA!$J$3:$J$23),)</f>
        <v>2.5546339704291388</v>
      </c>
      <c r="G37" s="503">
        <f>IFERROR(IF(ISTEXT(B37),VLOOKUP(C37,POZICIE_INTERNE!$A$4:$D$39,4,0),),)</f>
        <v>247.08205533596842</v>
      </c>
      <c r="H37" s="504">
        <f>IF(ISTEXT(B37),VLOOKUP(C37,AKTIVITY_POZICIE!$A$4:$E$39,5,0),)</f>
        <v>445.45804279874972</v>
      </c>
      <c r="I37" s="498">
        <f t="shared" si="0"/>
        <v>631.20421204471722</v>
      </c>
      <c r="J37" s="498">
        <f t="shared" si="1"/>
        <v>8017.2809231878837</v>
      </c>
      <c r="K37" s="498">
        <f t="shared" si="3"/>
        <v>8648.4851352326004</v>
      </c>
      <c r="L37" s="558"/>
    </row>
    <row r="38" spans="1:12">
      <c r="A38" s="681" t="s">
        <v>283</v>
      </c>
      <c r="B38" s="557" t="s">
        <v>795</v>
      </c>
      <c r="C38" s="435" t="s">
        <v>263</v>
      </c>
      <c r="D38" s="557" t="s">
        <v>2481</v>
      </c>
      <c r="E38" s="639">
        <f>IFERROR(VLOOKUP(B38,MODULY_CBA!$B$3:$O$23,14,0)*VLOOKUP('Rozpocet - Vyvoj aplikacii'!C38,AKTIVITY_POZICIE!$A$4:$C$39,3,0),0)</f>
        <v>3.7504507753335741</v>
      </c>
      <c r="F38" s="497">
        <f>IFERROR(VLOOKUP(C38,POZICIE_INTERNE!$A$4:$D$39,3,0)*VLOOKUP(B38,MODULY_CBA!$B$3:$J$23,9,0)/SUM(MODULY_CBA!$J$3:$J$23),)</f>
        <v>1.0818608005769925</v>
      </c>
      <c r="G38" s="503">
        <f>IFERROR(IF(ISTEXT(B38),VLOOKUP(C38,POZICIE_INTERNE!$A$4:$D$39,4,0),),)</f>
        <v>246.80799999999999</v>
      </c>
      <c r="H38" s="504">
        <f>IF(ISTEXT(B38),VLOOKUP(C38,AKTIVITY_POZICIE!$A$4:$E$39,5,0),)</f>
        <v>450.80865384615385</v>
      </c>
      <c r="I38" s="498">
        <f t="shared" si="0"/>
        <v>267.01190046880635</v>
      </c>
      <c r="J38" s="498">
        <f t="shared" si="1"/>
        <v>2028.8827984132711</v>
      </c>
      <c r="K38" s="498">
        <f t="shared" si="3"/>
        <v>2295.8946988820776</v>
      </c>
      <c r="L38" s="558"/>
    </row>
    <row r="39" spans="1:12">
      <c r="A39" s="680" t="s">
        <v>284</v>
      </c>
      <c r="B39" s="557" t="s">
        <v>796</v>
      </c>
      <c r="C39" s="435" t="s">
        <v>262</v>
      </c>
      <c r="D39" s="557" t="s">
        <v>2482</v>
      </c>
      <c r="E39" s="639">
        <f>IFERROR(VLOOKUP(B39,MODULY_CBA!$B$3:$O$23,14,0)*VLOOKUP('Rozpocet - Vyvoj aplikacii'!C39,AKTIVITY_POZICIE!$A$4:$C$39,3,0),0)</f>
        <v>49.246447890371435</v>
      </c>
      <c r="F39" s="497">
        <f>IFERROR(VLOOKUP(C39,POZICIE_INTERNE!$A$4:$D$39,3,0)*VLOOKUP(B39,MODULY_CBA!$B$3:$J$23,9,0)/SUM(MODULY_CBA!$J$3:$J$23),)</f>
        <v>13.64010097367472</v>
      </c>
      <c r="G39" s="503">
        <f>IFERROR(IF(ISTEXT(B39),VLOOKUP(C39,POZICIE_INTERNE!$A$4:$D$39,4,0),),)</f>
        <v>252.14500000000001</v>
      </c>
      <c r="H39" s="504">
        <f>IF(ISTEXT(B39),VLOOKUP(C39,AKTIVITY_POZICIE!$A$4:$E$39,5,0),)</f>
        <v>503.64656664743222</v>
      </c>
      <c r="I39" s="498">
        <f t="shared" si="0"/>
        <v>3439.2832600072124</v>
      </c>
      <c r="J39" s="498">
        <f t="shared" si="1"/>
        <v>29763.365279480706</v>
      </c>
      <c r="K39" s="498">
        <f t="shared" si="3"/>
        <v>33202.64853948792</v>
      </c>
      <c r="L39" s="558"/>
    </row>
    <row r="40" spans="1:12">
      <c r="A40" s="680" t="s">
        <v>284</v>
      </c>
      <c r="B40" s="557" t="s">
        <v>796</v>
      </c>
      <c r="C40" s="435" t="s">
        <v>544</v>
      </c>
      <c r="D40" s="557" t="s">
        <v>2482</v>
      </c>
      <c r="E40" s="639">
        <f>IFERROR(VLOOKUP(B40,MODULY_CBA!$B$3:$O$23,14,0)*VLOOKUP('Rozpocet - Vyvoj aplikacii'!C40,AKTIVITY_POZICIE!$A$4:$C$39,3,0),0)</f>
        <v>118.18579156148574</v>
      </c>
      <c r="F40" s="497">
        <f>IFERROR(VLOOKUP(C40,POZICIE_INTERNE!$A$4:$D$39,3,0)*VLOOKUP(B40,MODULY_CBA!$B$3:$J$23,9,0)/SUM(MODULY_CBA!$J$3:$J$23),)</f>
        <v>20.13051568698161</v>
      </c>
      <c r="G40" s="503">
        <f>IFERROR(IF(ISTEXT(B40),VLOOKUP(C40,POZICIE_INTERNE!$A$4:$D$39,4,0),),)</f>
        <v>247.08205533596842</v>
      </c>
      <c r="H40" s="504">
        <f>IF(ISTEXT(B40),VLOOKUP(C40,AKTIVITY_POZICIE!$A$4:$E$39,5,0),)</f>
        <v>445.45804279874972</v>
      </c>
      <c r="I40" s="498">
        <f t="shared" si="0"/>
        <v>4973.8891909123704</v>
      </c>
      <c r="J40" s="498">
        <f t="shared" si="1"/>
        <v>63176.173674720514</v>
      </c>
      <c r="K40" s="498">
        <f t="shared" si="3"/>
        <v>68150.062865632877</v>
      </c>
      <c r="L40" s="558"/>
    </row>
    <row r="41" spans="1:12">
      <c r="A41" s="680" t="s">
        <v>284</v>
      </c>
      <c r="B41" s="557" t="s">
        <v>796</v>
      </c>
      <c r="C41" s="435" t="s">
        <v>263</v>
      </c>
      <c r="D41" s="557" t="s">
        <v>2482</v>
      </c>
      <c r="E41" s="639">
        <f>IFERROR(VLOOKUP(B41,MODULY_CBA!$B$3:$O$23,14,0)*VLOOKUP('Rozpocet - Vyvoj aplikacii'!C41,AKTIVITY_POZICIE!$A$4:$C$39,3,0),0)</f>
        <v>29.553552109628562</v>
      </c>
      <c r="F41" s="497">
        <f>IFERROR(VLOOKUP(C41,POZICIE_INTERNE!$A$4:$D$39,3,0)*VLOOKUP(B41,MODULY_CBA!$B$3:$J$23,9,0)/SUM(MODULY_CBA!$J$3:$J$23),)</f>
        <v>8.5250631085466999</v>
      </c>
      <c r="G41" s="503">
        <f>IFERROR(IF(ISTEXT(B41),VLOOKUP(C41,POZICIE_INTERNE!$A$4:$D$39,4,0),),)</f>
        <v>246.80799999999999</v>
      </c>
      <c r="H41" s="504">
        <f>IF(ISTEXT(B41),VLOOKUP(C41,AKTIVITY_POZICIE!$A$4:$E$39,5,0),)</f>
        <v>450.80865384615385</v>
      </c>
      <c r="I41" s="498">
        <f t="shared" si="0"/>
        <v>2104.053775694194</v>
      </c>
      <c r="J41" s="498">
        <f t="shared" si="1"/>
        <v>15987.596451496574</v>
      </c>
      <c r="K41" s="498">
        <f t="shared" si="3"/>
        <v>18091.650227190767</v>
      </c>
      <c r="L41" s="558"/>
    </row>
    <row r="42" spans="1:12">
      <c r="A42" s="681" t="s">
        <v>285</v>
      </c>
      <c r="B42" s="557" t="s">
        <v>797</v>
      </c>
      <c r="C42" s="435" t="s">
        <v>262</v>
      </c>
      <c r="D42" s="557" t="s">
        <v>2482</v>
      </c>
      <c r="E42" s="639">
        <f>IFERROR(VLOOKUP(B42,MODULY_CBA!$B$3:$O$23,14,0)*VLOOKUP('Rozpocet - Vyvoj aplikacii'!C42,AKTIVITY_POZICIE!$A$4:$C$39,3,0),0)</f>
        <v>33.747565813198705</v>
      </c>
      <c r="F42" s="497">
        <f>IFERROR(VLOOKUP(C42,POZICIE_INTERNE!$A$4:$D$39,3,0)*VLOOKUP(B42,MODULY_CBA!$B$3:$J$23,9,0)/SUM(MODULY_CBA!$J$3:$J$23),)</f>
        <v>9.347277316985215</v>
      </c>
      <c r="G42" s="503">
        <f>IFERROR(IF(ISTEXT(B42),VLOOKUP(C42,POZICIE_INTERNE!$A$4:$D$39,4,0),),)</f>
        <v>252.14500000000001</v>
      </c>
      <c r="H42" s="504">
        <f>IF(ISTEXT(B42),VLOOKUP(C42,AKTIVITY_POZICIE!$A$4:$E$39,5,0),)</f>
        <v>503.64656664743222</v>
      </c>
      <c r="I42" s="498">
        <f t="shared" si="0"/>
        <v>2356.869239091237</v>
      </c>
      <c r="J42" s="498">
        <f t="shared" si="1"/>
        <v>20396.214785430944</v>
      </c>
      <c r="K42" s="498">
        <f t="shared" si="3"/>
        <v>22753.084024522181</v>
      </c>
      <c r="L42" s="558"/>
    </row>
    <row r="43" spans="1:12">
      <c r="A43" s="681" t="s">
        <v>285</v>
      </c>
      <c r="B43" s="557" t="s">
        <v>797</v>
      </c>
      <c r="C43" s="435" t="s">
        <v>544</v>
      </c>
      <c r="D43" s="557" t="s">
        <v>2482</v>
      </c>
      <c r="E43" s="639">
        <f>IFERROR(VLOOKUP(B43,MODULY_CBA!$B$3:$O$23,14,0)*VLOOKUP('Rozpocet - Vyvoj aplikacii'!C43,AKTIVITY_POZICIE!$A$4:$C$39,3,0),0)</f>
        <v>80.990263252794804</v>
      </c>
      <c r="F43" s="497">
        <f>IFERROR(VLOOKUP(C43,POZICIE_INTERNE!$A$4:$D$39,3,0)*VLOOKUP(B43,MODULY_CBA!$B$3:$J$23,9,0)/SUM(MODULY_CBA!$J$3:$J$23),)</f>
        <v>13.795023440317348</v>
      </c>
      <c r="G43" s="503">
        <f>IFERROR(IF(ISTEXT(B43),VLOOKUP(C43,POZICIE_INTERNE!$A$4:$D$39,4,0),),)</f>
        <v>247.08205533596842</v>
      </c>
      <c r="H43" s="504">
        <f>IF(ISTEXT(B43),VLOOKUP(C43,AKTIVITY_POZICIE!$A$4:$E$39,5,0),)</f>
        <v>445.45804279874972</v>
      </c>
      <c r="I43" s="498">
        <f t="shared" si="0"/>
        <v>3408.5027450414723</v>
      </c>
      <c r="J43" s="498">
        <f t="shared" si="1"/>
        <v>43293.316985214566</v>
      </c>
      <c r="K43" s="498">
        <f t="shared" si="3"/>
        <v>46701.819730256037</v>
      </c>
      <c r="L43" s="558"/>
    </row>
    <row r="44" spans="1:12">
      <c r="A44" s="681" t="s">
        <v>285</v>
      </c>
      <c r="B44" s="557" t="s">
        <v>797</v>
      </c>
      <c r="C44" s="435" t="s">
        <v>263</v>
      </c>
      <c r="D44" s="557" t="s">
        <v>2482</v>
      </c>
      <c r="E44" s="639">
        <f>IFERROR(VLOOKUP(B44,MODULY_CBA!$B$3:$O$23,14,0)*VLOOKUP('Rozpocet - Vyvoj aplikacii'!C44,AKTIVITY_POZICIE!$A$4:$C$39,3,0),0)</f>
        <v>20.252434186801299</v>
      </c>
      <c r="F44" s="497">
        <f>IFERROR(VLOOKUP(C44,POZICIE_INTERNE!$A$4:$D$39,3,0)*VLOOKUP(B44,MODULY_CBA!$B$3:$J$23,9,0)/SUM(MODULY_CBA!$J$3:$J$23),)</f>
        <v>5.8420483231157592</v>
      </c>
      <c r="G44" s="503">
        <f>IFERROR(IF(ISTEXT(B44),VLOOKUP(C44,POZICIE_INTERNE!$A$4:$D$39,4,0),),)</f>
        <v>246.80799999999999</v>
      </c>
      <c r="H44" s="504">
        <f>IF(ISTEXT(B44),VLOOKUP(C44,AKTIVITY_POZICIE!$A$4:$E$39,5,0),)</f>
        <v>450.80865384615385</v>
      </c>
      <c r="I44" s="498">
        <f t="shared" si="0"/>
        <v>1441.8642625315542</v>
      </c>
      <c r="J44" s="498">
        <f t="shared" si="1"/>
        <v>10955.967111431661</v>
      </c>
      <c r="K44" s="498">
        <f t="shared" si="3"/>
        <v>12397.831373963214</v>
      </c>
      <c r="L44" s="558"/>
    </row>
    <row r="45" spans="1:12">
      <c r="A45" s="681" t="s">
        <v>286</v>
      </c>
      <c r="B45" s="557" t="s">
        <v>798</v>
      </c>
      <c r="C45" s="435" t="s">
        <v>262</v>
      </c>
      <c r="D45" s="557" t="s">
        <v>2482</v>
      </c>
      <c r="E45" s="639">
        <f>IFERROR(VLOOKUP(B45,MODULY_CBA!$B$3:$O$23,14,0)*VLOOKUP('Rozpocet - Vyvoj aplikacii'!C45,AKTIVITY_POZICIE!$A$4:$C$39,3,0),0)</f>
        <v>100.99271547060945</v>
      </c>
      <c r="F45" s="497">
        <f>IFERROR(VLOOKUP(C45,POZICIE_INTERNE!$A$4:$D$39,3,0)*VLOOKUP(B45,MODULY_CBA!$B$3:$J$23,9,0)/SUM(MODULY_CBA!$J$3:$J$23),)</f>
        <v>27.972592859718716</v>
      </c>
      <c r="G45" s="503">
        <f>IFERROR(IF(ISTEXT(B45),VLOOKUP(C45,POZICIE_INTERNE!$A$4:$D$39,4,0),),)</f>
        <v>252.14500000000001</v>
      </c>
      <c r="H45" s="504">
        <f>IF(ISTEXT(B45),VLOOKUP(C45,AKTIVITY_POZICIE!$A$4:$E$39,5,0),)</f>
        <v>503.64656664743222</v>
      </c>
      <c r="I45" s="498">
        <f t="shared" si="0"/>
        <v>7053.1494266137761</v>
      </c>
      <c r="J45" s="498">
        <f t="shared" si="1"/>
        <v>61037.561283808151</v>
      </c>
      <c r="K45" s="498">
        <f t="shared" si="3"/>
        <v>68090.710710421932</v>
      </c>
      <c r="L45" s="558"/>
    </row>
    <row r="46" spans="1:12">
      <c r="A46" s="681" t="s">
        <v>286</v>
      </c>
      <c r="B46" s="557" t="s">
        <v>798</v>
      </c>
      <c r="C46" s="435" t="s">
        <v>544</v>
      </c>
      <c r="D46" s="557" t="s">
        <v>2482</v>
      </c>
      <c r="E46" s="639">
        <f>IFERROR(VLOOKUP(B46,MODULY_CBA!$B$3:$O$23,14,0)*VLOOKUP('Rozpocet - Vyvoj aplikacii'!C46,AKTIVITY_POZICIE!$A$4:$C$39,3,0),0)</f>
        <v>242.37086188243779</v>
      </c>
      <c r="F46" s="497">
        <f>IFERROR(VLOOKUP(C46,POZICIE_INTERNE!$A$4:$D$39,3,0)*VLOOKUP(B46,MODULY_CBA!$B$3:$J$23,9,0)/SUM(MODULY_CBA!$J$3:$J$23),)</f>
        <v>41.282884962134879</v>
      </c>
      <c r="G46" s="503">
        <f>IFERROR(IF(ISTEXT(B46),VLOOKUP(C46,POZICIE_INTERNE!$A$4:$D$39,4,0),),)</f>
        <v>247.08205533596842</v>
      </c>
      <c r="H46" s="504">
        <f>IF(ISTEXT(B46),VLOOKUP(C46,AKTIVITY_POZICIE!$A$4:$E$39,5,0),)</f>
        <v>445.45804279874972</v>
      </c>
      <c r="I46" s="498">
        <f t="shared" si="0"/>
        <v>10200.26006664263</v>
      </c>
      <c r="J46" s="498">
        <f t="shared" si="1"/>
        <v>129559.2597187162</v>
      </c>
      <c r="K46" s="498">
        <f t="shared" si="3"/>
        <v>139759.51978535883</v>
      </c>
      <c r="L46" s="558"/>
    </row>
    <row r="47" spans="1:12">
      <c r="A47" s="681" t="s">
        <v>286</v>
      </c>
      <c r="B47" s="557" t="s">
        <v>798</v>
      </c>
      <c r="C47" s="435" t="s">
        <v>263</v>
      </c>
      <c r="D47" s="557" t="s">
        <v>2482</v>
      </c>
      <c r="E47" s="639">
        <f>IFERROR(VLOOKUP(B47,MODULY_CBA!$B$3:$O$23,14,0)*VLOOKUP('Rozpocet - Vyvoj aplikacii'!C47,AKTIVITY_POZICIE!$A$4:$C$39,3,0),0)</f>
        <v>60.607284529390562</v>
      </c>
      <c r="F47" s="497">
        <f>IFERROR(VLOOKUP(C47,POZICIE_INTERNE!$A$4:$D$39,3,0)*VLOOKUP(B47,MODULY_CBA!$B$3:$J$23,9,0)/SUM(MODULY_CBA!$J$3:$J$23),)</f>
        <v>17.482870537324196</v>
      </c>
      <c r="G47" s="503">
        <f>IFERROR(IF(ISTEXT(B47),VLOOKUP(C47,POZICIE_INTERNE!$A$4:$D$39,4,0),),)</f>
        <v>246.80799999999999</v>
      </c>
      <c r="H47" s="504">
        <f>IF(ISTEXT(B47),VLOOKUP(C47,AKTIVITY_POZICIE!$A$4:$E$39,5,0),)</f>
        <v>450.80865384615385</v>
      </c>
      <c r="I47" s="498">
        <f t="shared" si="0"/>
        <v>4314.9123115759103</v>
      </c>
      <c r="J47" s="498">
        <f t="shared" si="1"/>
        <v>32786.746022358457</v>
      </c>
      <c r="K47" s="498">
        <f t="shared" si="3"/>
        <v>37101.658333934363</v>
      </c>
      <c r="L47" s="558"/>
    </row>
    <row r="48" spans="1:12">
      <c r="A48" s="681" t="s">
        <v>287</v>
      </c>
      <c r="B48" s="557" t="s">
        <v>799</v>
      </c>
      <c r="C48" s="435" t="s">
        <v>262</v>
      </c>
      <c r="D48" s="557" t="s">
        <v>2481</v>
      </c>
      <c r="E48" s="639">
        <f>IFERROR(VLOOKUP(B48,MODULY_CBA!$B$3:$O$23,14,0)*VLOOKUP('Rozpocet - Vyvoj aplikacii'!C48,AKTIVITY_POZICIE!$A$4:$C$39,3,0),0)</f>
        <v>78.744320230796973</v>
      </c>
      <c r="F48" s="497">
        <f>IFERROR(VLOOKUP(C48,POZICIE_INTERNE!$A$4:$D$39,3,0)*VLOOKUP(B48,MODULY_CBA!$B$3:$J$23,9,0)/SUM(MODULY_CBA!$J$3:$J$23),)</f>
        <v>21.810313739632168</v>
      </c>
      <c r="G48" s="503">
        <f>IFERROR(IF(ISTEXT(B48),VLOOKUP(C48,POZICIE_INTERNE!$A$4:$D$39,4,0),),)</f>
        <v>252.14500000000001</v>
      </c>
      <c r="H48" s="504">
        <f>IF(ISTEXT(B48),VLOOKUP(C48,AKTIVITY_POZICIE!$A$4:$E$39,5,0),)</f>
        <v>503.64656664743222</v>
      </c>
      <c r="I48" s="498">
        <f t="shared" si="0"/>
        <v>5499.3615578795534</v>
      </c>
      <c r="J48" s="498">
        <f t="shared" si="1"/>
        <v>47591.167832672203</v>
      </c>
      <c r="K48" s="498">
        <f t="shared" si="3"/>
        <v>53090.529390551754</v>
      </c>
      <c r="L48" s="558"/>
    </row>
    <row r="49" spans="1:12">
      <c r="A49" s="681" t="s">
        <v>287</v>
      </c>
      <c r="B49" s="557" t="s">
        <v>799</v>
      </c>
      <c r="C49" s="435" t="s">
        <v>544</v>
      </c>
      <c r="D49" s="557" t="s">
        <v>2481</v>
      </c>
      <c r="E49" s="639">
        <f>IFERROR(VLOOKUP(B49,MODULY_CBA!$B$3:$O$23,14,0)*VLOOKUP('Rozpocet - Vyvoj aplikacii'!C49,AKTIVITY_POZICIE!$A$4:$C$39,3,0),0)</f>
        <v>188.97728092318786</v>
      </c>
      <c r="F49" s="497">
        <f>IFERROR(VLOOKUP(C49,POZICIE_INTERNE!$A$4:$D$39,3,0)*VLOOKUP(B49,MODULY_CBA!$B$3:$J$23,9,0)/SUM(MODULY_CBA!$J$3:$J$23),)</f>
        <v>32.188388027407143</v>
      </c>
      <c r="G49" s="503">
        <f>IFERROR(IF(ISTEXT(B49),VLOOKUP(C49,POZICIE_INTERNE!$A$4:$D$39,4,0),),)</f>
        <v>247.08205533596842</v>
      </c>
      <c r="H49" s="504">
        <f>IF(ISTEXT(B49),VLOOKUP(C49,AKTIVITY_POZICIE!$A$4:$E$39,5,0),)</f>
        <v>445.45804279874972</v>
      </c>
      <c r="I49" s="498">
        <f t="shared" si="0"/>
        <v>7953.1730717634355</v>
      </c>
      <c r="J49" s="498">
        <f t="shared" si="1"/>
        <v>101017.73963216731</v>
      </c>
      <c r="K49" s="498">
        <f t="shared" si="3"/>
        <v>108970.91270393075</v>
      </c>
      <c r="L49" s="558"/>
    </row>
    <row r="50" spans="1:12">
      <c r="A50" s="681" t="s">
        <v>287</v>
      </c>
      <c r="B50" s="557" t="s">
        <v>799</v>
      </c>
      <c r="C50" s="435" t="s">
        <v>263</v>
      </c>
      <c r="D50" s="557" t="s">
        <v>2481</v>
      </c>
      <c r="E50" s="639">
        <f>IFERROR(VLOOKUP(B50,MODULY_CBA!$B$3:$O$23,14,0)*VLOOKUP('Rozpocet - Vyvoj aplikacii'!C50,AKTIVITY_POZICIE!$A$4:$C$39,3,0),0)</f>
        <v>47.255679769203027</v>
      </c>
      <c r="F50" s="497">
        <f>IFERROR(VLOOKUP(C50,POZICIE_INTERNE!$A$4:$D$39,3,0)*VLOOKUP(B50,MODULY_CBA!$B$3:$J$23,9,0)/SUM(MODULY_CBA!$J$3:$J$23),)</f>
        <v>13.631446087270104</v>
      </c>
      <c r="G50" s="503">
        <f>IFERROR(IF(ISTEXT(B50),VLOOKUP(C50,POZICIE_INTERNE!$A$4:$D$39,4,0),),)</f>
        <v>246.80799999999999</v>
      </c>
      <c r="H50" s="504">
        <f>IF(ISTEXT(B50),VLOOKUP(C50,AKTIVITY_POZICIE!$A$4:$E$39,5,0),)</f>
        <v>450.80865384615385</v>
      </c>
      <c r="I50" s="498">
        <f t="shared" si="0"/>
        <v>3364.3499459069599</v>
      </c>
      <c r="J50" s="498">
        <f t="shared" si="1"/>
        <v>25563.92326000721</v>
      </c>
      <c r="K50" s="498">
        <f t="shared" si="3"/>
        <v>28928.273205914171</v>
      </c>
      <c r="L50" s="558"/>
    </row>
    <row r="51" spans="1:12">
      <c r="A51" s="680" t="s">
        <v>288</v>
      </c>
      <c r="B51" s="557" t="s">
        <v>800</v>
      </c>
      <c r="C51" s="435" t="s">
        <v>262</v>
      </c>
      <c r="D51" s="557" t="s">
        <v>2481</v>
      </c>
      <c r="E51" s="639">
        <f>IFERROR(VLOOKUP(B51,MODULY_CBA!$B$3:$O$23,14,0)*VLOOKUP('Rozpocet - Vyvoj aplikacii'!C51,AKTIVITY_POZICIE!$A$4:$C$39,3,0),0)</f>
        <v>67.995095564370715</v>
      </c>
      <c r="F51" s="497">
        <f>IFERROR(VLOOKUP(C51,POZICIE_INTERNE!$A$4:$D$39,3,0)*VLOOKUP(B51,MODULY_CBA!$B$3:$J$23,9,0)/SUM(MODULY_CBA!$J$3:$J$23),)</f>
        <v>18.833032816444284</v>
      </c>
      <c r="G51" s="503">
        <f>IFERROR(IF(ISTEXT(B51),VLOOKUP(C51,POZICIE_INTERNE!$A$4:$D$39,4,0),),)</f>
        <v>252.14500000000001</v>
      </c>
      <c r="H51" s="504">
        <f>IF(ISTEXT(B51),VLOOKUP(C51,AKTIVITY_POZICIE!$A$4:$E$39,5,0),)</f>
        <v>503.64656664743222</v>
      </c>
      <c r="I51" s="498">
        <f t="shared" si="0"/>
        <v>4748.6550595023446</v>
      </c>
      <c r="J51" s="498">
        <f t="shared" si="1"/>
        <v>41094.595715831223</v>
      </c>
      <c r="K51" s="498">
        <f t="shared" si="3"/>
        <v>45843.250775333567</v>
      </c>
      <c r="L51" s="558"/>
    </row>
    <row r="52" spans="1:12">
      <c r="A52" s="680" t="s">
        <v>288</v>
      </c>
      <c r="B52" s="557" t="s">
        <v>800</v>
      </c>
      <c r="C52" s="435" t="s">
        <v>544</v>
      </c>
      <c r="D52" s="557" t="s">
        <v>2481</v>
      </c>
      <c r="E52" s="639">
        <f>IFERROR(VLOOKUP(B52,MODULY_CBA!$B$3:$O$23,14,0)*VLOOKUP('Rozpocet - Vyvoj aplikacii'!C52,AKTIVITY_POZICIE!$A$4:$C$39,3,0),0)</f>
        <v>163.18038225748288</v>
      </c>
      <c r="F52" s="497">
        <f>IFERROR(VLOOKUP(C52,POZICIE_INTERNE!$A$4:$D$39,3,0)*VLOOKUP(B52,MODULY_CBA!$B$3:$J$23,9,0)/SUM(MODULY_CBA!$J$3:$J$23),)</f>
        <v>27.794417598269025</v>
      </c>
      <c r="G52" s="503">
        <f>IFERROR(IF(ISTEXT(B52),VLOOKUP(C52,POZICIE_INTERNE!$A$4:$D$39,4,0),),)</f>
        <v>247.08205533596842</v>
      </c>
      <c r="H52" s="504">
        <f>IF(ISTEXT(B52),VLOOKUP(C52,AKTIVITY_POZICIE!$A$4:$E$39,5,0),)</f>
        <v>445.45804279874972</v>
      </c>
      <c r="I52" s="498">
        <f t="shared" si="0"/>
        <v>6867.5018270465216</v>
      </c>
      <c r="J52" s="498">
        <f t="shared" si="1"/>
        <v>87228.016444284178</v>
      </c>
      <c r="K52" s="498">
        <f t="shared" si="3"/>
        <v>94095.5182713307</v>
      </c>
      <c r="L52" s="558"/>
    </row>
    <row r="53" spans="1:12">
      <c r="A53" s="680" t="s">
        <v>288</v>
      </c>
      <c r="B53" s="557" t="s">
        <v>800</v>
      </c>
      <c r="C53" s="435" t="s">
        <v>263</v>
      </c>
      <c r="D53" s="557" t="s">
        <v>2481</v>
      </c>
      <c r="E53" s="639">
        <f>IFERROR(VLOOKUP(B53,MODULY_CBA!$B$3:$O$23,14,0)*VLOOKUP('Rozpocet - Vyvoj aplikacii'!C53,AKTIVITY_POZICIE!$A$4:$C$39,3,0),0)</f>
        <v>40.804904435629282</v>
      </c>
      <c r="F53" s="497">
        <f>IFERROR(VLOOKUP(C53,POZICIE_INTERNE!$A$4:$D$39,3,0)*VLOOKUP(B53,MODULY_CBA!$B$3:$J$23,9,0)/SUM(MODULY_CBA!$J$3:$J$23),)</f>
        <v>11.770645510277678</v>
      </c>
      <c r="G53" s="503">
        <f>IFERROR(IF(ISTEXT(B53),VLOOKUP(C53,POZICIE_INTERNE!$A$4:$D$39,4,0),),)</f>
        <v>246.80799999999999</v>
      </c>
      <c r="H53" s="504">
        <f>IF(ISTEXT(B53),VLOOKUP(C53,AKTIVITY_POZICIE!$A$4:$E$39,5,0),)</f>
        <v>450.80865384615385</v>
      </c>
      <c r="I53" s="498">
        <f t="shared" si="0"/>
        <v>2905.0894771006128</v>
      </c>
      <c r="J53" s="498">
        <f t="shared" si="1"/>
        <v>22074.244846736383</v>
      </c>
      <c r="K53" s="498">
        <f t="shared" si="3"/>
        <v>24979.334323836996</v>
      </c>
      <c r="L53" s="558"/>
    </row>
    <row r="54" spans="1:12">
      <c r="A54" s="681" t="s">
        <v>289</v>
      </c>
      <c r="B54" s="557" t="s">
        <v>801</v>
      </c>
      <c r="C54" s="435" t="s">
        <v>262</v>
      </c>
      <c r="D54" s="557" t="s">
        <v>2482</v>
      </c>
      <c r="E54" s="639">
        <f>IFERROR(VLOOKUP(B54,MODULY_CBA!$B$3:$O$23,14,0)*VLOOKUP('Rozpocet - Vyvoj aplikacii'!C54,AKTIVITY_POZICIE!$A$4:$C$39,3,0),0)</f>
        <v>149.98918139199424</v>
      </c>
      <c r="F54" s="497">
        <f>IFERROR(VLOOKUP(C54,POZICIE_INTERNE!$A$4:$D$39,3,0)*VLOOKUP(B54,MODULY_CBA!$B$3:$J$23,9,0)/SUM(MODULY_CBA!$J$3:$J$23),)</f>
        <v>41.543454742156506</v>
      </c>
      <c r="G54" s="503">
        <f>IFERROR(IF(ISTEXT(B54),VLOOKUP(C54,POZICIE_INTERNE!$A$4:$D$39,4,0),),)</f>
        <v>252.14500000000001</v>
      </c>
      <c r="H54" s="504">
        <f>IF(ISTEXT(B54),VLOOKUP(C54,AKTIVITY_POZICIE!$A$4:$E$39,5,0),)</f>
        <v>503.64656664743222</v>
      </c>
      <c r="I54" s="498">
        <f t="shared" si="0"/>
        <v>10474.974395961053</v>
      </c>
      <c r="J54" s="498">
        <f t="shared" si="1"/>
        <v>90649.843490804182</v>
      </c>
      <c r="K54" s="498">
        <f t="shared" si="3"/>
        <v>101124.81788676523</v>
      </c>
      <c r="L54" s="558"/>
    </row>
    <row r="55" spans="1:12">
      <c r="A55" s="681" t="s">
        <v>289</v>
      </c>
      <c r="B55" s="557" t="s">
        <v>801</v>
      </c>
      <c r="C55" s="435" t="s">
        <v>544</v>
      </c>
      <c r="D55" s="557" t="s">
        <v>2482</v>
      </c>
      <c r="E55" s="639">
        <f>IFERROR(VLOOKUP(B55,MODULY_CBA!$B$3:$O$23,14,0)*VLOOKUP('Rozpocet - Vyvoj aplikacii'!C55,AKTIVITY_POZICIE!$A$4:$C$39,3,0),0)</f>
        <v>359.95672556797689</v>
      </c>
      <c r="F55" s="497">
        <f>IFERROR(VLOOKUP(C55,POZICIE_INTERNE!$A$4:$D$39,3,0)*VLOOKUP(B55,MODULY_CBA!$B$3:$J$23,9,0)/SUM(MODULY_CBA!$J$3:$J$23),)</f>
        <v>61.311215290299323</v>
      </c>
      <c r="G55" s="503">
        <f>IFERROR(IF(ISTEXT(B55),VLOOKUP(C55,POZICIE_INTERNE!$A$4:$D$39,4,0),),)</f>
        <v>247.08205533596842</v>
      </c>
      <c r="H55" s="504">
        <f>IF(ISTEXT(B55),VLOOKUP(C55,AKTIVITY_POZICIE!$A$4:$E$39,5,0),)</f>
        <v>445.45804279874972</v>
      </c>
      <c r="I55" s="498">
        <f t="shared" si="0"/>
        <v>15148.90108907321</v>
      </c>
      <c r="J55" s="498">
        <f t="shared" si="1"/>
        <v>192414.74215650916</v>
      </c>
      <c r="K55" s="498">
        <f t="shared" si="3"/>
        <v>207563.64324558238</v>
      </c>
      <c r="L55" s="558"/>
    </row>
    <row r="56" spans="1:12">
      <c r="A56" s="681" t="s">
        <v>289</v>
      </c>
      <c r="B56" s="557" t="s">
        <v>801</v>
      </c>
      <c r="C56" s="435" t="s">
        <v>263</v>
      </c>
      <c r="D56" s="557" t="s">
        <v>2482</v>
      </c>
      <c r="E56" s="639">
        <f>IFERROR(VLOOKUP(B56,MODULY_CBA!$B$3:$O$23,14,0)*VLOOKUP('Rozpocet - Vyvoj aplikacii'!C56,AKTIVITY_POZICIE!$A$4:$C$39,3,0),0)</f>
        <v>90.010818608005778</v>
      </c>
      <c r="F56" s="497">
        <f>IFERROR(VLOOKUP(C56,POZICIE_INTERNE!$A$4:$D$39,3,0)*VLOOKUP(B56,MODULY_CBA!$B$3:$J$23,9,0)/SUM(MODULY_CBA!$J$3:$J$23),)</f>
        <v>25.964659213847817</v>
      </c>
      <c r="G56" s="503">
        <f>IFERROR(IF(ISTEXT(B56),VLOOKUP(C56,POZICIE_INTERNE!$A$4:$D$39,4,0),),)</f>
        <v>246.80799999999999</v>
      </c>
      <c r="H56" s="504">
        <f>IF(ISTEXT(B56),VLOOKUP(C56,AKTIVITY_POZICIE!$A$4:$E$39,5,0),)</f>
        <v>450.80865384615385</v>
      </c>
      <c r="I56" s="498">
        <f t="shared" si="0"/>
        <v>6408.2856112513518</v>
      </c>
      <c r="J56" s="498">
        <f t="shared" si="1"/>
        <v>48693.187161918504</v>
      </c>
      <c r="K56" s="498">
        <f t="shared" si="3"/>
        <v>55101.472773169859</v>
      </c>
      <c r="L56" s="558"/>
    </row>
    <row r="57" spans="1:12">
      <c r="A57" s="681" t="s">
        <v>290</v>
      </c>
      <c r="B57" s="557" t="s">
        <v>802</v>
      </c>
      <c r="C57" s="435" t="s">
        <v>262</v>
      </c>
      <c r="D57" s="557" t="s">
        <v>2483</v>
      </c>
      <c r="E57" s="639">
        <f>IFERROR(VLOOKUP(B57,MODULY_CBA!$B$3:$O$23,14,0)*VLOOKUP('Rozpocet - Vyvoj aplikacii'!C57,AKTIVITY_POZICIE!$A$4:$C$39,3,0),0)</f>
        <v>225.98369996393797</v>
      </c>
      <c r="F57" s="497">
        <f>IFERROR(VLOOKUP(C57,POZICIE_INTERNE!$A$4:$D$39,3,0)*VLOOKUP(B57,MODULY_CBA!$B$3:$J$23,9,0)/SUM(MODULY_CBA!$J$3:$J$23),)</f>
        <v>62.592138478182477</v>
      </c>
      <c r="G57" s="503">
        <f>IFERROR(IF(ISTEXT(B57),VLOOKUP(C57,POZICIE_INTERNE!$A$4:$D$39,4,0),),)</f>
        <v>252.14500000000001</v>
      </c>
      <c r="H57" s="504">
        <f>IF(ISTEXT(B57),VLOOKUP(C57,AKTIVITY_POZICIE!$A$4:$E$39,5,0),)</f>
        <v>503.64656664743222</v>
      </c>
      <c r="I57" s="498">
        <f t="shared" si="0"/>
        <v>15782.294756581321</v>
      </c>
      <c r="J57" s="498">
        <f t="shared" si="1"/>
        <v>136579.09752614496</v>
      </c>
      <c r="K57" s="498">
        <f t="shared" si="3"/>
        <v>152361.39228272627</v>
      </c>
      <c r="L57" s="558"/>
    </row>
    <row r="58" spans="1:12">
      <c r="A58" s="681" t="s">
        <v>290</v>
      </c>
      <c r="B58" s="557" t="s">
        <v>802</v>
      </c>
      <c r="C58" s="435" t="s">
        <v>544</v>
      </c>
      <c r="D58" s="557" t="s">
        <v>2483</v>
      </c>
      <c r="E58" s="639">
        <f>IFERROR(VLOOKUP(B58,MODULY_CBA!$B$3:$O$23,14,0)*VLOOKUP('Rozpocet - Vyvoj aplikacii'!C58,AKTIVITY_POZICIE!$A$4:$C$39,3,0),0)</f>
        <v>542.33479985575184</v>
      </c>
      <c r="F58" s="497">
        <f>IFERROR(VLOOKUP(C58,POZICIE_INTERNE!$A$4:$D$39,3,0)*VLOOKUP(B58,MODULY_CBA!$B$3:$J$23,9,0)/SUM(MODULY_CBA!$J$3:$J$23),)</f>
        <v>92.375564370717655</v>
      </c>
      <c r="G58" s="503">
        <f>IFERROR(IF(ISTEXT(B58),VLOOKUP(C58,POZICIE_INTERNE!$A$4:$D$39,4,0),),)</f>
        <v>247.08205533596842</v>
      </c>
      <c r="H58" s="504">
        <f>IF(ISTEXT(B58),VLOOKUP(C58,AKTIVITY_POZICIE!$A$4:$E$39,5,0),)</f>
        <v>445.45804279874972</v>
      </c>
      <c r="I58" s="498">
        <f t="shared" si="0"/>
        <v>22824.344307536972</v>
      </c>
      <c r="J58" s="498">
        <f t="shared" si="1"/>
        <v>289904.87818247383</v>
      </c>
      <c r="K58" s="498">
        <f t="shared" si="3"/>
        <v>312729.22249001078</v>
      </c>
      <c r="L58" s="558"/>
    </row>
    <row r="59" spans="1:12">
      <c r="A59" s="681" t="s">
        <v>290</v>
      </c>
      <c r="B59" s="557" t="s">
        <v>802</v>
      </c>
      <c r="C59" s="435" t="s">
        <v>263</v>
      </c>
      <c r="D59" s="557" t="s">
        <v>2483</v>
      </c>
      <c r="E59" s="639">
        <f>IFERROR(VLOOKUP(B59,MODULY_CBA!$B$3:$O$23,14,0)*VLOOKUP('Rozpocet - Vyvoj aplikacii'!C59,AKTIVITY_POZICIE!$A$4:$C$39,3,0),0)</f>
        <v>135.61630003606203</v>
      </c>
      <c r="F59" s="497">
        <f>IFERROR(VLOOKUP(C59,POZICIE_INTERNE!$A$4:$D$39,3,0)*VLOOKUP(B59,MODULY_CBA!$B$3:$J$23,9,0)/SUM(MODULY_CBA!$J$3:$J$23),)</f>
        <v>39.120086548864045</v>
      </c>
      <c r="G59" s="503">
        <f>IFERROR(IF(ISTEXT(B59),VLOOKUP(C59,POZICIE_INTERNE!$A$4:$D$39,4,0),),)</f>
        <v>246.80799999999999</v>
      </c>
      <c r="H59" s="504">
        <f>IF(ISTEXT(B59),VLOOKUP(C59,AKTIVITY_POZICIE!$A$4:$E$39,5,0),)</f>
        <v>450.80865384615385</v>
      </c>
      <c r="I59" s="498">
        <f t="shared" si="0"/>
        <v>9655.1503209520361</v>
      </c>
      <c r="J59" s="498">
        <f t="shared" si="1"/>
        <v>73364.401990623868</v>
      </c>
      <c r="K59" s="498">
        <f t="shared" si="3"/>
        <v>83019.552311575899</v>
      </c>
      <c r="L59" s="558"/>
    </row>
    <row r="60" spans="1:12">
      <c r="A60" s="681" t="s">
        <v>291</v>
      </c>
      <c r="B60" s="557"/>
      <c r="C60" s="435" t="s">
        <v>262</v>
      </c>
      <c r="D60" s="557"/>
      <c r="E60" s="639">
        <f>IFERROR(VLOOKUP(B60,MODULY_CBA!$B$3:$O$23,14,0)*VLOOKUP('Rozpocet - Vyvoj aplikacii'!C60,AKTIVITY_POZICIE!$A$4:$C$39,3,0),0)</f>
        <v>0</v>
      </c>
      <c r="F60" s="497">
        <f>IFERROR(VLOOKUP(C60,POZICIE_INTERNE!$A$4:$D$39,3,0)*VLOOKUP(B60,MODULY_CBA!$B$3:$J$23,9,0)/SUM(MODULY_CBA!$J$3:$J$23),)</f>
        <v>0</v>
      </c>
      <c r="G60" s="503">
        <f>IFERROR(IF(ISTEXT(B60),VLOOKUP(C60,POZICIE_INTERNE!$A$4:$D$39,4,0),),)</f>
        <v>0</v>
      </c>
      <c r="H60" s="504">
        <f>IF(ISTEXT(B60),VLOOKUP(C60,AKTIVITY_POZICIE!$A$4:$E$39,5,0),)</f>
        <v>0</v>
      </c>
      <c r="I60" s="498">
        <f t="shared" si="0"/>
        <v>0</v>
      </c>
      <c r="J60" s="498">
        <f t="shared" si="1"/>
        <v>0</v>
      </c>
      <c r="K60" s="498">
        <f t="shared" si="3"/>
        <v>0</v>
      </c>
      <c r="L60" s="558"/>
    </row>
    <row r="61" spans="1:12">
      <c r="A61" s="681" t="s">
        <v>291</v>
      </c>
      <c r="B61" s="557"/>
      <c r="C61" s="435" t="s">
        <v>544</v>
      </c>
      <c r="D61" s="557"/>
      <c r="E61" s="639">
        <f>IFERROR(VLOOKUP(B61,MODULY_CBA!$B$3:$O$23,14,0)*VLOOKUP('Rozpocet - Vyvoj aplikacii'!C61,AKTIVITY_POZICIE!$A$4:$C$39,3,0),0)</f>
        <v>0</v>
      </c>
      <c r="F61" s="497">
        <f>IFERROR(VLOOKUP(C61,POZICIE_INTERNE!$A$4:$D$39,3,0)*VLOOKUP(B61,MODULY_CBA!$B$3:$J$23,9,0)/SUM(MODULY_CBA!$J$3:$J$23),)</f>
        <v>0</v>
      </c>
      <c r="G61" s="503">
        <f>IFERROR(IF(ISTEXT(B61),VLOOKUP(C61,POZICIE_INTERNE!$A$4:$D$39,4,0),),)</f>
        <v>0</v>
      </c>
      <c r="H61" s="504">
        <f>IF(ISTEXT(B61),VLOOKUP(C61,AKTIVITY_POZICIE!$A$4:$E$39,5,0),)</f>
        <v>0</v>
      </c>
      <c r="I61" s="498">
        <f t="shared" si="0"/>
        <v>0</v>
      </c>
      <c r="J61" s="498">
        <f t="shared" si="1"/>
        <v>0</v>
      </c>
      <c r="K61" s="498">
        <f t="shared" si="3"/>
        <v>0</v>
      </c>
      <c r="L61" s="558"/>
    </row>
    <row r="62" spans="1:12">
      <c r="A62" s="681" t="s">
        <v>291</v>
      </c>
      <c r="B62" s="557"/>
      <c r="C62" s="435" t="s">
        <v>263</v>
      </c>
      <c r="D62" s="557"/>
      <c r="E62" s="639">
        <f>IFERROR(VLOOKUP(B62,MODULY_CBA!$B$3:$O$23,14,0)*VLOOKUP('Rozpocet - Vyvoj aplikacii'!C62,AKTIVITY_POZICIE!$A$4:$C$39,3,0),0)</f>
        <v>0</v>
      </c>
      <c r="F62" s="497">
        <f>IFERROR(VLOOKUP(C62,POZICIE_INTERNE!$A$4:$D$39,3,0)*VLOOKUP(B62,MODULY_CBA!$B$3:$J$23,9,0)/SUM(MODULY_CBA!$J$3:$J$23),)</f>
        <v>0</v>
      </c>
      <c r="G62" s="503">
        <f>IFERROR(IF(ISTEXT(B62),VLOOKUP(C62,POZICIE_INTERNE!$A$4:$D$39,4,0),),)</f>
        <v>0</v>
      </c>
      <c r="H62" s="504">
        <f>IF(ISTEXT(B62),VLOOKUP(C62,AKTIVITY_POZICIE!$A$4:$E$39,5,0),)</f>
        <v>0</v>
      </c>
      <c r="I62" s="498">
        <f t="shared" si="0"/>
        <v>0</v>
      </c>
      <c r="J62" s="498">
        <f t="shared" si="1"/>
        <v>0</v>
      </c>
      <c r="K62" s="498">
        <f t="shared" si="3"/>
        <v>0</v>
      </c>
      <c r="L62" s="558"/>
    </row>
    <row r="63" spans="1:12">
      <c r="A63" s="680" t="s">
        <v>292</v>
      </c>
      <c r="B63" s="557"/>
      <c r="C63" s="435" t="s">
        <v>262</v>
      </c>
      <c r="D63" s="557"/>
      <c r="E63" s="639">
        <f>IFERROR(VLOOKUP(B63,MODULY_CBA!$B$3:$O$23,14,0)*VLOOKUP('Rozpocet - Vyvoj aplikacii'!C63,AKTIVITY_POZICIE!$A$4:$C$39,3,0),0)</f>
        <v>0</v>
      </c>
      <c r="F63" s="497">
        <f>IFERROR(VLOOKUP(C63,POZICIE_INTERNE!$A$4:$D$39,3,0)*VLOOKUP(B63,MODULY_CBA!$B$3:$J$23,9,0)/SUM(MODULY_CBA!$J$3:$J$23),)</f>
        <v>0</v>
      </c>
      <c r="G63" s="503">
        <f>IFERROR(IF(ISTEXT(B63),VLOOKUP(C63,POZICIE_INTERNE!$A$4:$D$39,4,0),),)</f>
        <v>0</v>
      </c>
      <c r="H63" s="504">
        <f>IF(ISTEXT(B63),VLOOKUP(C63,AKTIVITY_POZICIE!$A$4:$E$39,5,0),)</f>
        <v>0</v>
      </c>
      <c r="I63" s="498">
        <f t="shared" si="0"/>
        <v>0</v>
      </c>
      <c r="J63" s="498">
        <f t="shared" si="1"/>
        <v>0</v>
      </c>
      <c r="K63" s="498">
        <f t="shared" si="3"/>
        <v>0</v>
      </c>
      <c r="L63" s="558"/>
    </row>
    <row r="64" spans="1:12">
      <c r="A64" s="680" t="s">
        <v>292</v>
      </c>
      <c r="B64" s="557"/>
      <c r="C64" s="435" t="s">
        <v>544</v>
      </c>
      <c r="D64" s="557"/>
      <c r="E64" s="639">
        <f>IFERROR(VLOOKUP(B64,MODULY_CBA!$B$3:$O$23,14,0)*VLOOKUP('Rozpocet - Vyvoj aplikacii'!C64,AKTIVITY_POZICIE!$A$4:$C$39,3,0),0)</f>
        <v>0</v>
      </c>
      <c r="F64" s="497">
        <f>IFERROR(VLOOKUP(C64,POZICIE_INTERNE!$A$4:$D$39,3,0)*VLOOKUP(B64,MODULY_CBA!$B$3:$J$23,9,0)/SUM(MODULY_CBA!$J$3:$J$23),)</f>
        <v>0</v>
      </c>
      <c r="G64" s="503">
        <f>IFERROR(IF(ISTEXT(B64),VLOOKUP(C64,POZICIE_INTERNE!$A$4:$D$39,4,0),),)</f>
        <v>0</v>
      </c>
      <c r="H64" s="504">
        <f>IF(ISTEXT(B64),VLOOKUP(C64,AKTIVITY_POZICIE!$A$4:$E$39,5,0),)</f>
        <v>0</v>
      </c>
      <c r="I64" s="498">
        <f t="shared" si="0"/>
        <v>0</v>
      </c>
      <c r="J64" s="498">
        <f t="shared" si="1"/>
        <v>0</v>
      </c>
      <c r="K64" s="498">
        <f t="shared" si="3"/>
        <v>0</v>
      </c>
      <c r="L64" s="558"/>
    </row>
    <row r="65" spans="1:12">
      <c r="A65" s="680" t="s">
        <v>292</v>
      </c>
      <c r="B65" s="557"/>
      <c r="C65" s="435" t="s">
        <v>263</v>
      </c>
      <c r="D65" s="557"/>
      <c r="E65" s="639">
        <f>IFERROR(VLOOKUP(B65,MODULY_CBA!$B$3:$O$23,14,0)*VLOOKUP('Rozpocet - Vyvoj aplikacii'!C65,AKTIVITY_POZICIE!$A$4:$C$39,3,0),0)</f>
        <v>0</v>
      </c>
      <c r="F65" s="497">
        <f>IFERROR(VLOOKUP(C65,POZICIE_INTERNE!$A$4:$D$39,3,0)*VLOOKUP(B65,MODULY_CBA!$B$3:$J$23,9,0)/SUM(MODULY_CBA!$J$3:$J$23),)</f>
        <v>0</v>
      </c>
      <c r="G65" s="503">
        <f>IFERROR(IF(ISTEXT(B65),VLOOKUP(C65,POZICIE_INTERNE!$A$4:$D$39,4,0),),)</f>
        <v>0</v>
      </c>
      <c r="H65" s="504">
        <f>IF(ISTEXT(B65),VLOOKUP(C65,AKTIVITY_POZICIE!$A$4:$E$39,5,0),)</f>
        <v>0</v>
      </c>
      <c r="I65" s="498">
        <f t="shared" si="0"/>
        <v>0</v>
      </c>
      <c r="J65" s="498">
        <f t="shared" si="1"/>
        <v>0</v>
      </c>
      <c r="K65" s="498">
        <f t="shared" si="3"/>
        <v>0</v>
      </c>
      <c r="L65" s="558"/>
    </row>
  </sheetData>
  <autoFilter ref="A2:L65"/>
  <mergeCells count="1">
    <mergeCell ref="A1:D1"/>
  </mergeCells>
  <phoneticPr fontId="58" type="noConversion"/>
  <dataValidations disablePrompts="1" count="1">
    <dataValidation type="list" allowBlank="1" showInputMessage="1" showErrorMessage="1" sqref="B3:B65">
      <formula1>MODULY</formula1>
    </dataValidation>
  </dataValidations>
  <pageMargins left="0.7" right="0.7" top="0.75" bottom="0.75" header="0.3" footer="0.3"/>
  <pageSetup paperSize="9" scale="19" orientation="portrait"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18">
    <tabColor rgb="FF00B050"/>
  </sheetPr>
  <dimension ref="A1:X64"/>
  <sheetViews>
    <sheetView zoomScale="110" zoomScaleNormal="80" workbookViewId="0">
      <pane ySplit="3" topLeftCell="A7" activePane="bottomLeft" state="frozen"/>
      <selection activeCell="J3" sqref="J3:J11"/>
      <selection pane="bottomLeft" activeCell="D4" sqref="D4"/>
    </sheetView>
  </sheetViews>
  <sheetFormatPr defaultColWidth="8.85546875" defaultRowHeight="15"/>
  <cols>
    <col min="1" max="1" width="31.42578125" style="364" customWidth="1"/>
    <col min="2" max="2" width="10.5703125" style="364" customWidth="1"/>
    <col min="3" max="3" width="10.5703125" style="364" hidden="1" customWidth="1"/>
    <col min="4" max="4" width="10.5703125" style="364" customWidth="1"/>
    <col min="5" max="5" width="15.42578125" style="364" customWidth="1"/>
    <col min="6" max="6" width="28.42578125" style="364" customWidth="1"/>
    <col min="7" max="7" width="28.42578125" style="364" hidden="1" customWidth="1"/>
    <col min="8" max="8" width="28.42578125" style="364" customWidth="1"/>
    <col min="9" max="9" width="13.140625" style="364" bestFit="1" customWidth="1"/>
    <col min="10" max="10" width="11.42578125" style="364" customWidth="1"/>
    <col min="11" max="11" width="10.5703125" style="364" bestFit="1" customWidth="1"/>
    <col min="12" max="12" width="10" style="364" customWidth="1"/>
    <col min="13" max="13" width="13.42578125" style="364" customWidth="1"/>
    <col min="14" max="14" width="10.42578125" style="364" bestFit="1" customWidth="1"/>
    <col min="15" max="16" width="8.85546875" style="364"/>
    <col min="17" max="17" width="43.140625" style="364" customWidth="1"/>
    <col min="18" max="18" width="16.140625" style="364" customWidth="1"/>
    <col min="19" max="19" width="13.5703125" style="364" customWidth="1"/>
    <col min="20" max="20" width="12.42578125" style="364" bestFit="1" customWidth="1"/>
    <col min="21" max="23" width="12.42578125" style="364" customWidth="1"/>
    <col min="24" max="24" width="20.140625" style="364" customWidth="1"/>
    <col min="25" max="16384" width="8.85546875" style="364"/>
  </cols>
  <sheetData>
    <row r="1" spans="1:24">
      <c r="F1" s="859" t="s">
        <v>678</v>
      </c>
      <c r="G1" s="859"/>
      <c r="H1" s="859"/>
      <c r="I1" s="859"/>
      <c r="J1" s="859"/>
      <c r="K1" s="440">
        <f>SUM(K4:K33)</f>
        <v>12408</v>
      </c>
      <c r="M1" s="442">
        <f>SUM(M4:M39)</f>
        <v>6388641</v>
      </c>
    </row>
    <row r="2" spans="1:24">
      <c r="D2" s="441">
        <f>SUM(D3:D39)</f>
        <v>13865</v>
      </c>
      <c r="F2" s="860" t="s">
        <v>679</v>
      </c>
      <c r="G2" s="860"/>
      <c r="H2" s="860"/>
      <c r="I2" s="860"/>
      <c r="J2" s="860"/>
      <c r="K2" s="440">
        <f>SUM(K41:K64)</f>
        <v>0</v>
      </c>
      <c r="M2" s="442">
        <f>SUM(M41:M64)</f>
        <v>0</v>
      </c>
    </row>
    <row r="3" spans="1:24" s="479" customFormat="1" ht="60">
      <c r="A3" s="477" t="s">
        <v>261</v>
      </c>
      <c r="B3" s="478" t="s">
        <v>265</v>
      </c>
      <c r="C3" s="478" t="s">
        <v>740</v>
      </c>
      <c r="D3" s="478" t="s">
        <v>418</v>
      </c>
      <c r="E3" s="478" t="s">
        <v>417</v>
      </c>
      <c r="F3" s="478" t="s">
        <v>399</v>
      </c>
      <c r="G3" s="478" t="s">
        <v>713</v>
      </c>
      <c r="H3" s="478" t="s">
        <v>704</v>
      </c>
      <c r="I3" s="478" t="s">
        <v>705</v>
      </c>
      <c r="J3" s="478" t="s">
        <v>415</v>
      </c>
      <c r="K3" s="478" t="s">
        <v>266</v>
      </c>
      <c r="L3" s="478" t="s">
        <v>734</v>
      </c>
      <c r="M3" s="478" t="s">
        <v>735</v>
      </c>
      <c r="Q3" s="476" t="s">
        <v>767</v>
      </c>
      <c r="R3" s="476" t="s">
        <v>685</v>
      </c>
      <c r="S3" s="476" t="s">
        <v>731</v>
      </c>
      <c r="T3" s="476" t="s">
        <v>686</v>
      </c>
      <c r="U3" s="476" t="s">
        <v>413</v>
      </c>
      <c r="V3" s="476" t="s">
        <v>419</v>
      </c>
      <c r="W3" s="476" t="s">
        <v>768</v>
      </c>
      <c r="X3" s="476" t="s">
        <v>412</v>
      </c>
    </row>
    <row r="4" spans="1:24">
      <c r="A4" s="369" t="s">
        <v>262</v>
      </c>
      <c r="B4" s="552">
        <v>0.25</v>
      </c>
      <c r="C4" s="551">
        <f>SUM(K4:K15)/$K$1</f>
        <v>0.27933591231463573</v>
      </c>
      <c r="D4" s="482">
        <f>B4*SUM(MODULY_CBA!$J$3:$J$23)</f>
        <v>3466.25</v>
      </c>
      <c r="E4" s="483">
        <f>IFERROR(SUM(M4:M15)/SUM(K4:K15),0)</f>
        <v>503.64656664743222</v>
      </c>
      <c r="F4" s="550" t="s">
        <v>400</v>
      </c>
      <c r="G4" s="550" t="str">
        <f>IFERROR(VLOOKUP(F4,[2]ISCO_Prevodnik!$A$10:$B$21,2,0),"")</f>
        <v>IT_architekt</v>
      </c>
      <c r="H4" s="550"/>
      <c r="I4" s="550" t="str">
        <f>IFERROR(VLOOKUP(H4,[2]ISCO_Prevodnik!$E$10:$F$31,2,0),"")</f>
        <v/>
      </c>
      <c r="J4" s="551">
        <v>0.15</v>
      </c>
      <c r="K4" s="670">
        <f>ROUND(J4*$D$4,0)</f>
        <v>520</v>
      </c>
      <c r="L4" s="489">
        <f>IFERROR(VLOOKUP(F4,$Q$4:$R$27,2,0),0)</f>
        <v>525</v>
      </c>
      <c r="M4" s="671">
        <f>K4*L4</f>
        <v>273000</v>
      </c>
      <c r="N4" s="506"/>
      <c r="Q4" s="431" t="s">
        <v>400</v>
      </c>
      <c r="R4" s="553">
        <v>525</v>
      </c>
      <c r="S4" s="501">
        <v>525</v>
      </c>
      <c r="T4" s="432">
        <v>0.1</v>
      </c>
      <c r="U4" s="434">
        <f>SUMIF($F$4:$F$64,Q4,$K$4:$K$64)</f>
        <v>978</v>
      </c>
      <c r="V4" s="432">
        <f t="shared" ref="V4:V15" si="0">IF(U4=0,0%,U4/SUM($U$4:$U$15))</f>
        <v>7.0542412002308139E-2</v>
      </c>
      <c r="W4" s="432" t="str">
        <f t="shared" ref="W4:W15" si="1">IFERROR(IF(U4/SUM($U$4:$U$15)&gt;T4,"NAD","OK"),"")</f>
        <v>OK</v>
      </c>
      <c r="X4" s="433"/>
    </row>
    <row r="5" spans="1:24">
      <c r="A5" s="366"/>
      <c r="B5" s="366"/>
      <c r="C5" s="366"/>
      <c r="D5" s="366"/>
      <c r="E5" s="366"/>
      <c r="F5" s="550" t="s">
        <v>403</v>
      </c>
      <c r="G5" s="550" t="str">
        <f>IFERROR(VLOOKUP(F5,[2]ISCO_Prevodnik!$A$10:$B$21,2,0),"")</f>
        <v>Projektovy_manazer</v>
      </c>
      <c r="H5" s="550"/>
      <c r="I5" s="550" t="str">
        <f>IFERROR(VLOOKUP(H5,[2]ISCO_Prevodnik!$E$10:$F$31,2,0),"")</f>
        <v/>
      </c>
      <c r="J5" s="551">
        <v>0.05</v>
      </c>
      <c r="K5" s="670">
        <f t="shared" ref="K5:K15" si="2">ROUND(J5*$D$4,0)</f>
        <v>173</v>
      </c>
      <c r="L5" s="489">
        <f t="shared" ref="L5:L39" si="3">IFERROR(VLOOKUP(F5,$Q$4:$R$27,2,0),0)</f>
        <v>539</v>
      </c>
      <c r="M5" s="671">
        <f>K5*L5</f>
        <v>93247</v>
      </c>
      <c r="Q5" s="431" t="s">
        <v>401</v>
      </c>
      <c r="R5" s="553">
        <v>377</v>
      </c>
      <c r="S5" s="501">
        <v>377</v>
      </c>
      <c r="T5" s="432">
        <v>0.15</v>
      </c>
      <c r="U5" s="434">
        <f t="shared" ref="U5:U27" si="4">SUMIF($F$4:$F$64,Q5,$K$4:$K$64)</f>
        <v>1996</v>
      </c>
      <c r="V5" s="432">
        <f t="shared" si="0"/>
        <v>0.14396999422965956</v>
      </c>
      <c r="W5" s="432" t="str">
        <f t="shared" si="1"/>
        <v>OK</v>
      </c>
      <c r="X5" s="433"/>
    </row>
    <row r="6" spans="1:24">
      <c r="A6" s="366"/>
      <c r="B6" s="366"/>
      <c r="C6" s="366"/>
      <c r="D6" s="366"/>
      <c r="E6" s="366"/>
      <c r="F6" s="550" t="s">
        <v>404</v>
      </c>
      <c r="G6" s="550" t="str">
        <f>IFERROR(VLOOKUP(F6,[2]ISCO_Prevodnik!$A$10:$B$21,2,0),"")</f>
        <v>IT_analytik</v>
      </c>
      <c r="H6" s="550"/>
      <c r="I6" s="550" t="str">
        <f>IFERROR(VLOOKUP(H6,[2]ISCO_Prevodnik!$E$10:$F$31,2,0),"")</f>
        <v/>
      </c>
      <c r="J6" s="551">
        <v>0.3</v>
      </c>
      <c r="K6" s="670">
        <f t="shared" si="2"/>
        <v>1040</v>
      </c>
      <c r="L6" s="489">
        <f t="shared" si="3"/>
        <v>529</v>
      </c>
      <c r="M6" s="671">
        <f t="shared" ref="M6:M33" si="5">K6*L6</f>
        <v>550160</v>
      </c>
      <c r="Q6" s="431" t="s">
        <v>402</v>
      </c>
      <c r="R6" s="553">
        <v>420</v>
      </c>
      <c r="S6" s="505">
        <v>420</v>
      </c>
      <c r="T6" s="432">
        <v>0.6</v>
      </c>
      <c r="U6" s="434">
        <f t="shared" si="4"/>
        <v>3536</v>
      </c>
      <c r="V6" s="432">
        <f t="shared" si="0"/>
        <v>0.25504904789382571</v>
      </c>
      <c r="W6" s="432" t="str">
        <f t="shared" si="1"/>
        <v>OK</v>
      </c>
      <c r="X6" s="433"/>
    </row>
    <row r="7" spans="1:24">
      <c r="A7" s="366"/>
      <c r="B7" s="366"/>
      <c r="C7" s="366"/>
      <c r="D7" s="366"/>
      <c r="E7" s="366"/>
      <c r="F7" s="550" t="s">
        <v>405</v>
      </c>
      <c r="G7" s="550" t="str">
        <f>IFERROR(VLOOKUP(F7,[2]ISCO_Prevodnik!$A$10:$B$21,2,0),"")</f>
        <v>Kvalita</v>
      </c>
      <c r="H7" s="550"/>
      <c r="I7" s="550" t="str">
        <f>IFERROR(VLOOKUP(H7,[2]ISCO_Prevodnik!$E$10:$F$31,2,0),"")</f>
        <v/>
      </c>
      <c r="J7" s="551">
        <v>0.05</v>
      </c>
      <c r="K7" s="670">
        <f t="shared" si="2"/>
        <v>173</v>
      </c>
      <c r="L7" s="489">
        <f t="shared" si="3"/>
        <v>520</v>
      </c>
      <c r="M7" s="671">
        <f t="shared" si="5"/>
        <v>89960</v>
      </c>
      <c r="Q7" s="431" t="s">
        <v>403</v>
      </c>
      <c r="R7" s="553">
        <v>539</v>
      </c>
      <c r="S7" s="505">
        <v>539</v>
      </c>
      <c r="T7" s="432">
        <v>0.04</v>
      </c>
      <c r="U7" s="434">
        <f t="shared" si="4"/>
        <v>401</v>
      </c>
      <c r="V7" s="432">
        <f t="shared" si="0"/>
        <v>2.8923831506058859E-2</v>
      </c>
      <c r="W7" s="432" t="str">
        <f t="shared" si="1"/>
        <v>OK</v>
      </c>
      <c r="X7" s="433"/>
    </row>
    <row r="8" spans="1:24">
      <c r="A8" s="366"/>
      <c r="B8" s="366"/>
      <c r="C8" s="366"/>
      <c r="D8" s="366"/>
      <c r="E8" s="366"/>
      <c r="F8" s="550" t="s">
        <v>406</v>
      </c>
      <c r="G8" s="550" t="str">
        <f>IFERROR(VLOOKUP(F8,[2]ISCO_Prevodnik!$A$10:$B$21,2,0),"")</f>
        <v>Bezpecnost</v>
      </c>
      <c r="H8" s="550"/>
      <c r="I8" s="550" t="str">
        <f>IFERROR(VLOOKUP(H8,[2]ISCO_Prevodnik!$E$10:$F$31,2,0),"")</f>
        <v/>
      </c>
      <c r="J8" s="551">
        <v>0.05</v>
      </c>
      <c r="K8" s="670">
        <f t="shared" si="2"/>
        <v>173</v>
      </c>
      <c r="L8" s="489">
        <f t="shared" si="3"/>
        <v>472</v>
      </c>
      <c r="M8" s="671">
        <f t="shared" si="5"/>
        <v>81656</v>
      </c>
      <c r="Q8" s="431" t="s">
        <v>404</v>
      </c>
      <c r="R8" s="553">
        <v>529</v>
      </c>
      <c r="S8" s="505">
        <v>529</v>
      </c>
      <c r="T8" s="432">
        <v>0.5</v>
      </c>
      <c r="U8" s="434">
        <f t="shared" si="4"/>
        <v>2641</v>
      </c>
      <c r="V8" s="432">
        <f t="shared" si="0"/>
        <v>0.19049336410848239</v>
      </c>
      <c r="W8" s="432" t="str">
        <f t="shared" si="1"/>
        <v>OK</v>
      </c>
      <c r="X8" s="433"/>
    </row>
    <row r="9" spans="1:24">
      <c r="A9" s="366"/>
      <c r="B9" s="366"/>
      <c r="C9" s="366"/>
      <c r="D9" s="366"/>
      <c r="E9" s="366"/>
      <c r="F9" s="550" t="s">
        <v>408</v>
      </c>
      <c r="G9" s="550" t="str">
        <f>IFERROR(VLOOKUP(F9,[2]ISCO_Prevodnik!$A$10:$B$21,2,0),"")</f>
        <v>Databazy</v>
      </c>
      <c r="H9" s="550"/>
      <c r="I9" s="550" t="str">
        <f>IFERROR(VLOOKUP(H9,[2]ISCO_Prevodnik!$E$10:$F$31,2,0),"")</f>
        <v/>
      </c>
      <c r="J9" s="551">
        <v>0.15</v>
      </c>
      <c r="K9" s="670">
        <f t="shared" si="2"/>
        <v>520</v>
      </c>
      <c r="L9" s="489">
        <f t="shared" si="3"/>
        <v>451</v>
      </c>
      <c r="M9" s="671">
        <f t="shared" si="5"/>
        <v>234520</v>
      </c>
      <c r="Q9" s="431" t="s">
        <v>405</v>
      </c>
      <c r="R9" s="553">
        <v>520</v>
      </c>
      <c r="S9" s="505">
        <v>520</v>
      </c>
      <c r="T9" s="432">
        <v>0.05</v>
      </c>
      <c r="U9" s="434">
        <f t="shared" si="4"/>
        <v>547</v>
      </c>
      <c r="V9" s="432">
        <f t="shared" si="0"/>
        <v>3.9454702827466819E-2</v>
      </c>
      <c r="W9" s="432" t="str">
        <f t="shared" si="1"/>
        <v>OK</v>
      </c>
      <c r="X9" s="433"/>
    </row>
    <row r="10" spans="1:24">
      <c r="A10" s="366"/>
      <c r="B10" s="366"/>
      <c r="C10" s="366"/>
      <c r="D10" s="366"/>
      <c r="E10" s="366"/>
      <c r="F10" s="550" t="s">
        <v>410</v>
      </c>
      <c r="G10" s="550" t="str">
        <f>IFERROR(VLOOKUP(F10,[2]ISCO_Prevodnik!$A$10:$B$21,2,0),"")</f>
        <v>IT_konzultant</v>
      </c>
      <c r="H10" s="550"/>
      <c r="I10" s="550" t="str">
        <f>IFERROR(VLOOKUP(H10,[2]ISCO_Prevodnik!$E$10:$F$31,2,0),"")</f>
        <v/>
      </c>
      <c r="J10" s="551">
        <v>0.25</v>
      </c>
      <c r="K10" s="670">
        <f t="shared" si="2"/>
        <v>867</v>
      </c>
      <c r="L10" s="489">
        <f t="shared" si="3"/>
        <v>488</v>
      </c>
      <c r="M10" s="671">
        <f t="shared" ref="M10:M15" si="6">K10*L10</f>
        <v>423096</v>
      </c>
      <c r="Q10" s="431" t="s">
        <v>406</v>
      </c>
      <c r="R10" s="553">
        <v>472</v>
      </c>
      <c r="S10" s="505">
        <v>472</v>
      </c>
      <c r="T10" s="432">
        <v>0.1</v>
      </c>
      <c r="U10" s="434">
        <f t="shared" si="4"/>
        <v>443</v>
      </c>
      <c r="V10" s="432">
        <f t="shared" si="0"/>
        <v>3.1953260242354301E-2</v>
      </c>
      <c r="W10" s="432" t="str">
        <f t="shared" si="1"/>
        <v>OK</v>
      </c>
      <c r="X10" s="433"/>
    </row>
    <row r="11" spans="1:24">
      <c r="A11" s="366"/>
      <c r="B11" s="366"/>
      <c r="C11" s="366"/>
      <c r="D11" s="366"/>
      <c r="E11" s="366"/>
      <c r="F11" s="550"/>
      <c r="G11" s="550" t="str">
        <f>IFERROR(VLOOKUP(F11,ISCO_Prevodnik!$A$10:$B$21,2,0),"")</f>
        <v/>
      </c>
      <c r="H11" s="550"/>
      <c r="I11" s="550" t="str">
        <f>IFERROR(VLOOKUP(H11,ISCO_Prevodnik!$E$10:$F$31,2,0),"")</f>
        <v/>
      </c>
      <c r="J11" s="551"/>
      <c r="K11" s="482">
        <f t="shared" si="2"/>
        <v>0</v>
      </c>
      <c r="L11" s="489">
        <f t="shared" si="3"/>
        <v>0</v>
      </c>
      <c r="M11" s="484">
        <f t="shared" si="6"/>
        <v>0</v>
      </c>
      <c r="Q11" s="431" t="s">
        <v>407</v>
      </c>
      <c r="R11" s="553">
        <v>425</v>
      </c>
      <c r="S11" s="505">
        <v>425</v>
      </c>
      <c r="T11" s="432">
        <v>0.3</v>
      </c>
      <c r="U11" s="434">
        <f t="shared" si="4"/>
        <v>0</v>
      </c>
      <c r="V11" s="432">
        <f t="shared" si="0"/>
        <v>0</v>
      </c>
      <c r="W11" s="432" t="str">
        <f t="shared" si="1"/>
        <v>OK</v>
      </c>
      <c r="X11" s="433"/>
    </row>
    <row r="12" spans="1:24">
      <c r="A12" s="366"/>
      <c r="B12" s="366"/>
      <c r="C12" s="366"/>
      <c r="D12" s="366"/>
      <c r="E12" s="366"/>
      <c r="F12" s="550"/>
      <c r="G12" s="550" t="str">
        <f>IFERROR(VLOOKUP(F12,ISCO_Prevodnik!$A$10:$B$21,2,0),"")</f>
        <v/>
      </c>
      <c r="H12" s="550"/>
      <c r="I12" s="550" t="str">
        <f>IFERROR(VLOOKUP(H12,ISCO_Prevodnik!$E$10:$F$31,2,0),"")</f>
        <v/>
      </c>
      <c r="J12" s="551"/>
      <c r="K12" s="482">
        <f t="shared" si="2"/>
        <v>0</v>
      </c>
      <c r="L12" s="489">
        <f t="shared" si="3"/>
        <v>0</v>
      </c>
      <c r="M12" s="484">
        <f t="shared" si="6"/>
        <v>0</v>
      </c>
      <c r="Q12" s="431" t="s">
        <v>408</v>
      </c>
      <c r="R12" s="553">
        <v>451</v>
      </c>
      <c r="S12" s="505">
        <v>451</v>
      </c>
      <c r="T12" s="432">
        <v>0.15</v>
      </c>
      <c r="U12" s="434">
        <f t="shared" si="4"/>
        <v>957</v>
      </c>
      <c r="V12" s="432">
        <f t="shared" si="0"/>
        <v>6.9027697634160418E-2</v>
      </c>
      <c r="W12" s="432" t="str">
        <f t="shared" si="1"/>
        <v>OK</v>
      </c>
      <c r="X12" s="433"/>
    </row>
    <row r="13" spans="1:24">
      <c r="A13" s="366"/>
      <c r="B13" s="366"/>
      <c r="C13" s="366"/>
      <c r="D13" s="366"/>
      <c r="E13" s="366"/>
      <c r="F13" s="550"/>
      <c r="G13" s="550" t="str">
        <f>IFERROR(VLOOKUP(F13,ISCO_Prevodnik!$A$10:$B$21,2,0),"")</f>
        <v/>
      </c>
      <c r="H13" s="550"/>
      <c r="I13" s="550" t="str">
        <f>IFERROR(VLOOKUP(H13,ISCO_Prevodnik!$E$10:$F$31,2,0),"")</f>
        <v/>
      </c>
      <c r="J13" s="551"/>
      <c r="K13" s="482">
        <f t="shared" si="2"/>
        <v>0</v>
      </c>
      <c r="L13" s="489">
        <f t="shared" si="3"/>
        <v>0</v>
      </c>
      <c r="M13" s="484">
        <f t="shared" si="6"/>
        <v>0</v>
      </c>
      <c r="Q13" s="431" t="s">
        <v>409</v>
      </c>
      <c r="R13" s="553">
        <v>400</v>
      </c>
      <c r="S13" s="505">
        <v>400</v>
      </c>
      <c r="T13" s="432">
        <v>0.05</v>
      </c>
      <c r="U13" s="434">
        <f t="shared" si="4"/>
        <v>624</v>
      </c>
      <c r="V13" s="432">
        <f t="shared" si="0"/>
        <v>4.5008655510675129E-2</v>
      </c>
      <c r="W13" s="432" t="str">
        <f t="shared" si="1"/>
        <v>OK</v>
      </c>
      <c r="X13" s="433"/>
    </row>
    <row r="14" spans="1:24">
      <c r="A14" s="366"/>
      <c r="B14" s="366"/>
      <c r="C14" s="366"/>
      <c r="D14" s="366"/>
      <c r="E14" s="366"/>
      <c r="F14" s="550"/>
      <c r="G14" s="550" t="str">
        <f>IFERROR(VLOOKUP(F14,ISCO_Prevodnik!$A$10:$B$21,2,0),"")</f>
        <v/>
      </c>
      <c r="H14" s="550"/>
      <c r="I14" s="550" t="str">
        <f>IFERROR(VLOOKUP(H14,ISCO_Prevodnik!$E$10:$F$31,2,0),"")</f>
        <v/>
      </c>
      <c r="J14" s="551"/>
      <c r="K14" s="482">
        <f t="shared" si="2"/>
        <v>0</v>
      </c>
      <c r="L14" s="489">
        <f t="shared" si="3"/>
        <v>0</v>
      </c>
      <c r="M14" s="484">
        <f t="shared" si="6"/>
        <v>0</v>
      </c>
      <c r="Q14" s="431" t="s">
        <v>410</v>
      </c>
      <c r="R14" s="553">
        <v>488</v>
      </c>
      <c r="S14" s="505">
        <v>488</v>
      </c>
      <c r="T14" s="432">
        <v>0.5</v>
      </c>
      <c r="U14" s="434">
        <f t="shared" si="4"/>
        <v>1741</v>
      </c>
      <c r="V14" s="432">
        <f t="shared" si="0"/>
        <v>0.12557703404500867</v>
      </c>
      <c r="W14" s="432" t="str">
        <f t="shared" si="1"/>
        <v>OK</v>
      </c>
      <c r="X14" s="433"/>
    </row>
    <row r="15" spans="1:24">
      <c r="A15" s="366"/>
      <c r="B15" s="366"/>
      <c r="C15" s="366"/>
      <c r="D15" s="366"/>
      <c r="E15" s="366"/>
      <c r="F15" s="550"/>
      <c r="G15" s="550" t="str">
        <f>IFERROR(VLOOKUP(F15,ISCO_Prevodnik!$A$10:$B$21,2,0),"")</f>
        <v/>
      </c>
      <c r="H15" s="550"/>
      <c r="I15" s="550" t="str">
        <f>IFERROR(VLOOKUP(H15,ISCO_Prevodnik!$E$10:$F$31,2,0),"")</f>
        <v/>
      </c>
      <c r="J15" s="551"/>
      <c r="K15" s="482">
        <f t="shared" si="2"/>
        <v>0</v>
      </c>
      <c r="L15" s="489">
        <f t="shared" si="3"/>
        <v>0</v>
      </c>
      <c r="M15" s="484">
        <f t="shared" si="6"/>
        <v>0</v>
      </c>
      <c r="Q15" s="431" t="s">
        <v>411</v>
      </c>
      <c r="R15" s="553">
        <v>400</v>
      </c>
      <c r="S15" s="505">
        <v>400</v>
      </c>
      <c r="T15" s="432">
        <v>0.2</v>
      </c>
      <c r="U15" s="434">
        <f t="shared" si="4"/>
        <v>0</v>
      </c>
      <c r="V15" s="432">
        <f t="shared" si="0"/>
        <v>0</v>
      </c>
      <c r="W15" s="432" t="str">
        <f t="shared" si="1"/>
        <v>OK</v>
      </c>
      <c r="X15" s="433"/>
    </row>
    <row r="16" spans="1:24">
      <c r="A16" s="369" t="s">
        <v>544</v>
      </c>
      <c r="B16" s="552">
        <v>0.6</v>
      </c>
      <c r="C16" s="551">
        <f>SUM(K16:K27)/$K$1</f>
        <v>0.67037395228884589</v>
      </c>
      <c r="D16" s="482">
        <f>B16*SUM(MODULY_CBA!$J$3:$J$23)</f>
        <v>8319</v>
      </c>
      <c r="E16" s="638">
        <f>IFERROR(SUM(M16:M27)/SUM(K16:K27),0)</f>
        <v>445.45804279874972</v>
      </c>
      <c r="F16" s="550" t="s">
        <v>402</v>
      </c>
      <c r="G16" s="550" t="str">
        <f>IFERROR(VLOOKUP(F16,[2]ISCO_Prevodnik!$A$10:$B$21,2,0),"")</f>
        <v>IT_programator</v>
      </c>
      <c r="H16" s="550"/>
      <c r="I16" s="550" t="str">
        <f>IFERROR(VLOOKUP(H16,[2]ISCO_Prevodnik!$E$10:$F$31,2,0),"")</f>
        <v/>
      </c>
      <c r="J16" s="551">
        <v>0.4</v>
      </c>
      <c r="K16" s="482">
        <f>ROUND(J16*$D$16,0)</f>
        <v>3328</v>
      </c>
      <c r="L16" s="489">
        <f t="shared" si="3"/>
        <v>420</v>
      </c>
      <c r="M16" s="484">
        <f t="shared" si="5"/>
        <v>1397760</v>
      </c>
      <c r="N16" s="506"/>
      <c r="Q16" s="641" t="s">
        <v>431</v>
      </c>
      <c r="R16" s="553"/>
      <c r="S16" s="505" t="s">
        <v>460</v>
      </c>
      <c r="T16" s="432" t="s">
        <v>460</v>
      </c>
      <c r="U16" s="434">
        <f t="shared" si="4"/>
        <v>0</v>
      </c>
      <c r="V16" s="432" t="s">
        <v>460</v>
      </c>
      <c r="W16" s="432" t="s">
        <v>460</v>
      </c>
      <c r="X16" s="433"/>
    </row>
    <row r="17" spans="1:24">
      <c r="A17" s="366"/>
      <c r="B17" s="366"/>
      <c r="C17" s="366"/>
      <c r="D17" s="366"/>
      <c r="E17" s="366"/>
      <c r="F17" s="550" t="s">
        <v>401</v>
      </c>
      <c r="G17" s="550" t="str">
        <f>IFERROR(VLOOKUP(F17,[2]ISCO_Prevodnik!$A$10:$B$21,2,0),"")</f>
        <v>IT_tester</v>
      </c>
      <c r="H17" s="550"/>
      <c r="I17" s="550" t="str">
        <f>IFERROR(VLOOKUP(H17,[2]ISCO_Prevodnik!$E$10:$F$31,2,0),"")</f>
        <v/>
      </c>
      <c r="J17" s="551">
        <v>0.22</v>
      </c>
      <c r="K17" s="482">
        <f t="shared" ref="K17:K27" si="7">ROUND(J17*$D$16,0)</f>
        <v>1830</v>
      </c>
      <c r="L17" s="489">
        <f t="shared" si="3"/>
        <v>377</v>
      </c>
      <c r="M17" s="484">
        <f t="shared" si="5"/>
        <v>689910</v>
      </c>
      <c r="Q17" s="641" t="s">
        <v>436</v>
      </c>
      <c r="R17" s="553"/>
      <c r="S17" s="505" t="s">
        <v>460</v>
      </c>
      <c r="T17" s="432" t="s">
        <v>460</v>
      </c>
      <c r="U17" s="434">
        <f t="shared" si="4"/>
        <v>0</v>
      </c>
      <c r="V17" s="432" t="s">
        <v>460</v>
      </c>
      <c r="W17" s="432" t="s">
        <v>460</v>
      </c>
      <c r="X17" s="433"/>
    </row>
    <row r="18" spans="1:24">
      <c r="A18" s="366"/>
      <c r="B18" s="366"/>
      <c r="C18" s="366"/>
      <c r="D18" s="366"/>
      <c r="E18" s="366"/>
      <c r="F18" s="550" t="s">
        <v>400</v>
      </c>
      <c r="G18" s="550" t="str">
        <f>IFERROR(VLOOKUP(F18,[2]ISCO_Prevodnik!$A$10:$B$21,2,0),"")</f>
        <v>IT_architekt</v>
      </c>
      <c r="H18" s="550"/>
      <c r="I18" s="550" t="str">
        <f>IFERROR(VLOOKUP(H18,[2]ISCO_Prevodnik!$E$10:$F$31,2,0),"")</f>
        <v/>
      </c>
      <c r="J18" s="551">
        <v>0.05</v>
      </c>
      <c r="K18" s="482">
        <f t="shared" si="7"/>
        <v>416</v>
      </c>
      <c r="L18" s="489">
        <f t="shared" si="3"/>
        <v>525</v>
      </c>
      <c r="M18" s="484">
        <f t="shared" si="5"/>
        <v>218400</v>
      </c>
      <c r="Q18" s="641" t="s">
        <v>430</v>
      </c>
      <c r="R18" s="553"/>
      <c r="S18" s="505" t="s">
        <v>460</v>
      </c>
      <c r="T18" s="432" t="s">
        <v>460</v>
      </c>
      <c r="U18" s="434">
        <f t="shared" si="4"/>
        <v>0</v>
      </c>
      <c r="V18" s="432" t="s">
        <v>460</v>
      </c>
      <c r="W18" s="432" t="s">
        <v>460</v>
      </c>
      <c r="X18" s="433"/>
    </row>
    <row r="19" spans="1:24">
      <c r="A19" s="366"/>
      <c r="B19" s="366"/>
      <c r="C19" s="366"/>
      <c r="D19" s="366"/>
      <c r="E19" s="366"/>
      <c r="F19" s="550" t="s">
        <v>403</v>
      </c>
      <c r="G19" s="550" t="str">
        <f>IFERROR(VLOOKUP(F19,[2]ISCO_Prevodnik!$A$10:$B$21,2,0),"")</f>
        <v>Projektovy_manazer</v>
      </c>
      <c r="H19" s="550"/>
      <c r="I19" s="550" t="str">
        <f>IFERROR(VLOOKUP(H19,[2]ISCO_Prevodnik!$E$10:$F$31,2,0),"")</f>
        <v/>
      </c>
      <c r="J19" s="551">
        <v>0.02</v>
      </c>
      <c r="K19" s="482">
        <f t="shared" si="7"/>
        <v>166</v>
      </c>
      <c r="L19" s="489">
        <f t="shared" si="3"/>
        <v>539</v>
      </c>
      <c r="M19" s="484">
        <f t="shared" si="5"/>
        <v>89474</v>
      </c>
      <c r="Q19" s="641" t="s">
        <v>682</v>
      </c>
      <c r="R19" s="553"/>
      <c r="S19" s="505" t="s">
        <v>460</v>
      </c>
      <c r="T19" s="432" t="s">
        <v>460</v>
      </c>
      <c r="U19" s="434">
        <f t="shared" si="4"/>
        <v>0</v>
      </c>
      <c r="V19" s="432" t="s">
        <v>460</v>
      </c>
      <c r="W19" s="432" t="s">
        <v>460</v>
      </c>
      <c r="X19" s="433"/>
    </row>
    <row r="20" spans="1:24">
      <c r="A20" s="366"/>
      <c r="B20" s="366"/>
      <c r="C20" s="366"/>
      <c r="D20" s="366"/>
      <c r="E20" s="366"/>
      <c r="F20" s="550" t="s">
        <v>404</v>
      </c>
      <c r="G20" s="550" t="str">
        <f>IFERROR(VLOOKUP(F20,[2]ISCO_Prevodnik!$A$10:$B$21,2,0),"")</f>
        <v>IT_analytik</v>
      </c>
      <c r="H20" s="550"/>
      <c r="I20" s="550" t="str">
        <f>IFERROR(VLOOKUP(H20,[2]ISCO_Prevodnik!$E$10:$F$31,2,0),"")</f>
        <v/>
      </c>
      <c r="J20" s="551">
        <v>0.18</v>
      </c>
      <c r="K20" s="482">
        <f t="shared" si="7"/>
        <v>1497</v>
      </c>
      <c r="L20" s="489">
        <f t="shared" si="3"/>
        <v>529</v>
      </c>
      <c r="M20" s="484">
        <f t="shared" si="5"/>
        <v>791913</v>
      </c>
      <c r="Q20" s="641" t="s">
        <v>732</v>
      </c>
      <c r="R20" s="553"/>
      <c r="S20" s="505" t="s">
        <v>460</v>
      </c>
      <c r="T20" s="432" t="s">
        <v>460</v>
      </c>
      <c r="U20" s="434">
        <f t="shared" si="4"/>
        <v>0</v>
      </c>
      <c r="V20" s="432" t="s">
        <v>460</v>
      </c>
      <c r="W20" s="432" t="s">
        <v>460</v>
      </c>
      <c r="X20" s="433"/>
    </row>
    <row r="21" spans="1:24">
      <c r="A21" s="366"/>
      <c r="B21" s="366"/>
      <c r="C21" s="366"/>
      <c r="D21" s="366"/>
      <c r="E21" s="366"/>
      <c r="F21" s="550" t="s">
        <v>405</v>
      </c>
      <c r="G21" s="550" t="str">
        <f>IFERROR(VLOOKUP(F21,[2]ISCO_Prevodnik!$A$10:$B$21,2,0),"")</f>
        <v>Kvalita</v>
      </c>
      <c r="H21" s="550"/>
      <c r="I21" s="550" t="str">
        <f>IFERROR(VLOOKUP(H21,[2]ISCO_Prevodnik!$E$10:$F$31,2,0),"")</f>
        <v/>
      </c>
      <c r="J21" s="551">
        <v>0.02</v>
      </c>
      <c r="K21" s="482">
        <f t="shared" si="7"/>
        <v>166</v>
      </c>
      <c r="L21" s="489">
        <f t="shared" si="3"/>
        <v>520</v>
      </c>
      <c r="M21" s="484">
        <f t="shared" si="5"/>
        <v>86320</v>
      </c>
      <c r="Q21" s="641" t="s">
        <v>733</v>
      </c>
      <c r="R21" s="553"/>
      <c r="S21" s="505" t="s">
        <v>460</v>
      </c>
      <c r="T21" s="432" t="s">
        <v>460</v>
      </c>
      <c r="U21" s="434">
        <f t="shared" si="4"/>
        <v>0</v>
      </c>
      <c r="V21" s="432" t="s">
        <v>460</v>
      </c>
      <c r="W21" s="432" t="s">
        <v>460</v>
      </c>
      <c r="X21" s="433"/>
    </row>
    <row r="22" spans="1:24">
      <c r="A22" s="366"/>
      <c r="B22" s="600"/>
      <c r="C22" s="600"/>
      <c r="D22" s="601"/>
      <c r="E22" s="602"/>
      <c r="F22" s="550" t="s">
        <v>406</v>
      </c>
      <c r="G22" s="550" t="str">
        <f>IFERROR(VLOOKUP(F22,[2]ISCO_Prevodnik!$A$10:$B$21,2,0),"")</f>
        <v>Bezpecnost</v>
      </c>
      <c r="H22" s="550"/>
      <c r="I22" s="550" t="str">
        <f>IFERROR(VLOOKUP(H22,[2]ISCO_Prevodnik!$E$10:$F$31,2,0),"")</f>
        <v/>
      </c>
      <c r="J22" s="551">
        <v>0.02</v>
      </c>
      <c r="K22" s="482">
        <f t="shared" si="7"/>
        <v>166</v>
      </c>
      <c r="L22" s="489">
        <f t="shared" si="3"/>
        <v>472</v>
      </c>
      <c r="M22" s="484">
        <f t="shared" si="5"/>
        <v>78352</v>
      </c>
      <c r="Q22" s="624"/>
      <c r="R22" s="553"/>
      <c r="S22" s="505" t="s">
        <v>460</v>
      </c>
      <c r="T22" s="432" t="s">
        <v>460</v>
      </c>
      <c r="U22" s="434">
        <f t="shared" si="4"/>
        <v>0</v>
      </c>
      <c r="V22" s="432" t="s">
        <v>460</v>
      </c>
      <c r="W22" s="432" t="s">
        <v>460</v>
      </c>
      <c r="X22" s="433"/>
    </row>
    <row r="23" spans="1:24">
      <c r="A23" s="366"/>
      <c r="B23" s="366"/>
      <c r="C23" s="366"/>
      <c r="D23" s="366"/>
      <c r="E23" s="366"/>
      <c r="F23" s="550" t="s">
        <v>408</v>
      </c>
      <c r="G23" s="550" t="str">
        <f>IFERROR(VLOOKUP(F23,[2]ISCO_Prevodnik!$A$10:$B$21,2,0),"")</f>
        <v>Databazy</v>
      </c>
      <c r="H23" s="550"/>
      <c r="I23" s="550" t="str">
        <f>IFERROR(VLOOKUP(H23,[2]ISCO_Prevodnik!$E$10:$F$31,2,0),"")</f>
        <v/>
      </c>
      <c r="J23" s="551">
        <v>0.04</v>
      </c>
      <c r="K23" s="482">
        <f t="shared" si="7"/>
        <v>333</v>
      </c>
      <c r="L23" s="489">
        <f t="shared" si="3"/>
        <v>451</v>
      </c>
      <c r="M23" s="484">
        <f t="shared" si="5"/>
        <v>150183</v>
      </c>
      <c r="Q23" s="624"/>
      <c r="R23" s="553"/>
      <c r="S23" s="505" t="s">
        <v>460</v>
      </c>
      <c r="T23" s="432" t="s">
        <v>460</v>
      </c>
      <c r="U23" s="434">
        <f t="shared" si="4"/>
        <v>0</v>
      </c>
      <c r="V23" s="432" t="s">
        <v>460</v>
      </c>
      <c r="W23" s="432" t="s">
        <v>460</v>
      </c>
      <c r="X23" s="433"/>
    </row>
    <row r="24" spans="1:24">
      <c r="A24" s="366"/>
      <c r="B24" s="366"/>
      <c r="C24" s="366"/>
      <c r="D24" s="366"/>
      <c r="E24" s="366"/>
      <c r="F24" s="550" t="s">
        <v>410</v>
      </c>
      <c r="G24" s="550" t="str">
        <f>IFERROR(VLOOKUP(F24,[2]ISCO_Prevodnik!$A$10:$B$21,2,0),"")</f>
        <v>IT_konzultant</v>
      </c>
      <c r="H24" s="550"/>
      <c r="I24" s="550" t="str">
        <f>IFERROR(VLOOKUP(H24,[2]ISCO_Prevodnik!$E$10:$F$31,2,0),"")</f>
        <v/>
      </c>
      <c r="J24" s="551">
        <v>0.05</v>
      </c>
      <c r="K24" s="482">
        <f t="shared" si="7"/>
        <v>416</v>
      </c>
      <c r="L24" s="489">
        <f t="shared" si="3"/>
        <v>488</v>
      </c>
      <c r="M24" s="484">
        <f t="shared" si="5"/>
        <v>203008</v>
      </c>
      <c r="Q24" s="624"/>
      <c r="R24" s="553"/>
      <c r="S24" s="505" t="s">
        <v>460</v>
      </c>
      <c r="T24" s="432" t="s">
        <v>460</v>
      </c>
      <c r="U24" s="434">
        <f t="shared" si="4"/>
        <v>0</v>
      </c>
      <c r="V24" s="432" t="s">
        <v>460</v>
      </c>
      <c r="W24" s="432" t="s">
        <v>460</v>
      </c>
      <c r="X24" s="433"/>
    </row>
    <row r="25" spans="1:24">
      <c r="A25" s="366"/>
      <c r="B25" s="366"/>
      <c r="C25" s="366"/>
      <c r="D25" s="366"/>
      <c r="E25" s="366"/>
      <c r="F25" s="550"/>
      <c r="G25" s="550" t="str">
        <f>IFERROR(VLOOKUP(F25,ISCO_Prevodnik!$A$10:$B$21,2,0),"")</f>
        <v/>
      </c>
      <c r="H25" s="550"/>
      <c r="I25" s="550" t="str">
        <f>IFERROR(VLOOKUP(H25,ISCO_Prevodnik!$E$10:$F$31,2,0),"")</f>
        <v/>
      </c>
      <c r="J25" s="551"/>
      <c r="K25" s="482">
        <f t="shared" si="7"/>
        <v>0</v>
      </c>
      <c r="L25" s="489">
        <f t="shared" si="3"/>
        <v>0</v>
      </c>
      <c r="M25" s="484">
        <f t="shared" si="5"/>
        <v>0</v>
      </c>
      <c r="Q25" s="624"/>
      <c r="R25" s="553"/>
      <c r="S25" s="505" t="s">
        <v>460</v>
      </c>
      <c r="T25" s="432" t="s">
        <v>460</v>
      </c>
      <c r="U25" s="434">
        <f t="shared" si="4"/>
        <v>0</v>
      </c>
      <c r="V25" s="432" t="s">
        <v>460</v>
      </c>
      <c r="W25" s="432" t="s">
        <v>460</v>
      </c>
      <c r="X25" s="433"/>
    </row>
    <row r="26" spans="1:24">
      <c r="A26" s="366"/>
      <c r="B26" s="366"/>
      <c r="C26" s="366"/>
      <c r="D26" s="366"/>
      <c r="E26" s="366"/>
      <c r="F26" s="550"/>
      <c r="G26" s="550" t="str">
        <f>IFERROR(VLOOKUP(F26,ISCO_Prevodnik!$A$10:$B$21,2,0),"")</f>
        <v/>
      </c>
      <c r="H26" s="550"/>
      <c r="I26" s="550" t="str">
        <f>IFERROR(VLOOKUP(H26,ISCO_Prevodnik!$E$10:$F$31,2,0),"")</f>
        <v/>
      </c>
      <c r="J26" s="551"/>
      <c r="K26" s="482">
        <f t="shared" si="7"/>
        <v>0</v>
      </c>
      <c r="L26" s="489">
        <f t="shared" si="3"/>
        <v>0</v>
      </c>
      <c r="M26" s="484">
        <f t="shared" si="5"/>
        <v>0</v>
      </c>
      <c r="Q26" s="624"/>
      <c r="R26" s="553"/>
      <c r="S26" s="505" t="s">
        <v>460</v>
      </c>
      <c r="T26" s="432" t="s">
        <v>460</v>
      </c>
      <c r="U26" s="434">
        <f t="shared" si="4"/>
        <v>0</v>
      </c>
      <c r="V26" s="432" t="s">
        <v>460</v>
      </c>
      <c r="W26" s="432" t="s">
        <v>460</v>
      </c>
      <c r="X26" s="433"/>
    </row>
    <row r="27" spans="1:24">
      <c r="A27" s="366"/>
      <c r="B27" s="366"/>
      <c r="C27" s="366"/>
      <c r="D27" s="366"/>
      <c r="E27" s="366"/>
      <c r="F27" s="550"/>
      <c r="G27" s="550" t="str">
        <f>IFERROR(VLOOKUP(F27,ISCO_Prevodnik!$A$10:$B$21,2,0),"")</f>
        <v/>
      </c>
      <c r="H27" s="550"/>
      <c r="I27" s="550" t="str">
        <f>IFERROR(VLOOKUP(H27,ISCO_Prevodnik!$E$10:$F$31,2,0),"")</f>
        <v/>
      </c>
      <c r="J27" s="551"/>
      <c r="K27" s="482">
        <f t="shared" si="7"/>
        <v>0</v>
      </c>
      <c r="L27" s="489">
        <f t="shared" si="3"/>
        <v>0</v>
      </c>
      <c r="M27" s="484">
        <f t="shared" si="5"/>
        <v>0</v>
      </c>
      <c r="Q27" s="624"/>
      <c r="R27" s="553"/>
      <c r="S27" s="505" t="s">
        <v>460</v>
      </c>
      <c r="T27" s="432" t="s">
        <v>460</v>
      </c>
      <c r="U27" s="434">
        <f t="shared" si="4"/>
        <v>0</v>
      </c>
      <c r="V27" s="432" t="s">
        <v>460</v>
      </c>
      <c r="W27" s="432" t="s">
        <v>460</v>
      </c>
      <c r="X27" s="433"/>
    </row>
    <row r="28" spans="1:24">
      <c r="A28" s="369" t="s">
        <v>263</v>
      </c>
      <c r="B28" s="552">
        <v>0.15</v>
      </c>
      <c r="C28" s="551">
        <f>SUM(K28:K39)/$K$1</f>
        <v>0.16763378465506126</v>
      </c>
      <c r="D28" s="482">
        <f>B28*SUM(MODULY_CBA!$J$3:$J$23)</f>
        <v>2079.75</v>
      </c>
      <c r="E28" s="483">
        <f>IFERROR(SUM(M28:M39)/SUM(K28:K39),0)</f>
        <v>450.80865384615385</v>
      </c>
      <c r="F28" s="550" t="s">
        <v>400</v>
      </c>
      <c r="G28" s="550" t="str">
        <f>IFERROR(VLOOKUP(F28,[2]ISCO_Prevodnik!$A$10:$B$21,2,0),"")</f>
        <v>IT_architekt</v>
      </c>
      <c r="H28" s="550"/>
      <c r="I28" s="550" t="str">
        <f>IFERROR(VLOOKUP(H28,[2]ISCO_Prevodnik!$E$10:$F$31,2,0),"")</f>
        <v/>
      </c>
      <c r="J28" s="551">
        <v>0.02</v>
      </c>
      <c r="K28" s="482">
        <f>ROUND(J28*$D$28,0)</f>
        <v>42</v>
      </c>
      <c r="L28" s="489">
        <f t="shared" si="3"/>
        <v>525</v>
      </c>
      <c r="M28" s="484">
        <f t="shared" si="5"/>
        <v>22050</v>
      </c>
    </row>
    <row r="29" spans="1:24">
      <c r="A29" s="366"/>
      <c r="B29" s="366"/>
      <c r="C29" s="366"/>
      <c r="D29" s="366"/>
      <c r="E29" s="366"/>
      <c r="F29" s="550" t="s">
        <v>403</v>
      </c>
      <c r="G29" s="550" t="str">
        <f>IFERROR(VLOOKUP(F29,[2]ISCO_Prevodnik!$A$10:$B$21,2,0),"")</f>
        <v>Projektovy_manazer</v>
      </c>
      <c r="H29" s="550"/>
      <c r="I29" s="550" t="str">
        <f>IFERROR(VLOOKUP(H29,[2]ISCO_Prevodnik!$E$10:$F$31,2,0),"")</f>
        <v/>
      </c>
      <c r="J29" s="551">
        <v>0.03</v>
      </c>
      <c r="K29" s="482">
        <f t="shared" ref="K29:K39" si="8">ROUND(J29*$D$28,0)</f>
        <v>62</v>
      </c>
      <c r="L29" s="489">
        <f t="shared" si="3"/>
        <v>539</v>
      </c>
      <c r="M29" s="484">
        <f t="shared" si="5"/>
        <v>33418</v>
      </c>
    </row>
    <row r="30" spans="1:24">
      <c r="A30" s="366"/>
      <c r="B30" s="366"/>
      <c r="C30" s="366"/>
      <c r="D30" s="366"/>
      <c r="E30" s="366"/>
      <c r="F30" s="550" t="s">
        <v>404</v>
      </c>
      <c r="G30" s="550" t="str">
        <f>IFERROR(VLOOKUP(F30,[2]ISCO_Prevodnik!$A$10:$B$21,2,0),"")</f>
        <v>IT_analytik</v>
      </c>
      <c r="H30" s="550"/>
      <c r="I30" s="550" t="str">
        <f>IFERROR(VLOOKUP(H30,[2]ISCO_Prevodnik!$E$10:$F$31,2,0),"")</f>
        <v/>
      </c>
      <c r="J30" s="551">
        <v>0.05</v>
      </c>
      <c r="K30" s="482">
        <f t="shared" si="8"/>
        <v>104</v>
      </c>
      <c r="L30" s="489">
        <f t="shared" si="3"/>
        <v>529</v>
      </c>
      <c r="M30" s="484">
        <f t="shared" si="5"/>
        <v>55016</v>
      </c>
    </row>
    <row r="31" spans="1:24">
      <c r="A31" s="366"/>
      <c r="B31" s="366"/>
      <c r="C31" s="366"/>
      <c r="D31" s="366"/>
      <c r="E31" s="366"/>
      <c r="F31" s="550" t="s">
        <v>405</v>
      </c>
      <c r="G31" s="550" t="str">
        <f>IFERROR(VLOOKUP(F31,[2]ISCO_Prevodnik!$A$10:$B$21,2,0),"")</f>
        <v>Kvalita</v>
      </c>
      <c r="H31" s="550"/>
      <c r="I31" s="550" t="str">
        <f>IFERROR(VLOOKUP(H31,[2]ISCO_Prevodnik!$E$10:$F$31,2,0),"")</f>
        <v/>
      </c>
      <c r="J31" s="551">
        <v>0.1</v>
      </c>
      <c r="K31" s="482">
        <f t="shared" si="8"/>
        <v>208</v>
      </c>
      <c r="L31" s="489">
        <f t="shared" si="3"/>
        <v>520</v>
      </c>
      <c r="M31" s="484">
        <f t="shared" si="5"/>
        <v>108160</v>
      </c>
    </row>
    <row r="32" spans="1:24">
      <c r="A32" s="366"/>
      <c r="B32" s="366"/>
      <c r="C32" s="366"/>
      <c r="D32" s="366"/>
      <c r="E32" s="366"/>
      <c r="F32" s="550" t="s">
        <v>406</v>
      </c>
      <c r="G32" s="550" t="str">
        <f>IFERROR(VLOOKUP(F32,[2]ISCO_Prevodnik!$A$10:$B$21,2,0),"")</f>
        <v>Bezpecnost</v>
      </c>
      <c r="H32" s="550"/>
      <c r="I32" s="550" t="str">
        <f>IFERROR(VLOOKUP(H32,[2]ISCO_Prevodnik!$E$10:$F$31,2,0),"")</f>
        <v/>
      </c>
      <c r="J32" s="551">
        <v>0.05</v>
      </c>
      <c r="K32" s="482">
        <f t="shared" si="8"/>
        <v>104</v>
      </c>
      <c r="L32" s="489">
        <f t="shared" si="3"/>
        <v>472</v>
      </c>
      <c r="M32" s="484">
        <f t="shared" si="5"/>
        <v>49088</v>
      </c>
    </row>
    <row r="33" spans="1:13">
      <c r="A33" s="366"/>
      <c r="B33" s="366"/>
      <c r="C33" s="366"/>
      <c r="D33" s="366"/>
      <c r="E33" s="366"/>
      <c r="F33" s="550" t="s">
        <v>408</v>
      </c>
      <c r="G33" s="550" t="str">
        <f>IFERROR(VLOOKUP(F33,[2]ISCO_Prevodnik!$A$10:$B$21,2,0),"")</f>
        <v>Databazy</v>
      </c>
      <c r="H33" s="550"/>
      <c r="I33" s="550" t="str">
        <f>IFERROR(VLOOKUP(H33,[2]ISCO_Prevodnik!$E$10:$F$31,2,0),"")</f>
        <v/>
      </c>
      <c r="J33" s="551">
        <v>0.05</v>
      </c>
      <c r="K33" s="482">
        <f t="shared" si="8"/>
        <v>104</v>
      </c>
      <c r="L33" s="489">
        <f t="shared" si="3"/>
        <v>451</v>
      </c>
      <c r="M33" s="484">
        <f t="shared" si="5"/>
        <v>46904</v>
      </c>
    </row>
    <row r="34" spans="1:13">
      <c r="F34" s="550" t="s">
        <v>410</v>
      </c>
      <c r="G34" s="550" t="str">
        <f>IFERROR(VLOOKUP(F34,[2]ISCO_Prevodnik!$A$10:$B$21,2,0),"")</f>
        <v>IT_konzultant</v>
      </c>
      <c r="H34" s="550"/>
      <c r="I34" s="550" t="str">
        <f>IFERROR(VLOOKUP(H34,[2]ISCO_Prevodnik!$E$10:$F$31,2,0),"")</f>
        <v/>
      </c>
      <c r="J34" s="551">
        <v>0.22</v>
      </c>
      <c r="K34" s="482">
        <f t="shared" si="8"/>
        <v>458</v>
      </c>
      <c r="L34" s="489">
        <f t="shared" si="3"/>
        <v>488</v>
      </c>
      <c r="M34" s="484">
        <f t="shared" ref="M34:M46" si="9">K34*L34</f>
        <v>223504</v>
      </c>
    </row>
    <row r="35" spans="1:13">
      <c r="F35" s="550" t="s">
        <v>402</v>
      </c>
      <c r="G35" s="550" t="str">
        <f>IFERROR(VLOOKUP(F35,[2]ISCO_Prevodnik!$A$10:$B$21,2,0),"")</f>
        <v>IT_programator</v>
      </c>
      <c r="H35" s="550"/>
      <c r="I35" s="550" t="str">
        <f>IFERROR(VLOOKUP(H35,[2]ISCO_Prevodnik!$E$10:$F$31,2,0),"")</f>
        <v/>
      </c>
      <c r="J35" s="551">
        <v>0.1</v>
      </c>
      <c r="K35" s="482">
        <f t="shared" si="8"/>
        <v>208</v>
      </c>
      <c r="L35" s="489">
        <f t="shared" si="3"/>
        <v>420</v>
      </c>
      <c r="M35" s="484">
        <f t="shared" si="9"/>
        <v>87360</v>
      </c>
    </row>
    <row r="36" spans="1:13">
      <c r="F36" s="550" t="s">
        <v>401</v>
      </c>
      <c r="G36" s="550" t="str">
        <f>IFERROR(VLOOKUP(F36,[2]ISCO_Prevodnik!$A$10:$B$21,2,0),"")</f>
        <v>IT_tester</v>
      </c>
      <c r="H36" s="550"/>
      <c r="I36" s="550" t="str">
        <f>IFERROR(VLOOKUP(H36,[2]ISCO_Prevodnik!$E$10:$F$31,2,0),"")</f>
        <v/>
      </c>
      <c r="J36" s="551">
        <v>0.08</v>
      </c>
      <c r="K36" s="482">
        <f t="shared" si="8"/>
        <v>166</v>
      </c>
      <c r="L36" s="489">
        <f t="shared" si="3"/>
        <v>377</v>
      </c>
      <c r="M36" s="484">
        <f t="shared" si="9"/>
        <v>62582</v>
      </c>
    </row>
    <row r="37" spans="1:13">
      <c r="F37" s="550" t="s">
        <v>409</v>
      </c>
      <c r="G37" s="550" t="str">
        <f>IFERROR(VLOOKUP(F37,[2]ISCO_Prevodnik!$A$10:$B$21,2,0),"")</f>
        <v>Skolenie</v>
      </c>
      <c r="H37" s="550"/>
      <c r="I37" s="550" t="str">
        <f>IFERROR(VLOOKUP(H37,[2]ISCO_Prevodnik!$E$10:$F$31,2,0),"")</f>
        <v/>
      </c>
      <c r="J37" s="551">
        <v>0.3</v>
      </c>
      <c r="K37" s="482">
        <f t="shared" si="8"/>
        <v>624</v>
      </c>
      <c r="L37" s="489">
        <f t="shared" si="3"/>
        <v>400</v>
      </c>
      <c r="M37" s="484">
        <f t="shared" si="9"/>
        <v>249600</v>
      </c>
    </row>
    <row r="38" spans="1:13">
      <c r="F38" s="550"/>
      <c r="G38" s="550" t="str">
        <f>IFERROR(VLOOKUP(F38,ISCO_Prevodnik!$A$10:$B$21,2,0),"")</f>
        <v/>
      </c>
      <c r="H38" s="550"/>
      <c r="I38" s="550" t="str">
        <f>IFERROR(VLOOKUP(H38,ISCO_Prevodnik!$E$10:$F$31,2,0),"")</f>
        <v/>
      </c>
      <c r="J38" s="551"/>
      <c r="K38" s="482">
        <f t="shared" si="8"/>
        <v>0</v>
      </c>
      <c r="L38" s="489">
        <f t="shared" si="3"/>
        <v>0</v>
      </c>
      <c r="M38" s="484">
        <f t="shared" si="9"/>
        <v>0</v>
      </c>
    </row>
    <row r="39" spans="1:13">
      <c r="F39" s="550"/>
      <c r="G39" s="550" t="str">
        <f>IFERROR(VLOOKUP(F39,ISCO_Prevodnik!$A$10:$B$21,2,0),"")</f>
        <v/>
      </c>
      <c r="H39" s="550"/>
      <c r="I39" s="550" t="str">
        <f>IFERROR(VLOOKUP(H39,ISCO_Prevodnik!$E$10:$F$31,2,0),"")</f>
        <v/>
      </c>
      <c r="J39" s="551"/>
      <c r="K39" s="482">
        <f t="shared" si="8"/>
        <v>0</v>
      </c>
      <c r="L39" s="489">
        <f t="shared" si="3"/>
        <v>0</v>
      </c>
      <c r="M39" s="484">
        <f t="shared" si="9"/>
        <v>0</v>
      </c>
    </row>
    <row r="40" spans="1:13" ht="45">
      <c r="A40" s="478" t="s">
        <v>264</v>
      </c>
      <c r="B40" s="478" t="s">
        <v>432</v>
      </c>
      <c r="C40" s="478"/>
      <c r="D40" s="478" t="s">
        <v>266</v>
      </c>
      <c r="E40" s="478" t="s">
        <v>417</v>
      </c>
      <c r="F40" s="478" t="s">
        <v>399</v>
      </c>
      <c r="G40" s="478"/>
      <c r="H40" s="478" t="s">
        <v>704</v>
      </c>
      <c r="I40" s="478" t="s">
        <v>705</v>
      </c>
      <c r="J40" s="478" t="s">
        <v>677</v>
      </c>
      <c r="K40" s="478" t="s">
        <v>414</v>
      </c>
      <c r="L40" s="478" t="s">
        <v>734</v>
      </c>
      <c r="M40" s="478" t="s">
        <v>416</v>
      </c>
    </row>
    <row r="41" spans="1:13">
      <c r="A41" s="369" t="s">
        <v>675</v>
      </c>
      <c r="B41" s="554">
        <v>18</v>
      </c>
      <c r="C41" s="554"/>
      <c r="D41" s="482">
        <f>SUM(K41:K52)</f>
        <v>0</v>
      </c>
      <c r="E41" s="483">
        <f>IFERROR(SUM(M41:M52)/SUM(K41:K52),0)</f>
        <v>0</v>
      </c>
      <c r="F41" s="550"/>
      <c r="G41" s="550"/>
      <c r="H41" s="550"/>
      <c r="I41" s="550"/>
      <c r="J41" s="623"/>
      <c r="K41" s="482">
        <f>J41*$B$41*20</f>
        <v>0</v>
      </c>
      <c r="L41" s="489">
        <f>IFERROR(VLOOKUP(F41,$Q$4:$R$30,2,0),0)</f>
        <v>0</v>
      </c>
      <c r="M41" s="484">
        <f t="shared" si="9"/>
        <v>0</v>
      </c>
    </row>
    <row r="42" spans="1:13">
      <c r="A42" s="366"/>
      <c r="B42" s="366"/>
      <c r="C42" s="366"/>
      <c r="D42" s="366"/>
      <c r="E42" s="366"/>
      <c r="F42" s="550"/>
      <c r="G42" s="550"/>
      <c r="H42" s="550"/>
      <c r="I42" s="550"/>
      <c r="J42" s="623"/>
      <c r="K42" s="482">
        <f t="shared" ref="K42:K52" si="10">J42*$B$41*20</f>
        <v>0</v>
      </c>
      <c r="L42" s="489">
        <f t="shared" ref="L42:L52" si="11">IFERROR(VLOOKUP(F42,$Q$4:$R$30,2,0),0)</f>
        <v>0</v>
      </c>
      <c r="M42" s="484">
        <f t="shared" si="9"/>
        <v>0</v>
      </c>
    </row>
    <row r="43" spans="1:13">
      <c r="A43" s="366"/>
      <c r="B43" s="366"/>
      <c r="C43" s="366"/>
      <c r="D43" s="366"/>
      <c r="E43" s="366"/>
      <c r="F43" s="550"/>
      <c r="G43" s="550" t="str">
        <f>IFERROR(VLOOKUP(F43,ISCO_Prevodnik!$A$10:$B$21,2,0),"")</f>
        <v/>
      </c>
      <c r="H43" s="550"/>
      <c r="I43" s="550" t="str">
        <f>IFERROR(VLOOKUP(H43,ISCO_Prevodnik!$E$10:$F$31,2,0),"")</f>
        <v/>
      </c>
      <c r="J43" s="623"/>
      <c r="K43" s="482">
        <f t="shared" si="10"/>
        <v>0</v>
      </c>
      <c r="L43" s="489">
        <f t="shared" si="11"/>
        <v>0</v>
      </c>
      <c r="M43" s="484">
        <f t="shared" si="9"/>
        <v>0</v>
      </c>
    </row>
    <row r="44" spans="1:13">
      <c r="A44" s="366"/>
      <c r="B44" s="366"/>
      <c r="C44" s="366"/>
      <c r="D44" s="366"/>
      <c r="E44" s="366"/>
      <c r="F44" s="550"/>
      <c r="G44" s="550" t="str">
        <f>IFERROR(VLOOKUP(F44,ISCO_Prevodnik!$A$10:$B$21,2,0),"")</f>
        <v/>
      </c>
      <c r="H44" s="550"/>
      <c r="I44" s="550" t="str">
        <f>IFERROR(VLOOKUP(H44,ISCO_Prevodnik!$E$10:$F$31,2,0),"")</f>
        <v/>
      </c>
      <c r="J44" s="623"/>
      <c r="K44" s="482">
        <f t="shared" si="10"/>
        <v>0</v>
      </c>
      <c r="L44" s="489">
        <f t="shared" si="11"/>
        <v>0</v>
      </c>
      <c r="M44" s="484">
        <f t="shared" si="9"/>
        <v>0</v>
      </c>
    </row>
    <row r="45" spans="1:13">
      <c r="A45" s="366"/>
      <c r="B45" s="366"/>
      <c r="C45" s="366"/>
      <c r="D45" s="366"/>
      <c r="E45" s="366"/>
      <c r="F45" s="550"/>
      <c r="G45" s="550" t="str">
        <f>IFERROR(VLOOKUP(F45,ISCO_Prevodnik!$A$10:$B$21,2,0),"")</f>
        <v/>
      </c>
      <c r="H45" s="550"/>
      <c r="I45" s="550" t="str">
        <f>IFERROR(VLOOKUP(H45,ISCO_Prevodnik!$E$10:$F$31,2,0),"")</f>
        <v/>
      </c>
      <c r="J45" s="623"/>
      <c r="K45" s="482">
        <f t="shared" si="10"/>
        <v>0</v>
      </c>
      <c r="L45" s="489">
        <f t="shared" si="11"/>
        <v>0</v>
      </c>
      <c r="M45" s="484">
        <f t="shared" si="9"/>
        <v>0</v>
      </c>
    </row>
    <row r="46" spans="1:13">
      <c r="A46" s="366"/>
      <c r="B46" s="366"/>
      <c r="C46" s="366"/>
      <c r="D46" s="366"/>
      <c r="E46" s="366"/>
      <c r="F46" s="550"/>
      <c r="G46" s="550" t="str">
        <f>IFERROR(VLOOKUP(F46,ISCO_Prevodnik!$A$10:$B$21,2,0),"")</f>
        <v/>
      </c>
      <c r="H46" s="550"/>
      <c r="I46" s="550" t="str">
        <f>IFERROR(VLOOKUP(H46,ISCO_Prevodnik!$E$10:$F$31,2,0),"")</f>
        <v/>
      </c>
      <c r="J46" s="623"/>
      <c r="K46" s="482">
        <f t="shared" si="10"/>
        <v>0</v>
      </c>
      <c r="L46" s="489">
        <f t="shared" si="11"/>
        <v>0</v>
      </c>
      <c r="M46" s="484">
        <f t="shared" si="9"/>
        <v>0</v>
      </c>
    </row>
    <row r="47" spans="1:13">
      <c r="F47" s="550"/>
      <c r="G47" s="550" t="str">
        <f>IFERROR(VLOOKUP(F47,ISCO_Prevodnik!$A$10:$B$21,2,0),"")</f>
        <v/>
      </c>
      <c r="H47" s="550"/>
      <c r="I47" s="550" t="str">
        <f>IFERROR(VLOOKUP(H47,ISCO_Prevodnik!$E$10:$F$31,2,0),"")</f>
        <v/>
      </c>
      <c r="J47" s="623"/>
      <c r="K47" s="482">
        <f t="shared" si="10"/>
        <v>0</v>
      </c>
      <c r="L47" s="489">
        <f t="shared" si="11"/>
        <v>0</v>
      </c>
      <c r="M47" s="484">
        <f t="shared" ref="M47:M58" si="12">K47*L47</f>
        <v>0</v>
      </c>
    </row>
    <row r="48" spans="1:13">
      <c r="F48" s="550"/>
      <c r="G48" s="550" t="str">
        <f>IFERROR(VLOOKUP(F48,ISCO_Prevodnik!$A$10:$B$21,2,0),"")</f>
        <v/>
      </c>
      <c r="H48" s="550"/>
      <c r="I48" s="550" t="str">
        <f>IFERROR(VLOOKUP(H48,ISCO_Prevodnik!$E$10:$F$31,2,0),"")</f>
        <v/>
      </c>
      <c r="J48" s="623"/>
      <c r="K48" s="482">
        <f t="shared" si="10"/>
        <v>0</v>
      </c>
      <c r="L48" s="489">
        <f t="shared" si="11"/>
        <v>0</v>
      </c>
      <c r="M48" s="484">
        <f t="shared" si="12"/>
        <v>0</v>
      </c>
    </row>
    <row r="49" spans="1:13">
      <c r="F49" s="550"/>
      <c r="G49" s="550" t="str">
        <f>IFERROR(VLOOKUP(F49,ISCO_Prevodnik!$A$10:$B$21,2,0),"")</f>
        <v/>
      </c>
      <c r="H49" s="550"/>
      <c r="I49" s="550" t="str">
        <f>IFERROR(VLOOKUP(H49,ISCO_Prevodnik!$E$10:$F$31,2,0),"")</f>
        <v/>
      </c>
      <c r="J49" s="623"/>
      <c r="K49" s="482">
        <f t="shared" si="10"/>
        <v>0</v>
      </c>
      <c r="L49" s="489">
        <f t="shared" si="11"/>
        <v>0</v>
      </c>
      <c r="M49" s="484">
        <f t="shared" si="12"/>
        <v>0</v>
      </c>
    </row>
    <row r="50" spans="1:13">
      <c r="F50" s="550"/>
      <c r="G50" s="550" t="str">
        <f>IFERROR(VLOOKUP(F50,ISCO_Prevodnik!$A$10:$B$21,2,0),"")</f>
        <v/>
      </c>
      <c r="H50" s="550"/>
      <c r="I50" s="550" t="str">
        <f>IFERROR(VLOOKUP(H50,ISCO_Prevodnik!$E$10:$F$31,2,0),"")</f>
        <v/>
      </c>
      <c r="J50" s="623"/>
      <c r="K50" s="482">
        <f t="shared" si="10"/>
        <v>0</v>
      </c>
      <c r="L50" s="489">
        <f t="shared" si="11"/>
        <v>0</v>
      </c>
      <c r="M50" s="484">
        <f t="shared" si="12"/>
        <v>0</v>
      </c>
    </row>
    <row r="51" spans="1:13">
      <c r="F51" s="550"/>
      <c r="G51" s="550" t="str">
        <f>IFERROR(VLOOKUP(F51,ISCO_Prevodnik!$A$10:$B$21,2,0),"")</f>
        <v/>
      </c>
      <c r="H51" s="550"/>
      <c r="I51" s="550" t="str">
        <f>IFERROR(VLOOKUP(H51,ISCO_Prevodnik!$E$10:$F$31,2,0),"")</f>
        <v/>
      </c>
      <c r="J51" s="623"/>
      <c r="K51" s="482">
        <f t="shared" si="10"/>
        <v>0</v>
      </c>
      <c r="L51" s="489">
        <f t="shared" si="11"/>
        <v>0</v>
      </c>
      <c r="M51" s="484">
        <f t="shared" si="12"/>
        <v>0</v>
      </c>
    </row>
    <row r="52" spans="1:13">
      <c r="F52" s="550"/>
      <c r="G52" s="550" t="str">
        <f>IFERROR(VLOOKUP(F52,ISCO_Prevodnik!$A$10:$B$21,2,0),"")</f>
        <v/>
      </c>
      <c r="H52" s="550"/>
      <c r="I52" s="550" t="str">
        <f>IFERROR(VLOOKUP(H52,ISCO_Prevodnik!$E$10:$F$31,2,0),"")</f>
        <v/>
      </c>
      <c r="J52" s="623"/>
      <c r="K52" s="482">
        <f t="shared" si="10"/>
        <v>0</v>
      </c>
      <c r="L52" s="489">
        <f t="shared" si="11"/>
        <v>0</v>
      </c>
      <c r="M52" s="484">
        <f t="shared" si="12"/>
        <v>0</v>
      </c>
    </row>
    <row r="53" spans="1:13">
      <c r="A53" s="369" t="s">
        <v>681</v>
      </c>
      <c r="B53" s="554">
        <v>18</v>
      </c>
      <c r="C53" s="554"/>
      <c r="D53" s="482">
        <f>SUM(K53:K64)</f>
        <v>0</v>
      </c>
      <c r="E53" s="483">
        <f>IFERROR(SUM(M53:M64)/SUM(K53:K64),0)</f>
        <v>0</v>
      </c>
      <c r="F53" s="550"/>
      <c r="G53" s="550" t="str">
        <f>IFERROR(VLOOKUP(F53,ISCO_Prevodnik!$A$10:$B$21,2,0),"")</f>
        <v/>
      </c>
      <c r="H53" s="550"/>
      <c r="I53" s="550" t="str">
        <f>IFERROR(VLOOKUP(H53,ISCO_Prevodnik!$E$10:$F$31,2,0),"")</f>
        <v/>
      </c>
      <c r="J53" s="623"/>
      <c r="K53" s="482">
        <f>J53*$B$41*20</f>
        <v>0</v>
      </c>
      <c r="L53" s="489">
        <f>IFERROR(VLOOKUP(F53,$Q$4:$R$30,2,0),0)</f>
        <v>0</v>
      </c>
      <c r="M53" s="484">
        <f t="shared" si="12"/>
        <v>0</v>
      </c>
    </row>
    <row r="54" spans="1:13">
      <c r="A54" s="366"/>
      <c r="B54" s="366"/>
      <c r="C54" s="366"/>
      <c r="D54" s="366"/>
      <c r="E54" s="366"/>
      <c r="F54" s="550"/>
      <c r="G54" s="550" t="str">
        <f>IFERROR(VLOOKUP(F54,ISCO_Prevodnik!$A$10:$B$21,2,0),"")</f>
        <v/>
      </c>
      <c r="H54" s="550"/>
      <c r="I54" s="550" t="str">
        <f>IFERROR(VLOOKUP(H54,ISCO_Prevodnik!$E$10:$F$31,2,0),"")</f>
        <v/>
      </c>
      <c r="J54" s="623"/>
      <c r="K54" s="482">
        <f t="shared" ref="K54:K64" si="13">J54*$B$41*20</f>
        <v>0</v>
      </c>
      <c r="L54" s="489">
        <f t="shared" ref="L54:L64" si="14">IFERROR(VLOOKUP(F54,$Q$4:$R$30,2,0),0)</f>
        <v>0</v>
      </c>
      <c r="M54" s="484">
        <f t="shared" si="12"/>
        <v>0</v>
      </c>
    </row>
    <row r="55" spans="1:13">
      <c r="A55" s="366"/>
      <c r="B55" s="366"/>
      <c r="C55" s="366"/>
      <c r="D55" s="366"/>
      <c r="E55" s="366"/>
      <c r="F55" s="550"/>
      <c r="G55" s="550" t="str">
        <f>IFERROR(VLOOKUP(F55,ISCO_Prevodnik!$A$10:$B$21,2,0),"")</f>
        <v/>
      </c>
      <c r="H55" s="550"/>
      <c r="I55" s="550" t="str">
        <f>IFERROR(VLOOKUP(H55,ISCO_Prevodnik!$E$10:$F$31,2,0),"")</f>
        <v/>
      </c>
      <c r="J55" s="623"/>
      <c r="K55" s="482">
        <f t="shared" si="13"/>
        <v>0</v>
      </c>
      <c r="L55" s="489">
        <f t="shared" si="14"/>
        <v>0</v>
      </c>
      <c r="M55" s="484">
        <f t="shared" si="12"/>
        <v>0</v>
      </c>
    </row>
    <row r="56" spans="1:13">
      <c r="A56" s="366"/>
      <c r="B56" s="366"/>
      <c r="C56" s="366"/>
      <c r="D56" s="366"/>
      <c r="E56" s="366"/>
      <c r="F56" s="550"/>
      <c r="G56" s="550" t="str">
        <f>IFERROR(VLOOKUP(F56,ISCO_Prevodnik!$A$10:$B$21,2,0),"")</f>
        <v/>
      </c>
      <c r="H56" s="550"/>
      <c r="I56" s="550" t="str">
        <f>IFERROR(VLOOKUP(H56,ISCO_Prevodnik!$E$10:$F$31,2,0),"")</f>
        <v/>
      </c>
      <c r="J56" s="623"/>
      <c r="K56" s="482">
        <f t="shared" si="13"/>
        <v>0</v>
      </c>
      <c r="L56" s="489">
        <f t="shared" si="14"/>
        <v>0</v>
      </c>
      <c r="M56" s="484">
        <f t="shared" si="12"/>
        <v>0</v>
      </c>
    </row>
    <row r="57" spans="1:13">
      <c r="A57" s="366"/>
      <c r="B57" s="366"/>
      <c r="C57" s="366"/>
      <c r="D57" s="366"/>
      <c r="E57" s="366"/>
      <c r="F57" s="550"/>
      <c r="G57" s="550" t="str">
        <f>IFERROR(VLOOKUP(F57,ISCO_Prevodnik!$A$10:$B$21,2,0),"")</f>
        <v/>
      </c>
      <c r="H57" s="550"/>
      <c r="I57" s="550" t="str">
        <f>IFERROR(VLOOKUP(H57,ISCO_Prevodnik!$E$10:$F$31,2,0),"")</f>
        <v/>
      </c>
      <c r="J57" s="623"/>
      <c r="K57" s="482">
        <f t="shared" si="13"/>
        <v>0</v>
      </c>
      <c r="L57" s="489">
        <f t="shared" si="14"/>
        <v>0</v>
      </c>
      <c r="M57" s="484">
        <f t="shared" si="12"/>
        <v>0</v>
      </c>
    </row>
    <row r="58" spans="1:13">
      <c r="A58" s="366"/>
      <c r="B58" s="366"/>
      <c r="C58" s="366"/>
      <c r="D58" s="366"/>
      <c r="E58" s="366"/>
      <c r="F58" s="550"/>
      <c r="G58" s="550" t="str">
        <f>IFERROR(VLOOKUP(F58,ISCO_Prevodnik!$A$10:$B$21,2,0),"")</f>
        <v/>
      </c>
      <c r="H58" s="550"/>
      <c r="I58" s="550" t="str">
        <f>IFERROR(VLOOKUP(H58,ISCO_Prevodnik!$E$10:$F$31,2,0),"")</f>
        <v/>
      </c>
      <c r="J58" s="623"/>
      <c r="K58" s="482">
        <f t="shared" si="13"/>
        <v>0</v>
      </c>
      <c r="L58" s="489">
        <f t="shared" si="14"/>
        <v>0</v>
      </c>
      <c r="M58" s="484">
        <f t="shared" si="12"/>
        <v>0</v>
      </c>
    </row>
    <row r="59" spans="1:13">
      <c r="F59" s="550"/>
      <c r="G59" s="550" t="str">
        <f>IFERROR(VLOOKUP(F59,ISCO_Prevodnik!$A$10:$B$21,2,0),"")</f>
        <v/>
      </c>
      <c r="H59" s="550"/>
      <c r="I59" s="550" t="str">
        <f>IFERROR(VLOOKUP(H59,ISCO_Prevodnik!$E$10:$F$31,2,0),"")</f>
        <v/>
      </c>
      <c r="J59" s="623"/>
      <c r="K59" s="482">
        <f t="shared" si="13"/>
        <v>0</v>
      </c>
      <c r="L59" s="489">
        <f t="shared" si="14"/>
        <v>0</v>
      </c>
      <c r="M59" s="484">
        <f t="shared" ref="M59:M64" si="15">K59*L59</f>
        <v>0</v>
      </c>
    </row>
    <row r="60" spans="1:13">
      <c r="F60" s="550"/>
      <c r="G60" s="550" t="str">
        <f>IFERROR(VLOOKUP(F60,ISCO_Prevodnik!$A$10:$B$21,2,0),"")</f>
        <v/>
      </c>
      <c r="H60" s="550"/>
      <c r="I60" s="550" t="str">
        <f>IFERROR(VLOOKUP(H60,ISCO_Prevodnik!$E$10:$F$31,2,0),"")</f>
        <v/>
      </c>
      <c r="J60" s="623"/>
      <c r="K60" s="482">
        <f t="shared" si="13"/>
        <v>0</v>
      </c>
      <c r="L60" s="489">
        <f t="shared" si="14"/>
        <v>0</v>
      </c>
      <c r="M60" s="484">
        <f t="shared" si="15"/>
        <v>0</v>
      </c>
    </row>
    <row r="61" spans="1:13">
      <c r="F61" s="550"/>
      <c r="G61" s="550" t="str">
        <f>IFERROR(VLOOKUP(F61,ISCO_Prevodnik!$A$10:$B$21,2,0),"")</f>
        <v/>
      </c>
      <c r="H61" s="550"/>
      <c r="I61" s="550" t="str">
        <f>IFERROR(VLOOKUP(H61,ISCO_Prevodnik!$E$10:$F$31,2,0),"")</f>
        <v/>
      </c>
      <c r="J61" s="623"/>
      <c r="K61" s="482">
        <f t="shared" si="13"/>
        <v>0</v>
      </c>
      <c r="L61" s="489">
        <f t="shared" si="14"/>
        <v>0</v>
      </c>
      <c r="M61" s="484">
        <f t="shared" si="15"/>
        <v>0</v>
      </c>
    </row>
    <row r="62" spans="1:13">
      <c r="F62" s="550"/>
      <c r="G62" s="550" t="str">
        <f>IFERROR(VLOOKUP(F62,ISCO_Prevodnik!$A$10:$B$21,2,0),"")</f>
        <v/>
      </c>
      <c r="H62" s="550"/>
      <c r="I62" s="550" t="str">
        <f>IFERROR(VLOOKUP(H62,ISCO_Prevodnik!$E$10:$F$31,2,0),"")</f>
        <v/>
      </c>
      <c r="J62" s="623"/>
      <c r="K62" s="482">
        <f t="shared" si="13"/>
        <v>0</v>
      </c>
      <c r="L62" s="489">
        <f t="shared" si="14"/>
        <v>0</v>
      </c>
      <c r="M62" s="484">
        <f t="shared" si="15"/>
        <v>0</v>
      </c>
    </row>
    <row r="63" spans="1:13">
      <c r="F63" s="550"/>
      <c r="G63" s="550" t="str">
        <f>IFERROR(VLOOKUP(F63,ISCO_Prevodnik!$A$10:$B$21,2,0),"")</f>
        <v/>
      </c>
      <c r="H63" s="550"/>
      <c r="I63" s="550" t="str">
        <f>IFERROR(VLOOKUP(H63,ISCO_Prevodnik!$E$10:$F$31,2,0),"")</f>
        <v/>
      </c>
      <c r="J63" s="623"/>
      <c r="K63" s="482">
        <f t="shared" si="13"/>
        <v>0</v>
      </c>
      <c r="L63" s="489">
        <f t="shared" si="14"/>
        <v>0</v>
      </c>
      <c r="M63" s="484">
        <f t="shared" si="15"/>
        <v>0</v>
      </c>
    </row>
    <row r="64" spans="1:13">
      <c r="F64" s="550"/>
      <c r="G64" s="550" t="str">
        <f>IFERROR(VLOOKUP(F64,ISCO_Prevodnik!$A$10:$B$21,2,0),"")</f>
        <v/>
      </c>
      <c r="H64" s="550"/>
      <c r="I64" s="550" t="str">
        <f>IFERROR(VLOOKUP(H64,ISCO_Prevodnik!$E$10:$F$31,2,0),"")</f>
        <v/>
      </c>
      <c r="J64" s="623"/>
      <c r="K64" s="482">
        <f t="shared" si="13"/>
        <v>0</v>
      </c>
      <c r="L64" s="489">
        <f t="shared" si="14"/>
        <v>0</v>
      </c>
      <c r="M64" s="484">
        <f t="shared" si="15"/>
        <v>0</v>
      </c>
    </row>
  </sheetData>
  <mergeCells count="2">
    <mergeCell ref="F1:J1"/>
    <mergeCell ref="F2:J2"/>
  </mergeCells>
  <phoneticPr fontId="58" type="noConversion"/>
  <conditionalFormatting sqref="B4:C4 B16:C16 B28:C28">
    <cfRule type="expression" dxfId="14" priority="18">
      <formula>SUM($B$4,$B$16,$B$28)&lt;&gt;1</formula>
    </cfRule>
  </conditionalFormatting>
  <conditionalFormatting sqref="J4:J10">
    <cfRule type="expression" dxfId="13" priority="3">
      <formula>SUM($J$4:$J$15)&lt;&gt;1</formula>
    </cfRule>
  </conditionalFormatting>
  <conditionalFormatting sqref="J11:J15">
    <cfRule type="expression" dxfId="12" priority="21">
      <formula>SUM($J$4:$J$15)&lt;&gt;1</formula>
    </cfRule>
  </conditionalFormatting>
  <conditionalFormatting sqref="J16:J27">
    <cfRule type="expression" dxfId="11" priority="2">
      <formula>SUM($J$16:$J$27)&lt;&gt;1</formula>
    </cfRule>
  </conditionalFormatting>
  <conditionalFormatting sqref="J28:J39">
    <cfRule type="expression" dxfId="10" priority="1">
      <formula>SUM($J$28:$J$39)&lt;&gt;1</formula>
    </cfRule>
  </conditionalFormatting>
  <conditionalFormatting sqref="R4:R21">
    <cfRule type="expression" dxfId="9" priority="17">
      <formula>AND(ISNUMBER(S4),R4&gt;S4)</formula>
    </cfRule>
  </conditionalFormatting>
  <conditionalFormatting sqref="R16:R27">
    <cfRule type="expression" dxfId="8" priority="5">
      <formula>AND(ISNUMBER(S16),R16&gt;S16*1.2)</formula>
    </cfRule>
    <cfRule type="cellIs" dxfId="7" priority="42" operator="greaterThan">
      <formula>#REF!</formula>
    </cfRule>
  </conditionalFormatting>
  <conditionalFormatting sqref="W4:W27">
    <cfRule type="containsText" dxfId="6" priority="6" operator="containsText" text="OK">
      <formula>NOT(ISERROR(SEARCH("OK",W4)))</formula>
    </cfRule>
    <cfRule type="containsText" dxfId="5" priority="7" operator="containsText" text="NAD">
      <formula>NOT(ISERROR(SEARCH("NAD",W4)))</formula>
    </cfRule>
  </conditionalFormatting>
  <dataValidations count="8">
    <dataValidation type="decimal" allowBlank="1" showInputMessage="1" showErrorMessage="1" sqref="B4:C4 C16 C28">
      <formula1>0.1</formula1>
      <formula2>0.35</formula2>
    </dataValidation>
    <dataValidation type="decimal" allowBlank="1" showInputMessage="1" showErrorMessage="1" sqref="B16">
      <formula1>0.3</formula1>
      <formula2>0.8</formula2>
    </dataValidation>
    <dataValidation type="decimal" allowBlank="1" showInputMessage="1" showErrorMessage="1" sqref="B22:C22">
      <formula1>0.1</formula1>
      <formula2>0.25</formula2>
    </dataValidation>
    <dataValidation type="decimal" allowBlank="1" showInputMessage="1" showErrorMessage="1" sqref="B28">
      <formula1>0.15</formula1>
      <formula2>0.3</formula2>
    </dataValidation>
    <dataValidation type="list" allowBlank="1" showInputMessage="1" showErrorMessage="1" sqref="F4:F39">
      <formula1>Pozicia</formula1>
    </dataValidation>
    <dataValidation operator="lessThanOrEqual" allowBlank="1" showInputMessage="1" showErrorMessage="1" sqref="S4:S15"/>
    <dataValidation type="list" allowBlank="1" showInputMessage="1" showErrorMessage="1" sqref="F41:F64">
      <formula1>PozicieKomplet</formula1>
    </dataValidation>
    <dataValidation type="list" allowBlank="1" showInputMessage="1" showErrorMessage="1" sqref="H41:H64 H4:H39">
      <formula1>INDIRECT($G4)</formula1>
    </dataValidation>
  </dataValidations>
  <pageMargins left="0.7" right="0.7" top="0.75" bottom="0.75" header="0.3" footer="0.3"/>
  <pageSetup paperSize="9" orientation="portrait" horizontalDpi="4294967293"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30">
    <tabColor rgb="FF00B050"/>
  </sheetPr>
  <dimension ref="A1:W64"/>
  <sheetViews>
    <sheetView topLeftCell="C1" zoomScaleNormal="100" workbookViewId="0">
      <pane ySplit="3" topLeftCell="A4" activePane="bottomLeft" state="frozen"/>
      <selection activeCell="J3" sqref="J3:J11"/>
      <selection pane="bottomLeft" activeCell="I1" sqref="I1"/>
    </sheetView>
  </sheetViews>
  <sheetFormatPr defaultColWidth="8.85546875" defaultRowHeight="15"/>
  <cols>
    <col min="1" max="1" width="31.42578125" style="364" customWidth="1"/>
    <col min="2" max="3" width="10.5703125" style="364" customWidth="1"/>
    <col min="4" max="4" width="14.85546875" style="364" customWidth="1"/>
    <col min="5" max="5" width="34.5703125" style="364" bestFit="1" customWidth="1"/>
    <col min="6" max="6" width="9.42578125" style="364" bestFit="1" customWidth="1"/>
    <col min="7" max="7" width="15.42578125" style="364" bestFit="1" customWidth="1"/>
    <col min="8" max="8" width="10" style="364" customWidth="1"/>
    <col min="9" max="9" width="20.140625" style="364" customWidth="1"/>
    <col min="10" max="10" width="12.5703125" style="364" customWidth="1"/>
    <col min="11" max="11" width="9.42578125" style="364" bestFit="1" customWidth="1"/>
    <col min="12" max="12" width="8.85546875" style="364"/>
    <col min="13" max="13" width="43.140625" style="364" customWidth="1"/>
    <col min="14" max="14" width="11.42578125" style="364" customWidth="1"/>
    <col min="15" max="15" width="11.85546875" style="364" customWidth="1"/>
    <col min="16" max="16" width="13.42578125" style="364" customWidth="1"/>
    <col min="17" max="17" width="14.140625" style="364" customWidth="1"/>
    <col min="18" max="22" width="13.42578125" style="364" customWidth="1"/>
    <col min="23" max="23" width="20.140625" style="364" customWidth="1"/>
    <col min="24" max="16384" width="8.85546875" style="364"/>
  </cols>
  <sheetData>
    <row r="1" spans="1:23" ht="30">
      <c r="B1" s="502"/>
      <c r="C1" s="502"/>
      <c r="E1" s="859" t="s">
        <v>737</v>
      </c>
      <c r="F1" s="859"/>
      <c r="G1" s="625">
        <f>IFERROR(I1/AKTIVITY_POZICIE!M1/1.2,0)</f>
        <v>9.6552857903060549E-2</v>
      </c>
      <c r="I1" s="679">
        <f>SUM(I4:I39)</f>
        <v>740209.85600000003</v>
      </c>
      <c r="P1" s="634" t="s">
        <v>539</v>
      </c>
      <c r="Q1" s="636">
        <v>0.34949999999999998</v>
      </c>
      <c r="R1" s="598"/>
    </row>
    <row r="2" spans="1:23" ht="30">
      <c r="B2" s="502"/>
      <c r="C2" s="502"/>
      <c r="E2" s="860" t="s">
        <v>537</v>
      </c>
      <c r="F2" s="860"/>
      <c r="G2" s="440">
        <f>SUM(G4:G63)</f>
        <v>2976.8</v>
      </c>
      <c r="I2" s="675">
        <f>SUM(I4:I63)</f>
        <v>1370670.38992</v>
      </c>
      <c r="P2" s="635" t="s">
        <v>736</v>
      </c>
      <c r="Q2" s="637">
        <v>0</v>
      </c>
      <c r="R2" s="598"/>
    </row>
    <row r="3" spans="1:23" s="479" customFormat="1" ht="60">
      <c r="A3" s="477" t="s">
        <v>261</v>
      </c>
      <c r="B3" s="478" t="s">
        <v>432</v>
      </c>
      <c r="C3" s="478" t="s">
        <v>266</v>
      </c>
      <c r="D3" s="478" t="s">
        <v>417</v>
      </c>
      <c r="E3" s="478" t="s">
        <v>399</v>
      </c>
      <c r="F3" s="478" t="s">
        <v>676</v>
      </c>
      <c r="G3" s="478" t="s">
        <v>266</v>
      </c>
      <c r="H3" s="478" t="s">
        <v>540</v>
      </c>
      <c r="I3" s="478" t="s">
        <v>738</v>
      </c>
      <c r="M3" s="500" t="s">
        <v>767</v>
      </c>
      <c r="N3" s="500" t="s">
        <v>746</v>
      </c>
      <c r="O3" s="476" t="s">
        <v>429</v>
      </c>
      <c r="P3" s="476" t="s">
        <v>538</v>
      </c>
      <c r="Q3" s="476" t="s">
        <v>543</v>
      </c>
      <c r="R3" s="476" t="s">
        <v>541</v>
      </c>
      <c r="S3" s="499" t="s">
        <v>433</v>
      </c>
      <c r="T3" s="476" t="s">
        <v>442</v>
      </c>
      <c r="U3" s="499" t="s">
        <v>542</v>
      </c>
      <c r="V3" s="499" t="s">
        <v>419</v>
      </c>
      <c r="W3" s="476" t="s">
        <v>412</v>
      </c>
    </row>
    <row r="4" spans="1:23">
      <c r="A4" s="369" t="s">
        <v>262</v>
      </c>
      <c r="B4" s="554">
        <v>10</v>
      </c>
      <c r="C4" s="482">
        <f>SUM(G4:G15)</f>
        <v>960</v>
      </c>
      <c r="D4" s="483">
        <f>IFERROR(SUM(I4:I15)/C4,0)</f>
        <v>252.14500000000001</v>
      </c>
      <c r="E4" s="550" t="s">
        <v>741</v>
      </c>
      <c r="F4" s="551">
        <v>0.25</v>
      </c>
      <c r="G4" s="670">
        <f>IFERROR(VLOOKUP(E4,$M$4:$O$27,3,0)*F4*$B$4*20,)</f>
        <v>250</v>
      </c>
      <c r="H4" s="670">
        <f>IFERROR(VLOOKUP(E4,$M$4:$R$27,6,0),0)*8</f>
        <v>269.92</v>
      </c>
      <c r="I4" s="670">
        <f>G4*H4</f>
        <v>67480</v>
      </c>
      <c r="J4" s="506"/>
      <c r="M4" s="431" t="s">
        <v>424</v>
      </c>
      <c r="N4" s="431" t="s">
        <v>535</v>
      </c>
      <c r="O4" s="555">
        <v>1</v>
      </c>
      <c r="P4" s="597">
        <v>25</v>
      </c>
      <c r="Q4" s="599">
        <f>P4*(1+$Q$2)*$Q$1</f>
        <v>8.7374999999999989</v>
      </c>
      <c r="R4" s="599">
        <f>ROUND(P4+Q4+$Q$2*P4,2)</f>
        <v>33.74</v>
      </c>
      <c r="S4" s="431">
        <f>SUMIF($E$4:$E$63,M4,$G$4:$G$63)*8</f>
        <v>172.8</v>
      </c>
      <c r="T4" s="505">
        <f>SUMIF($E$4:$E$63,M4,$I$4:$I$63)</f>
        <v>5830.2720000000008</v>
      </c>
      <c r="U4" s="501">
        <f>IF(N4="hlavná",25,15)</f>
        <v>25</v>
      </c>
      <c r="V4" s="432">
        <f>IFERROR(S4/SUM($S$4:$S$27),)</f>
        <v>7.2561139478634776E-3</v>
      </c>
      <c r="W4" s="433"/>
    </row>
    <row r="5" spans="1:23">
      <c r="A5" s="366"/>
      <c r="B5" s="366"/>
      <c r="C5" s="366"/>
      <c r="D5" s="366"/>
      <c r="E5" s="550" t="s">
        <v>425</v>
      </c>
      <c r="F5" s="551">
        <v>0.25</v>
      </c>
      <c r="G5" s="670">
        <f t="shared" ref="G5:G15" si="0">IFERROR(VLOOKUP(E5,$M$4:$O$27,3,0)*F5*$B$4*20,)</f>
        <v>250</v>
      </c>
      <c r="H5" s="670">
        <f t="shared" ref="H5:H62" si="1">IFERROR(VLOOKUP(E5,$M$4:$R$27,6,0),0)*8</f>
        <v>248.32</v>
      </c>
      <c r="I5" s="670">
        <f>G5*H5</f>
        <v>62080</v>
      </c>
      <c r="J5" s="506"/>
      <c r="K5" s="506"/>
      <c r="M5" s="431" t="s">
        <v>743</v>
      </c>
      <c r="N5" s="431" t="s">
        <v>535</v>
      </c>
      <c r="O5" s="555">
        <v>6</v>
      </c>
      <c r="P5" s="597">
        <v>22</v>
      </c>
      <c r="Q5" s="599">
        <f t="shared" ref="Q5:Q27" si="2">P5*(1+$Q$2)*$Q$1</f>
        <v>7.6889999999999992</v>
      </c>
      <c r="R5" s="599">
        <f t="shared" ref="R5:R27" si="3">ROUND(P5+Q5+$Q$2*P5,2)</f>
        <v>29.69</v>
      </c>
      <c r="S5" s="431">
        <f t="shared" ref="S5:S27" si="4">SUMIF($E$4:$E$63,M5,$G$4:$G$63)*8</f>
        <v>10560.000000000002</v>
      </c>
      <c r="T5" s="505">
        <f t="shared" ref="T5:T27" si="5">SUMIF($E$4:$E$63,M5,$I$4:$I$63)</f>
        <v>313526.40000000008</v>
      </c>
      <c r="U5" s="501">
        <f t="shared" ref="U5:U25" si="6">IF(N5="hlavná",25,15)</f>
        <v>25</v>
      </c>
      <c r="V5" s="432">
        <f t="shared" ref="V5:V27" si="7">IFERROR(S5/SUM($S$4:$S$27),)</f>
        <v>0.44342918570276812</v>
      </c>
      <c r="W5" s="433"/>
    </row>
    <row r="6" spans="1:23">
      <c r="A6" s="366"/>
      <c r="B6" s="366"/>
      <c r="C6" s="366"/>
      <c r="D6" s="366"/>
      <c r="E6" s="550" t="s">
        <v>426</v>
      </c>
      <c r="F6" s="551">
        <v>0.15</v>
      </c>
      <c r="G6" s="670">
        <f t="shared" si="0"/>
        <v>90</v>
      </c>
      <c r="H6" s="670">
        <f t="shared" si="1"/>
        <v>269.92</v>
      </c>
      <c r="I6" s="670">
        <f t="shared" ref="I6:I33" si="8">G6*H6</f>
        <v>24292.800000000003</v>
      </c>
      <c r="M6" s="431" t="s">
        <v>741</v>
      </c>
      <c r="N6" s="431" t="s">
        <v>535</v>
      </c>
      <c r="O6" s="555">
        <v>5</v>
      </c>
      <c r="P6" s="597">
        <v>25</v>
      </c>
      <c r="Q6" s="599">
        <f t="shared" si="2"/>
        <v>8.7374999999999989</v>
      </c>
      <c r="R6" s="599">
        <f t="shared" si="3"/>
        <v>33.74</v>
      </c>
      <c r="S6" s="431">
        <f t="shared" si="4"/>
        <v>3600</v>
      </c>
      <c r="T6" s="505">
        <f t="shared" si="5"/>
        <v>121464</v>
      </c>
      <c r="U6" s="501">
        <f t="shared" si="6"/>
        <v>25</v>
      </c>
      <c r="V6" s="432">
        <f t="shared" si="7"/>
        <v>0.15116904058048911</v>
      </c>
      <c r="W6" s="433"/>
    </row>
    <row r="7" spans="1:23">
      <c r="A7" s="366"/>
      <c r="B7" s="366"/>
      <c r="C7" s="366"/>
      <c r="D7" s="366"/>
      <c r="E7" s="550" t="s">
        <v>743</v>
      </c>
      <c r="F7" s="551">
        <v>0.3</v>
      </c>
      <c r="G7" s="670">
        <f t="shared" si="0"/>
        <v>360</v>
      </c>
      <c r="H7" s="670">
        <f t="shared" si="1"/>
        <v>237.52</v>
      </c>
      <c r="I7" s="670">
        <f t="shared" si="8"/>
        <v>85507.199999999997</v>
      </c>
      <c r="M7" s="431" t="s">
        <v>425</v>
      </c>
      <c r="N7" s="431" t="s">
        <v>535</v>
      </c>
      <c r="O7" s="555">
        <v>5</v>
      </c>
      <c r="P7" s="597">
        <v>23</v>
      </c>
      <c r="Q7" s="599">
        <f t="shared" si="2"/>
        <v>8.0384999999999991</v>
      </c>
      <c r="R7" s="599">
        <f t="shared" si="3"/>
        <v>31.04</v>
      </c>
      <c r="S7" s="431">
        <f t="shared" si="4"/>
        <v>7600</v>
      </c>
      <c r="T7" s="505">
        <f t="shared" si="5"/>
        <v>235904</v>
      </c>
      <c r="U7" s="501">
        <f t="shared" si="6"/>
        <v>25</v>
      </c>
      <c r="V7" s="432">
        <f t="shared" si="7"/>
        <v>0.31913464122547702</v>
      </c>
      <c r="W7" s="433"/>
    </row>
    <row r="8" spans="1:23">
      <c r="A8" s="366"/>
      <c r="B8" s="366"/>
      <c r="C8" s="366"/>
      <c r="D8" s="366"/>
      <c r="E8" s="550" t="s">
        <v>424</v>
      </c>
      <c r="F8" s="551">
        <v>0.05</v>
      </c>
      <c r="G8" s="670">
        <f t="shared" si="0"/>
        <v>10</v>
      </c>
      <c r="H8" s="670">
        <f t="shared" si="1"/>
        <v>269.92</v>
      </c>
      <c r="I8" s="670">
        <f t="shared" si="8"/>
        <v>2699.2000000000003</v>
      </c>
      <c r="M8" s="431" t="s">
        <v>426</v>
      </c>
      <c r="N8" s="431" t="s">
        <v>535</v>
      </c>
      <c r="O8" s="555">
        <v>3</v>
      </c>
      <c r="P8" s="597">
        <v>25</v>
      </c>
      <c r="Q8" s="599">
        <f t="shared" si="2"/>
        <v>8.7374999999999989</v>
      </c>
      <c r="R8" s="599">
        <f t="shared" si="3"/>
        <v>33.74</v>
      </c>
      <c r="S8" s="431">
        <f t="shared" si="4"/>
        <v>1881.6</v>
      </c>
      <c r="T8" s="505">
        <f t="shared" si="5"/>
        <v>63485.184000000008</v>
      </c>
      <c r="U8" s="501">
        <f t="shared" si="6"/>
        <v>25</v>
      </c>
      <c r="V8" s="432">
        <f t="shared" si="7"/>
        <v>7.9011018543402298E-2</v>
      </c>
      <c r="W8" s="433"/>
    </row>
    <row r="9" spans="1:23">
      <c r="A9" s="366"/>
      <c r="B9" s="366"/>
      <c r="C9" s="366"/>
      <c r="D9" s="366"/>
      <c r="E9" s="550"/>
      <c r="F9" s="551"/>
      <c r="G9" s="482">
        <f t="shared" si="0"/>
        <v>0</v>
      </c>
      <c r="H9" s="489">
        <f t="shared" si="1"/>
        <v>0</v>
      </c>
      <c r="I9" s="484">
        <f t="shared" ref="I9:I15" si="9">G9*H9</f>
        <v>0</v>
      </c>
      <c r="M9" s="431" t="s">
        <v>427</v>
      </c>
      <c r="N9" s="431" t="s">
        <v>535</v>
      </c>
      <c r="O9" s="555"/>
      <c r="P9" s="597">
        <v>20</v>
      </c>
      <c r="Q9" s="599">
        <f t="shared" si="2"/>
        <v>6.9899999999999993</v>
      </c>
      <c r="R9" s="599">
        <f t="shared" si="3"/>
        <v>26.99</v>
      </c>
      <c r="S9" s="431">
        <f t="shared" si="4"/>
        <v>0</v>
      </c>
      <c r="T9" s="505">
        <f t="shared" si="5"/>
        <v>0</v>
      </c>
      <c r="U9" s="501">
        <f t="shared" si="6"/>
        <v>25</v>
      </c>
      <c r="V9" s="432">
        <f t="shared" si="7"/>
        <v>0</v>
      </c>
      <c r="W9" s="433"/>
    </row>
    <row r="10" spans="1:23">
      <c r="A10" s="366"/>
      <c r="B10" s="366"/>
      <c r="C10" s="366"/>
      <c r="D10" s="366"/>
      <c r="E10" s="550"/>
      <c r="F10" s="551"/>
      <c r="G10" s="482">
        <f t="shared" si="0"/>
        <v>0</v>
      </c>
      <c r="H10" s="489">
        <f t="shared" si="1"/>
        <v>0</v>
      </c>
      <c r="I10" s="484">
        <f t="shared" si="9"/>
        <v>0</v>
      </c>
      <c r="M10" s="431" t="s">
        <v>428</v>
      </c>
      <c r="N10" s="431" t="s">
        <v>535</v>
      </c>
      <c r="O10" s="555">
        <v>2</v>
      </c>
      <c r="P10" s="597">
        <v>20</v>
      </c>
      <c r="Q10" s="599">
        <f t="shared" si="2"/>
        <v>6.9899999999999993</v>
      </c>
      <c r="R10" s="599">
        <f t="shared" si="3"/>
        <v>26.99</v>
      </c>
      <c r="S10" s="431">
        <f t="shared" si="4"/>
        <v>0</v>
      </c>
      <c r="T10" s="505">
        <f t="shared" si="5"/>
        <v>0</v>
      </c>
      <c r="U10" s="501">
        <f t="shared" si="6"/>
        <v>25</v>
      </c>
      <c r="V10" s="432">
        <f t="shared" si="7"/>
        <v>0</v>
      </c>
      <c r="W10" s="433"/>
    </row>
    <row r="11" spans="1:23">
      <c r="A11" s="366"/>
      <c r="B11" s="366"/>
      <c r="C11" s="366"/>
      <c r="D11" s="366"/>
      <c r="E11" s="550"/>
      <c r="F11" s="551"/>
      <c r="G11" s="482">
        <f t="shared" si="0"/>
        <v>0</v>
      </c>
      <c r="H11" s="489">
        <f t="shared" si="1"/>
        <v>0</v>
      </c>
      <c r="I11" s="484">
        <f t="shared" si="9"/>
        <v>0</v>
      </c>
      <c r="M11" s="431" t="s">
        <v>430</v>
      </c>
      <c r="N11" s="431" t="s">
        <v>536</v>
      </c>
      <c r="O11" s="555">
        <v>1</v>
      </c>
      <c r="P11" s="597">
        <v>15</v>
      </c>
      <c r="Q11" s="599">
        <f t="shared" si="2"/>
        <v>5.2424999999999997</v>
      </c>
      <c r="R11" s="599">
        <f t="shared" si="3"/>
        <v>20.239999999999998</v>
      </c>
      <c r="S11" s="431">
        <f t="shared" si="4"/>
        <v>0</v>
      </c>
      <c r="T11" s="505">
        <f t="shared" si="5"/>
        <v>0</v>
      </c>
      <c r="U11" s="501">
        <f t="shared" si="6"/>
        <v>15</v>
      </c>
      <c r="V11" s="432">
        <f t="shared" si="7"/>
        <v>0</v>
      </c>
      <c r="W11" s="433"/>
    </row>
    <row r="12" spans="1:23">
      <c r="A12" s="366"/>
      <c r="B12" s="366"/>
      <c r="C12" s="366"/>
      <c r="D12" s="366"/>
      <c r="E12" s="550"/>
      <c r="F12" s="551"/>
      <c r="G12" s="482">
        <f t="shared" si="0"/>
        <v>0</v>
      </c>
      <c r="H12" s="489">
        <f t="shared" si="1"/>
        <v>0</v>
      </c>
      <c r="I12" s="484">
        <f t="shared" si="9"/>
        <v>0</v>
      </c>
      <c r="M12" s="431" t="s">
        <v>434</v>
      </c>
      <c r="N12" s="431" t="s">
        <v>535</v>
      </c>
      <c r="O12" s="555">
        <v>3</v>
      </c>
      <c r="P12" s="597">
        <v>15</v>
      </c>
      <c r="Q12" s="599">
        <f t="shared" si="2"/>
        <v>5.2424999999999997</v>
      </c>
      <c r="R12" s="599">
        <f t="shared" si="3"/>
        <v>20.239999999999998</v>
      </c>
      <c r="S12" s="431">
        <f t="shared" si="4"/>
        <v>0</v>
      </c>
      <c r="T12" s="505">
        <f t="shared" si="5"/>
        <v>0</v>
      </c>
      <c r="U12" s="501">
        <f t="shared" si="6"/>
        <v>25</v>
      </c>
      <c r="V12" s="432">
        <f t="shared" si="7"/>
        <v>0</v>
      </c>
      <c r="W12" s="433"/>
    </row>
    <row r="13" spans="1:23">
      <c r="A13" s="366"/>
      <c r="B13" s="366"/>
      <c r="C13" s="366"/>
      <c r="D13" s="366"/>
      <c r="E13" s="550"/>
      <c r="F13" s="551"/>
      <c r="G13" s="482">
        <f t="shared" si="0"/>
        <v>0</v>
      </c>
      <c r="H13" s="489">
        <f t="shared" si="1"/>
        <v>0</v>
      </c>
      <c r="I13" s="484">
        <f t="shared" si="9"/>
        <v>0</v>
      </c>
      <c r="M13" s="431" t="s">
        <v>435</v>
      </c>
      <c r="N13" s="431" t="s">
        <v>535</v>
      </c>
      <c r="O13" s="555">
        <v>1</v>
      </c>
      <c r="P13" s="597">
        <v>20</v>
      </c>
      <c r="Q13" s="599">
        <f t="shared" si="2"/>
        <v>6.9899999999999993</v>
      </c>
      <c r="R13" s="599">
        <f t="shared" si="3"/>
        <v>26.99</v>
      </c>
      <c r="S13" s="431">
        <f t="shared" si="4"/>
        <v>0</v>
      </c>
      <c r="T13" s="505">
        <f t="shared" si="5"/>
        <v>0</v>
      </c>
      <c r="U13" s="501">
        <f t="shared" si="6"/>
        <v>25</v>
      </c>
      <c r="V13" s="432">
        <f t="shared" si="7"/>
        <v>0</v>
      </c>
      <c r="W13" s="433"/>
    </row>
    <row r="14" spans="1:23">
      <c r="A14" s="366"/>
      <c r="B14" s="366"/>
      <c r="C14" s="366"/>
      <c r="D14" s="366"/>
      <c r="E14" s="550"/>
      <c r="F14" s="551"/>
      <c r="G14" s="482">
        <f t="shared" si="0"/>
        <v>0</v>
      </c>
      <c r="H14" s="489">
        <f t="shared" si="1"/>
        <v>0</v>
      </c>
      <c r="I14" s="484">
        <f t="shared" si="9"/>
        <v>0</v>
      </c>
      <c r="M14" s="431" t="s">
        <v>431</v>
      </c>
      <c r="N14" s="431" t="s">
        <v>536</v>
      </c>
      <c r="O14" s="555">
        <v>1</v>
      </c>
      <c r="P14" s="597">
        <v>15</v>
      </c>
      <c r="Q14" s="599">
        <f t="shared" si="2"/>
        <v>5.2424999999999997</v>
      </c>
      <c r="R14" s="599">
        <f t="shared" si="3"/>
        <v>20.239999999999998</v>
      </c>
      <c r="S14" s="431">
        <f t="shared" si="4"/>
        <v>0</v>
      </c>
      <c r="T14" s="505">
        <f t="shared" si="5"/>
        <v>0</v>
      </c>
      <c r="U14" s="501">
        <f t="shared" si="6"/>
        <v>15</v>
      </c>
      <c r="V14" s="432">
        <f t="shared" si="7"/>
        <v>0</v>
      </c>
      <c r="W14" s="433"/>
    </row>
    <row r="15" spans="1:23">
      <c r="A15" s="366"/>
      <c r="B15" s="366"/>
      <c r="C15" s="366"/>
      <c r="D15" s="366"/>
      <c r="E15" s="550"/>
      <c r="F15" s="551"/>
      <c r="G15" s="482">
        <f t="shared" si="0"/>
        <v>0</v>
      </c>
      <c r="H15" s="489">
        <f t="shared" si="1"/>
        <v>0</v>
      </c>
      <c r="I15" s="484">
        <f t="shared" si="9"/>
        <v>0</v>
      </c>
      <c r="M15" s="431" t="s">
        <v>742</v>
      </c>
      <c r="N15" s="431" t="s">
        <v>535</v>
      </c>
      <c r="O15" s="555">
        <v>1</v>
      </c>
      <c r="P15" s="597"/>
      <c r="Q15" s="599">
        <f t="shared" si="2"/>
        <v>0</v>
      </c>
      <c r="R15" s="599">
        <f t="shared" si="3"/>
        <v>0</v>
      </c>
      <c r="S15" s="431">
        <f t="shared" si="4"/>
        <v>0</v>
      </c>
      <c r="T15" s="505">
        <f t="shared" si="5"/>
        <v>0</v>
      </c>
      <c r="U15" s="501">
        <f t="shared" si="6"/>
        <v>25</v>
      </c>
      <c r="V15" s="432">
        <f t="shared" si="7"/>
        <v>0</v>
      </c>
      <c r="W15" s="433"/>
    </row>
    <row r="16" spans="1:23">
      <c r="A16" s="369" t="s">
        <v>544</v>
      </c>
      <c r="B16" s="554">
        <v>14</v>
      </c>
      <c r="C16" s="482">
        <f>SUM(G16:G27)</f>
        <v>1416.8000000000002</v>
      </c>
      <c r="D16" s="483">
        <f>IFERROR(SUM(I16:I27)/C16,0)</f>
        <v>247.08205533596842</v>
      </c>
      <c r="E16" s="550" t="s">
        <v>741</v>
      </c>
      <c r="F16" s="551">
        <v>0.1</v>
      </c>
      <c r="G16" s="482">
        <f>IFERROR(VLOOKUP(E16,$M$4:$O$27,3,0)*F16*$B$16*20,)</f>
        <v>140</v>
      </c>
      <c r="H16" s="489">
        <f t="shared" si="1"/>
        <v>269.92</v>
      </c>
      <c r="I16" s="484">
        <f t="shared" si="8"/>
        <v>37788.800000000003</v>
      </c>
      <c r="M16" s="431" t="s">
        <v>436</v>
      </c>
      <c r="N16" s="431" t="s">
        <v>536</v>
      </c>
      <c r="O16" s="555">
        <v>1</v>
      </c>
      <c r="P16" s="597">
        <v>15</v>
      </c>
      <c r="Q16" s="599">
        <f t="shared" si="2"/>
        <v>5.2424999999999997</v>
      </c>
      <c r="R16" s="599">
        <f t="shared" si="3"/>
        <v>20.239999999999998</v>
      </c>
      <c r="S16" s="431">
        <f t="shared" si="4"/>
        <v>0</v>
      </c>
      <c r="T16" s="505">
        <f t="shared" si="5"/>
        <v>0</v>
      </c>
      <c r="U16" s="501">
        <f t="shared" si="6"/>
        <v>15</v>
      </c>
      <c r="V16" s="432">
        <f t="shared" si="7"/>
        <v>0</v>
      </c>
      <c r="W16" s="433"/>
    </row>
    <row r="17" spans="1:23">
      <c r="A17" s="366"/>
      <c r="B17" s="366"/>
      <c r="C17" s="366"/>
      <c r="D17" s="366"/>
      <c r="E17" s="550" t="s">
        <v>425</v>
      </c>
      <c r="F17" s="551">
        <v>0.35</v>
      </c>
      <c r="G17" s="482">
        <f t="shared" ref="G17:G27" si="10">IFERROR(VLOOKUP(E17,$M$4:$O$27,3,0)*F17*$B$16*20,)</f>
        <v>490</v>
      </c>
      <c r="H17" s="489">
        <f t="shared" si="1"/>
        <v>248.32</v>
      </c>
      <c r="I17" s="484">
        <f t="shared" si="8"/>
        <v>121676.8</v>
      </c>
      <c r="M17" s="431" t="s">
        <v>744</v>
      </c>
      <c r="N17" s="431" t="s">
        <v>536</v>
      </c>
      <c r="O17" s="555">
        <v>1</v>
      </c>
      <c r="P17" s="597">
        <v>15</v>
      </c>
      <c r="Q17" s="599">
        <f t="shared" si="2"/>
        <v>5.2424999999999997</v>
      </c>
      <c r="R17" s="599">
        <f t="shared" si="3"/>
        <v>20.239999999999998</v>
      </c>
      <c r="S17" s="431">
        <f t="shared" si="4"/>
        <v>0</v>
      </c>
      <c r="T17" s="505">
        <f t="shared" si="5"/>
        <v>0</v>
      </c>
      <c r="U17" s="501">
        <f t="shared" si="6"/>
        <v>15</v>
      </c>
      <c r="V17" s="432">
        <f t="shared" si="7"/>
        <v>0</v>
      </c>
      <c r="W17" s="433"/>
    </row>
    <row r="18" spans="1:23">
      <c r="A18" s="366"/>
      <c r="B18" s="366"/>
      <c r="C18" s="366"/>
      <c r="D18" s="366"/>
      <c r="E18" s="550" t="s">
        <v>426</v>
      </c>
      <c r="F18" s="551">
        <v>0.13</v>
      </c>
      <c r="G18" s="482">
        <f t="shared" si="10"/>
        <v>109.2</v>
      </c>
      <c r="H18" s="489">
        <f t="shared" si="1"/>
        <v>269.92</v>
      </c>
      <c r="I18" s="484">
        <f t="shared" si="8"/>
        <v>29475.264000000003</v>
      </c>
      <c r="M18" s="431" t="s">
        <v>745</v>
      </c>
      <c r="N18" s="431" t="s">
        <v>535</v>
      </c>
      <c r="O18" s="555"/>
      <c r="P18" s="597"/>
      <c r="Q18" s="599">
        <f t="shared" si="2"/>
        <v>0</v>
      </c>
      <c r="R18" s="599">
        <f t="shared" si="3"/>
        <v>0</v>
      </c>
      <c r="S18" s="431">
        <f t="shared" si="4"/>
        <v>0</v>
      </c>
      <c r="T18" s="505">
        <f t="shared" si="5"/>
        <v>0</v>
      </c>
      <c r="U18" s="501">
        <f t="shared" si="6"/>
        <v>25</v>
      </c>
      <c r="V18" s="432">
        <f t="shared" si="7"/>
        <v>0</v>
      </c>
      <c r="W18" s="433"/>
    </row>
    <row r="19" spans="1:23">
      <c r="A19" s="366"/>
      <c r="B19" s="366"/>
      <c r="C19" s="366"/>
      <c r="D19" s="366"/>
      <c r="E19" s="550" t="s">
        <v>743</v>
      </c>
      <c r="F19" s="551">
        <v>0.4</v>
      </c>
      <c r="G19" s="482">
        <f t="shared" si="10"/>
        <v>672.00000000000023</v>
      </c>
      <c r="H19" s="489">
        <f t="shared" si="1"/>
        <v>237.52</v>
      </c>
      <c r="I19" s="484">
        <f t="shared" si="8"/>
        <v>159613.44000000006</v>
      </c>
      <c r="M19" s="431" t="s">
        <v>689</v>
      </c>
      <c r="N19" s="431" t="s">
        <v>535</v>
      </c>
      <c r="O19" s="555"/>
      <c r="P19" s="597"/>
      <c r="Q19" s="599">
        <f t="shared" si="2"/>
        <v>0</v>
      </c>
      <c r="R19" s="599">
        <f t="shared" si="3"/>
        <v>0</v>
      </c>
      <c r="S19" s="431">
        <f t="shared" si="4"/>
        <v>0</v>
      </c>
      <c r="T19" s="505">
        <f t="shared" si="5"/>
        <v>0</v>
      </c>
      <c r="U19" s="501">
        <f t="shared" si="6"/>
        <v>25</v>
      </c>
      <c r="V19" s="432">
        <f t="shared" si="7"/>
        <v>0</v>
      </c>
      <c r="W19" s="433"/>
    </row>
    <row r="20" spans="1:23">
      <c r="A20" s="366"/>
      <c r="B20" s="366"/>
      <c r="C20" s="366"/>
      <c r="D20" s="366"/>
      <c r="E20" s="550" t="s">
        <v>424</v>
      </c>
      <c r="F20" s="551">
        <v>0.02</v>
      </c>
      <c r="G20" s="482">
        <f t="shared" si="10"/>
        <v>5.6000000000000005</v>
      </c>
      <c r="H20" s="489">
        <f t="shared" si="1"/>
        <v>269.92</v>
      </c>
      <c r="I20" s="484">
        <f t="shared" si="8"/>
        <v>1511.5520000000001</v>
      </c>
      <c r="M20" s="431" t="s">
        <v>680</v>
      </c>
      <c r="N20" s="431" t="s">
        <v>536</v>
      </c>
      <c r="O20" s="555">
        <v>1</v>
      </c>
      <c r="P20" s="597">
        <v>15</v>
      </c>
      <c r="Q20" s="599">
        <f t="shared" si="2"/>
        <v>5.2424999999999997</v>
      </c>
      <c r="R20" s="599">
        <f t="shared" si="3"/>
        <v>20.239999999999998</v>
      </c>
      <c r="S20" s="431">
        <f t="shared" si="4"/>
        <v>0</v>
      </c>
      <c r="T20" s="505">
        <f t="shared" si="5"/>
        <v>0</v>
      </c>
      <c r="U20" s="501">
        <f t="shared" si="6"/>
        <v>15</v>
      </c>
      <c r="V20" s="432">
        <f t="shared" si="7"/>
        <v>0</v>
      </c>
      <c r="W20" s="433"/>
    </row>
    <row r="21" spans="1:23">
      <c r="A21" s="366"/>
      <c r="B21" s="366"/>
      <c r="C21" s="366"/>
      <c r="D21" s="366"/>
      <c r="E21" s="550"/>
      <c r="F21" s="551"/>
      <c r="G21" s="482">
        <f t="shared" si="10"/>
        <v>0</v>
      </c>
      <c r="H21" s="489">
        <f t="shared" si="1"/>
        <v>0</v>
      </c>
      <c r="I21" s="484">
        <f t="shared" si="8"/>
        <v>0</v>
      </c>
      <c r="M21" s="556" t="s">
        <v>747</v>
      </c>
      <c r="N21" s="556" t="s">
        <v>536</v>
      </c>
      <c r="O21" s="555"/>
      <c r="P21" s="597"/>
      <c r="Q21" s="599">
        <f t="shared" si="2"/>
        <v>0</v>
      </c>
      <c r="R21" s="599">
        <f t="shared" si="3"/>
        <v>0</v>
      </c>
      <c r="S21" s="431">
        <f t="shared" si="4"/>
        <v>0</v>
      </c>
      <c r="T21" s="505">
        <f t="shared" si="5"/>
        <v>0</v>
      </c>
      <c r="U21" s="501">
        <f t="shared" si="6"/>
        <v>15</v>
      </c>
      <c r="V21" s="432">
        <f t="shared" si="7"/>
        <v>0</v>
      </c>
      <c r="W21" s="433"/>
    </row>
    <row r="22" spans="1:23">
      <c r="A22" s="366"/>
      <c r="B22" s="601"/>
      <c r="C22" s="601"/>
      <c r="D22" s="602"/>
      <c r="E22" s="550"/>
      <c r="F22" s="551"/>
      <c r="G22" s="482">
        <f t="shared" si="10"/>
        <v>0</v>
      </c>
      <c r="H22" s="489">
        <f t="shared" si="1"/>
        <v>0</v>
      </c>
      <c r="I22" s="484">
        <f t="shared" si="8"/>
        <v>0</v>
      </c>
      <c r="M22" s="556"/>
      <c r="N22" s="556"/>
      <c r="O22" s="555"/>
      <c r="P22" s="597"/>
      <c r="Q22" s="599">
        <f t="shared" si="2"/>
        <v>0</v>
      </c>
      <c r="R22" s="599">
        <f t="shared" si="3"/>
        <v>0</v>
      </c>
      <c r="S22" s="431">
        <f t="shared" si="4"/>
        <v>0</v>
      </c>
      <c r="T22" s="505">
        <f t="shared" si="5"/>
        <v>0</v>
      </c>
      <c r="U22" s="501">
        <f t="shared" si="6"/>
        <v>15</v>
      </c>
      <c r="V22" s="432">
        <f t="shared" si="7"/>
        <v>0</v>
      </c>
      <c r="W22" s="433"/>
    </row>
    <row r="23" spans="1:23">
      <c r="A23" s="366"/>
      <c r="B23" s="366"/>
      <c r="C23" s="366"/>
      <c r="D23" s="366"/>
      <c r="E23" s="550"/>
      <c r="F23" s="551"/>
      <c r="G23" s="482">
        <f t="shared" si="10"/>
        <v>0</v>
      </c>
      <c r="H23" s="489">
        <f t="shared" si="1"/>
        <v>0</v>
      </c>
      <c r="I23" s="484">
        <f t="shared" si="8"/>
        <v>0</v>
      </c>
      <c r="M23" s="556"/>
      <c r="N23" s="556"/>
      <c r="O23" s="555"/>
      <c r="P23" s="597"/>
      <c r="Q23" s="599">
        <f t="shared" si="2"/>
        <v>0</v>
      </c>
      <c r="R23" s="599">
        <f t="shared" si="3"/>
        <v>0</v>
      </c>
      <c r="S23" s="431">
        <f t="shared" si="4"/>
        <v>0</v>
      </c>
      <c r="T23" s="505">
        <f t="shared" si="5"/>
        <v>0</v>
      </c>
      <c r="U23" s="501">
        <f t="shared" si="6"/>
        <v>15</v>
      </c>
      <c r="V23" s="432">
        <f t="shared" si="7"/>
        <v>0</v>
      </c>
      <c r="W23" s="433"/>
    </row>
    <row r="24" spans="1:23">
      <c r="A24" s="366"/>
      <c r="B24" s="366"/>
      <c r="C24" s="366"/>
      <c r="D24" s="366"/>
      <c r="E24" s="550"/>
      <c r="F24" s="551"/>
      <c r="G24" s="482">
        <f t="shared" si="10"/>
        <v>0</v>
      </c>
      <c r="H24" s="489">
        <f t="shared" si="1"/>
        <v>0</v>
      </c>
      <c r="I24" s="484">
        <f t="shared" si="8"/>
        <v>0</v>
      </c>
      <c r="M24" s="556"/>
      <c r="N24" s="556"/>
      <c r="O24" s="555"/>
      <c r="P24" s="597"/>
      <c r="Q24" s="599">
        <f t="shared" si="2"/>
        <v>0</v>
      </c>
      <c r="R24" s="599">
        <f t="shared" si="3"/>
        <v>0</v>
      </c>
      <c r="S24" s="431">
        <f t="shared" si="4"/>
        <v>0</v>
      </c>
      <c r="T24" s="505">
        <f t="shared" si="5"/>
        <v>0</v>
      </c>
      <c r="U24" s="501">
        <f t="shared" si="6"/>
        <v>15</v>
      </c>
      <c r="V24" s="432">
        <f t="shared" si="7"/>
        <v>0</v>
      </c>
      <c r="W24" s="433"/>
    </row>
    <row r="25" spans="1:23">
      <c r="A25" s="366"/>
      <c r="B25" s="366"/>
      <c r="C25" s="366"/>
      <c r="D25" s="366"/>
      <c r="E25" s="550"/>
      <c r="F25" s="551"/>
      <c r="G25" s="482">
        <f t="shared" si="10"/>
        <v>0</v>
      </c>
      <c r="H25" s="489">
        <f t="shared" si="1"/>
        <v>0</v>
      </c>
      <c r="I25" s="484">
        <f t="shared" si="8"/>
        <v>0</v>
      </c>
      <c r="M25" s="556"/>
      <c r="N25" s="556"/>
      <c r="O25" s="555"/>
      <c r="P25" s="597"/>
      <c r="Q25" s="599">
        <f t="shared" si="2"/>
        <v>0</v>
      </c>
      <c r="R25" s="599">
        <f t="shared" si="3"/>
        <v>0</v>
      </c>
      <c r="S25" s="431">
        <f t="shared" si="4"/>
        <v>0</v>
      </c>
      <c r="T25" s="505">
        <f t="shared" si="5"/>
        <v>0</v>
      </c>
      <c r="U25" s="501">
        <f t="shared" si="6"/>
        <v>15</v>
      </c>
      <c r="V25" s="432">
        <f t="shared" si="7"/>
        <v>0</v>
      </c>
      <c r="W25" s="433"/>
    </row>
    <row r="26" spans="1:23">
      <c r="A26" s="366"/>
      <c r="B26" s="366"/>
      <c r="C26" s="366"/>
      <c r="D26" s="366"/>
      <c r="E26" s="550"/>
      <c r="F26" s="551"/>
      <c r="G26" s="482">
        <f t="shared" si="10"/>
        <v>0</v>
      </c>
      <c r="H26" s="489">
        <f t="shared" si="1"/>
        <v>0</v>
      </c>
      <c r="I26" s="484">
        <f t="shared" si="8"/>
        <v>0</v>
      </c>
      <c r="M26" s="556"/>
      <c r="N26" s="556"/>
      <c r="O26" s="555"/>
      <c r="P26" s="597"/>
      <c r="Q26" s="599">
        <f t="shared" si="2"/>
        <v>0</v>
      </c>
      <c r="R26" s="599">
        <f t="shared" si="3"/>
        <v>0</v>
      </c>
      <c r="S26" s="431">
        <f t="shared" si="4"/>
        <v>0</v>
      </c>
      <c r="T26" s="505">
        <f t="shared" si="5"/>
        <v>0</v>
      </c>
      <c r="U26" s="501">
        <f t="shared" ref="U26:U27" si="11">IF(N26="hlavná",25,15)</f>
        <v>15</v>
      </c>
      <c r="V26" s="432">
        <f t="shared" si="7"/>
        <v>0</v>
      </c>
      <c r="W26" s="433"/>
    </row>
    <row r="27" spans="1:23">
      <c r="A27" s="366"/>
      <c r="B27" s="366"/>
      <c r="C27" s="366"/>
      <c r="D27" s="366"/>
      <c r="E27" s="550"/>
      <c r="F27" s="551"/>
      <c r="G27" s="482">
        <f t="shared" si="10"/>
        <v>0</v>
      </c>
      <c r="H27" s="489">
        <f t="shared" si="1"/>
        <v>0</v>
      </c>
      <c r="I27" s="484">
        <f t="shared" si="8"/>
        <v>0</v>
      </c>
      <c r="M27" s="556"/>
      <c r="N27" s="556"/>
      <c r="O27" s="555"/>
      <c r="P27" s="597"/>
      <c r="Q27" s="599">
        <f t="shared" si="2"/>
        <v>0</v>
      </c>
      <c r="R27" s="599">
        <f t="shared" si="3"/>
        <v>0</v>
      </c>
      <c r="S27" s="431">
        <f t="shared" si="4"/>
        <v>0</v>
      </c>
      <c r="T27" s="505">
        <f t="shared" si="5"/>
        <v>0</v>
      </c>
      <c r="U27" s="501">
        <f t="shared" si="11"/>
        <v>15</v>
      </c>
      <c r="V27" s="432">
        <f t="shared" si="7"/>
        <v>0</v>
      </c>
      <c r="W27" s="433"/>
    </row>
    <row r="28" spans="1:23">
      <c r="A28" s="369" t="s">
        <v>263</v>
      </c>
      <c r="B28" s="554">
        <v>6</v>
      </c>
      <c r="C28" s="482">
        <f>SUM(G28:G39)</f>
        <v>600</v>
      </c>
      <c r="D28" s="483">
        <f>IFERROR(SUM(I28:I39)/C28,0)</f>
        <v>246.80799999999999</v>
      </c>
      <c r="E28" s="550" t="s">
        <v>741</v>
      </c>
      <c r="F28" s="551">
        <v>0.1</v>
      </c>
      <c r="G28" s="482">
        <f>IFERROR(VLOOKUP(E28,$M$4:$O$27,3,0)*F28*$B$28*20,)</f>
        <v>60</v>
      </c>
      <c r="H28" s="489">
        <f t="shared" si="1"/>
        <v>269.92</v>
      </c>
      <c r="I28" s="484">
        <f t="shared" si="8"/>
        <v>16195.2</v>
      </c>
    </row>
    <row r="29" spans="1:23">
      <c r="A29" s="366"/>
      <c r="B29" s="366"/>
      <c r="C29" s="366"/>
      <c r="D29" s="366"/>
      <c r="E29" s="550" t="s">
        <v>425</v>
      </c>
      <c r="F29" s="551">
        <v>0.35</v>
      </c>
      <c r="G29" s="482">
        <f t="shared" ref="G29:G39" si="12">IFERROR(VLOOKUP(E29,$M$4:$O$27,3,0)*F29*$B$28*20,)</f>
        <v>210</v>
      </c>
      <c r="H29" s="489">
        <f t="shared" si="1"/>
        <v>248.32</v>
      </c>
      <c r="I29" s="484">
        <f t="shared" si="8"/>
        <v>52147.199999999997</v>
      </c>
    </row>
    <row r="30" spans="1:23">
      <c r="A30" s="366"/>
      <c r="B30" s="366"/>
      <c r="C30" s="366"/>
      <c r="D30" s="366"/>
      <c r="E30" s="550" t="s">
        <v>426</v>
      </c>
      <c r="F30" s="551">
        <v>0.1</v>
      </c>
      <c r="G30" s="482">
        <f t="shared" si="12"/>
        <v>36.000000000000007</v>
      </c>
      <c r="H30" s="489">
        <f t="shared" si="1"/>
        <v>269.92</v>
      </c>
      <c r="I30" s="484">
        <f t="shared" si="8"/>
        <v>9717.1200000000026</v>
      </c>
    </row>
    <row r="31" spans="1:23">
      <c r="A31" s="366"/>
      <c r="B31" s="366"/>
      <c r="C31" s="366"/>
      <c r="D31" s="366"/>
      <c r="E31" s="550" t="s">
        <v>743</v>
      </c>
      <c r="F31" s="551">
        <v>0.4</v>
      </c>
      <c r="G31" s="482">
        <f t="shared" si="12"/>
        <v>288.00000000000006</v>
      </c>
      <c r="H31" s="489">
        <f t="shared" si="1"/>
        <v>237.52</v>
      </c>
      <c r="I31" s="484">
        <f t="shared" si="8"/>
        <v>68405.760000000009</v>
      </c>
    </row>
    <row r="32" spans="1:23">
      <c r="A32" s="366"/>
      <c r="B32" s="366"/>
      <c r="C32" s="366"/>
      <c r="D32" s="366"/>
      <c r="E32" s="550" t="s">
        <v>424</v>
      </c>
      <c r="F32" s="551">
        <v>0.05</v>
      </c>
      <c r="G32" s="482">
        <f t="shared" si="12"/>
        <v>6.0000000000000009</v>
      </c>
      <c r="H32" s="489">
        <f t="shared" si="1"/>
        <v>269.92</v>
      </c>
      <c r="I32" s="484">
        <f t="shared" si="8"/>
        <v>1619.5200000000004</v>
      </c>
    </row>
    <row r="33" spans="1:9">
      <c r="A33" s="366"/>
      <c r="B33" s="366"/>
      <c r="C33" s="366"/>
      <c r="D33" s="366"/>
      <c r="E33" s="550"/>
      <c r="F33" s="551"/>
      <c r="G33" s="482">
        <f t="shared" si="12"/>
        <v>0</v>
      </c>
      <c r="H33" s="489">
        <f t="shared" si="1"/>
        <v>0</v>
      </c>
      <c r="I33" s="484">
        <f t="shared" si="8"/>
        <v>0</v>
      </c>
    </row>
    <row r="34" spans="1:9">
      <c r="A34" s="366"/>
      <c r="B34" s="366"/>
      <c r="C34" s="366"/>
      <c r="D34" s="366"/>
      <c r="E34" s="550"/>
      <c r="F34" s="551"/>
      <c r="G34" s="482">
        <f t="shared" si="12"/>
        <v>0</v>
      </c>
      <c r="H34" s="489">
        <f t="shared" si="1"/>
        <v>0</v>
      </c>
      <c r="I34" s="484">
        <f t="shared" ref="I34:I39" si="13">G34*H34</f>
        <v>0</v>
      </c>
    </row>
    <row r="35" spans="1:9">
      <c r="A35" s="366"/>
      <c r="B35" s="366"/>
      <c r="C35" s="366"/>
      <c r="D35" s="366"/>
      <c r="E35" s="550"/>
      <c r="F35" s="551"/>
      <c r="G35" s="482">
        <f t="shared" si="12"/>
        <v>0</v>
      </c>
      <c r="H35" s="489">
        <f t="shared" si="1"/>
        <v>0</v>
      </c>
      <c r="I35" s="484">
        <f t="shared" si="13"/>
        <v>0</v>
      </c>
    </row>
    <row r="36" spans="1:9">
      <c r="A36" s="366"/>
      <c r="B36" s="366"/>
      <c r="C36" s="366"/>
      <c r="D36" s="366"/>
      <c r="E36" s="550"/>
      <c r="F36" s="551"/>
      <c r="G36" s="482">
        <f t="shared" si="12"/>
        <v>0</v>
      </c>
      <c r="H36" s="489">
        <f t="shared" si="1"/>
        <v>0</v>
      </c>
      <c r="I36" s="484">
        <f t="shared" si="13"/>
        <v>0</v>
      </c>
    </row>
    <row r="37" spans="1:9">
      <c r="A37" s="366"/>
      <c r="B37" s="366"/>
      <c r="C37" s="366"/>
      <c r="D37" s="366"/>
      <c r="E37" s="550"/>
      <c r="F37" s="551"/>
      <c r="G37" s="482">
        <f t="shared" si="12"/>
        <v>0</v>
      </c>
      <c r="H37" s="489">
        <f t="shared" si="1"/>
        <v>0</v>
      </c>
      <c r="I37" s="484">
        <f t="shared" si="13"/>
        <v>0</v>
      </c>
    </row>
    <row r="38" spans="1:9">
      <c r="A38" s="366"/>
      <c r="B38" s="366"/>
      <c r="C38" s="366"/>
      <c r="D38" s="366"/>
      <c r="E38" s="550"/>
      <c r="F38" s="551"/>
      <c r="G38" s="482">
        <f t="shared" si="12"/>
        <v>0</v>
      </c>
      <c r="H38" s="489">
        <f t="shared" si="1"/>
        <v>0</v>
      </c>
      <c r="I38" s="484">
        <f t="shared" si="13"/>
        <v>0</v>
      </c>
    </row>
    <row r="39" spans="1:9">
      <c r="A39" s="366"/>
      <c r="B39" s="366"/>
      <c r="C39" s="366"/>
      <c r="D39" s="366"/>
      <c r="E39" s="550"/>
      <c r="F39" s="551"/>
      <c r="G39" s="482">
        <f t="shared" si="12"/>
        <v>0</v>
      </c>
      <c r="H39" s="489">
        <f t="shared" si="1"/>
        <v>0</v>
      </c>
      <c r="I39" s="484">
        <f t="shared" si="13"/>
        <v>0</v>
      </c>
    </row>
    <row r="40" spans="1:9">
      <c r="A40" s="369" t="s">
        <v>235</v>
      </c>
      <c r="B40" s="554">
        <v>24</v>
      </c>
      <c r="C40" s="482">
        <f>SUM(G40:G51)</f>
        <v>0</v>
      </c>
      <c r="D40" s="483">
        <f>IFERROR(SUM(I40:I51)/C40,)</f>
        <v>0</v>
      </c>
      <c r="E40" s="550"/>
      <c r="F40" s="551"/>
      <c r="G40" s="482">
        <f>IFERROR(VLOOKUP(E40,$M$4:$O$27,3,0)*F40*$B$40*20,)</f>
        <v>0</v>
      </c>
      <c r="H40" s="489">
        <f t="shared" si="1"/>
        <v>0</v>
      </c>
      <c r="I40" s="484">
        <f t="shared" ref="I40:I45" si="14">G40*H40</f>
        <v>0</v>
      </c>
    </row>
    <row r="41" spans="1:9">
      <c r="A41" s="366"/>
      <c r="B41" s="366"/>
      <c r="C41" s="366"/>
      <c r="D41" s="366"/>
      <c r="E41" s="550"/>
      <c r="F41" s="551"/>
      <c r="G41" s="482">
        <f t="shared" ref="G41:G51" si="15">IFERROR(VLOOKUP(E41,$M$4:$O$27,3,0)*F41*$B$40*20,)</f>
        <v>0</v>
      </c>
      <c r="H41" s="489">
        <f t="shared" si="1"/>
        <v>0</v>
      </c>
      <c r="I41" s="484">
        <f t="shared" si="14"/>
        <v>0</v>
      </c>
    </row>
    <row r="42" spans="1:9">
      <c r="A42" s="366"/>
      <c r="B42" s="366"/>
      <c r="C42" s="366"/>
      <c r="D42" s="366"/>
      <c r="E42" s="550"/>
      <c r="F42" s="551"/>
      <c r="G42" s="482">
        <f t="shared" si="15"/>
        <v>0</v>
      </c>
      <c r="H42" s="489">
        <f t="shared" si="1"/>
        <v>0</v>
      </c>
      <c r="I42" s="484">
        <f t="shared" si="14"/>
        <v>0</v>
      </c>
    </row>
    <row r="43" spans="1:9">
      <c r="A43" s="366"/>
      <c r="B43" s="366"/>
      <c r="C43" s="366"/>
      <c r="D43" s="366"/>
      <c r="E43" s="550"/>
      <c r="F43" s="551"/>
      <c r="G43" s="482">
        <f t="shared" si="15"/>
        <v>0</v>
      </c>
      <c r="H43" s="489">
        <f t="shared" si="1"/>
        <v>0</v>
      </c>
      <c r="I43" s="484">
        <f t="shared" si="14"/>
        <v>0</v>
      </c>
    </row>
    <row r="44" spans="1:9">
      <c r="A44" s="366"/>
      <c r="B44" s="366"/>
      <c r="C44" s="366"/>
      <c r="D44" s="366"/>
      <c r="E44" s="550"/>
      <c r="F44" s="551"/>
      <c r="G44" s="482">
        <f t="shared" si="15"/>
        <v>0</v>
      </c>
      <c r="H44" s="489">
        <f t="shared" si="1"/>
        <v>0</v>
      </c>
      <c r="I44" s="484">
        <f t="shared" si="14"/>
        <v>0</v>
      </c>
    </row>
    <row r="45" spans="1:9">
      <c r="A45" s="366"/>
      <c r="B45" s="366"/>
      <c r="C45" s="366"/>
      <c r="D45" s="366"/>
      <c r="E45" s="550"/>
      <c r="F45" s="551"/>
      <c r="G45" s="482">
        <f t="shared" si="15"/>
        <v>0</v>
      </c>
      <c r="H45" s="489">
        <f t="shared" si="1"/>
        <v>0</v>
      </c>
      <c r="I45" s="484">
        <f t="shared" si="14"/>
        <v>0</v>
      </c>
    </row>
    <row r="46" spans="1:9">
      <c r="E46" s="550"/>
      <c r="F46" s="551"/>
      <c r="G46" s="482">
        <f t="shared" si="15"/>
        <v>0</v>
      </c>
      <c r="H46" s="489">
        <f t="shared" si="1"/>
        <v>0</v>
      </c>
      <c r="I46" s="484">
        <f t="shared" ref="I46:I50" si="16">G46*H46</f>
        <v>0</v>
      </c>
    </row>
    <row r="47" spans="1:9">
      <c r="E47" s="550"/>
      <c r="F47" s="551"/>
      <c r="G47" s="482">
        <f t="shared" si="15"/>
        <v>0</v>
      </c>
      <c r="H47" s="489">
        <f t="shared" si="1"/>
        <v>0</v>
      </c>
      <c r="I47" s="484">
        <f t="shared" si="16"/>
        <v>0</v>
      </c>
    </row>
    <row r="48" spans="1:9">
      <c r="E48" s="550"/>
      <c r="F48" s="551"/>
      <c r="G48" s="482">
        <f t="shared" si="15"/>
        <v>0</v>
      </c>
      <c r="H48" s="489">
        <f t="shared" si="1"/>
        <v>0</v>
      </c>
      <c r="I48" s="484">
        <f t="shared" si="16"/>
        <v>0</v>
      </c>
    </row>
    <row r="49" spans="1:9">
      <c r="E49" s="550"/>
      <c r="F49" s="551"/>
      <c r="G49" s="482">
        <f t="shared" si="15"/>
        <v>0</v>
      </c>
      <c r="H49" s="489">
        <f t="shared" si="1"/>
        <v>0</v>
      </c>
      <c r="I49" s="484">
        <f t="shared" si="16"/>
        <v>0</v>
      </c>
    </row>
    <row r="50" spans="1:9">
      <c r="E50" s="550"/>
      <c r="F50" s="551"/>
      <c r="G50" s="482">
        <f t="shared" si="15"/>
        <v>0</v>
      </c>
      <c r="H50" s="489">
        <f t="shared" si="1"/>
        <v>0</v>
      </c>
      <c r="I50" s="484">
        <f t="shared" si="16"/>
        <v>0</v>
      </c>
    </row>
    <row r="51" spans="1:9">
      <c r="E51" s="550"/>
      <c r="F51" s="551"/>
      <c r="G51" s="482">
        <f t="shared" si="15"/>
        <v>0</v>
      </c>
      <c r="H51" s="489">
        <f t="shared" si="1"/>
        <v>0</v>
      </c>
      <c r="I51" s="484">
        <f t="shared" ref="I51:I62" si="17">G51*H51</f>
        <v>0</v>
      </c>
    </row>
    <row r="52" spans="1:9">
      <c r="A52" s="369" t="s">
        <v>116</v>
      </c>
      <c r="B52" s="554">
        <v>36</v>
      </c>
      <c r="C52" s="482">
        <f>SUM(G52:G63)</f>
        <v>0</v>
      </c>
      <c r="D52" s="483">
        <f>IFERROR(SUM(I52:I63)/C52,)</f>
        <v>0</v>
      </c>
      <c r="E52" s="550"/>
      <c r="F52" s="551"/>
      <c r="G52" s="482">
        <f>IFERROR(VLOOKUP(E52,$M$4:$O$27,3,0)*F52*$B$52*20,)</f>
        <v>0</v>
      </c>
      <c r="H52" s="489">
        <f t="shared" si="1"/>
        <v>0</v>
      </c>
      <c r="I52" s="484">
        <f t="shared" si="17"/>
        <v>0</v>
      </c>
    </row>
    <row r="53" spans="1:9">
      <c r="A53" s="366"/>
      <c r="B53" s="366"/>
      <c r="C53" s="366"/>
      <c r="D53" s="366"/>
      <c r="E53" s="550"/>
      <c r="F53" s="551"/>
      <c r="G53" s="482">
        <f t="shared" ref="G53:G62" si="18">IFERROR(VLOOKUP(E53,$M$4:$O$27,3,0)*F53*$B$52*20,)</f>
        <v>0</v>
      </c>
      <c r="H53" s="489">
        <f t="shared" si="1"/>
        <v>0</v>
      </c>
      <c r="I53" s="484">
        <f t="shared" si="17"/>
        <v>0</v>
      </c>
    </row>
    <row r="54" spans="1:9">
      <c r="A54" s="366"/>
      <c r="B54" s="366"/>
      <c r="C54" s="366"/>
      <c r="D54" s="366"/>
      <c r="E54" s="550"/>
      <c r="F54" s="551"/>
      <c r="G54" s="482">
        <f t="shared" si="18"/>
        <v>0</v>
      </c>
      <c r="H54" s="489">
        <f t="shared" si="1"/>
        <v>0</v>
      </c>
      <c r="I54" s="484">
        <f t="shared" si="17"/>
        <v>0</v>
      </c>
    </row>
    <row r="55" spans="1:9">
      <c r="A55" s="366"/>
      <c r="B55" s="366"/>
      <c r="C55" s="366"/>
      <c r="D55" s="366"/>
      <c r="E55" s="550"/>
      <c r="F55" s="551"/>
      <c r="G55" s="482">
        <f t="shared" si="18"/>
        <v>0</v>
      </c>
      <c r="H55" s="489">
        <f t="shared" si="1"/>
        <v>0</v>
      </c>
      <c r="I55" s="484">
        <f t="shared" si="17"/>
        <v>0</v>
      </c>
    </row>
    <row r="56" spans="1:9">
      <c r="A56" s="366"/>
      <c r="B56" s="366"/>
      <c r="C56" s="366"/>
      <c r="D56" s="366"/>
      <c r="E56" s="550"/>
      <c r="F56" s="551"/>
      <c r="G56" s="482">
        <f t="shared" si="18"/>
        <v>0</v>
      </c>
      <c r="H56" s="489">
        <f t="shared" si="1"/>
        <v>0</v>
      </c>
      <c r="I56" s="484">
        <f t="shared" si="17"/>
        <v>0</v>
      </c>
    </row>
    <row r="57" spans="1:9">
      <c r="A57" s="366"/>
      <c r="B57" s="366"/>
      <c r="C57" s="366"/>
      <c r="D57" s="366"/>
      <c r="E57" s="550"/>
      <c r="F57" s="551"/>
      <c r="G57" s="482">
        <f t="shared" si="18"/>
        <v>0</v>
      </c>
      <c r="H57" s="489">
        <f t="shared" si="1"/>
        <v>0</v>
      </c>
      <c r="I57" s="484">
        <f t="shared" si="17"/>
        <v>0</v>
      </c>
    </row>
    <row r="58" spans="1:9">
      <c r="E58" s="550"/>
      <c r="F58" s="551"/>
      <c r="G58" s="482">
        <f t="shared" si="18"/>
        <v>0</v>
      </c>
      <c r="H58" s="489">
        <f t="shared" si="1"/>
        <v>0</v>
      </c>
      <c r="I58" s="484">
        <f t="shared" si="17"/>
        <v>0</v>
      </c>
    </row>
    <row r="59" spans="1:9">
      <c r="E59" s="550"/>
      <c r="F59" s="551"/>
      <c r="G59" s="482">
        <f t="shared" si="18"/>
        <v>0</v>
      </c>
      <c r="H59" s="489">
        <f t="shared" si="1"/>
        <v>0</v>
      </c>
      <c r="I59" s="484">
        <f t="shared" si="17"/>
        <v>0</v>
      </c>
    </row>
    <row r="60" spans="1:9">
      <c r="E60" s="550"/>
      <c r="F60" s="551"/>
      <c r="G60" s="482">
        <f t="shared" si="18"/>
        <v>0</v>
      </c>
      <c r="H60" s="489">
        <f t="shared" si="1"/>
        <v>0</v>
      </c>
      <c r="I60" s="484">
        <f t="shared" si="17"/>
        <v>0</v>
      </c>
    </row>
    <row r="61" spans="1:9">
      <c r="E61" s="550"/>
      <c r="F61" s="551"/>
      <c r="G61" s="482">
        <f t="shared" si="18"/>
        <v>0</v>
      </c>
      <c r="H61" s="489">
        <f t="shared" si="1"/>
        <v>0</v>
      </c>
      <c r="I61" s="484">
        <f t="shared" si="17"/>
        <v>0</v>
      </c>
    </row>
    <row r="62" spans="1:9">
      <c r="E62" s="550"/>
      <c r="F62" s="551"/>
      <c r="G62" s="482">
        <f t="shared" si="18"/>
        <v>0</v>
      </c>
      <c r="H62" s="489">
        <f t="shared" si="1"/>
        <v>0</v>
      </c>
      <c r="I62" s="484">
        <f t="shared" si="17"/>
        <v>0</v>
      </c>
    </row>
    <row r="63" spans="1:9">
      <c r="A63" s="369" t="str">
        <f>IF(SUM('Zdroje Financovania'!L3:L21)&gt;0,TEXT("Saldokonto - Pomocný výpočet",),TEXT(" ",))</f>
        <v>Saldokonto - Pomocný výpočet</v>
      </c>
      <c r="B63" s="861"/>
      <c r="C63" s="862"/>
      <c r="D63" s="862"/>
      <c r="E63" s="862"/>
      <c r="F63" s="862"/>
      <c r="G63" s="862"/>
      <c r="H63" s="863"/>
      <c r="I63" s="484">
        <f>IF(SUM('Zdroje Financovania'!L3:L21)&gt;0,I64-(SUM(I40:I62)+SUM(AKTIVITY_POZICIE!M41:M64)*1.2),0)</f>
        <v>630460.53392000007</v>
      </c>
    </row>
    <row r="64" spans="1:9">
      <c r="A64" s="369" t="str">
        <f>IF(SUM('Zdroje Financovania'!L3:L21)&gt;0,TEXT("Podporné aktivity",),TEXT(" ",))</f>
        <v>Podporné aktivity</v>
      </c>
      <c r="B64" s="864" t="str">
        <f>IF(SUM('Zdroje Financovania'!L3:L21)&gt;0,TEXT("907 - Paušálna sadzba na nepriame výdavky podľa článku 54 písm. a) NSU",),TEXT(" ",))</f>
        <v>907 - Paušálna sadzba na nepriame výdavky podľa článku 54 písm. a) NSU</v>
      </c>
      <c r="C64" s="865"/>
      <c r="D64" s="865"/>
      <c r="E64" s="865"/>
      <c r="F64" s="865"/>
      <c r="G64" s="865"/>
      <c r="H64" s="662">
        <f>IF(SUM('Zdroje Financovania'!L3:L21)&gt;0,0.07,0)</f>
        <v>7.0000000000000007E-2</v>
      </c>
      <c r="I64" s="662">
        <f>IF(SUM('Zdroje Financovania'!L3:L21)&gt;0,H64*(AKTIVITY_POZICIE!M1*1.2+POZICIE_INTERNE!I1+'Rozpočet - HW a licencie'!I1),0)</f>
        <v>630460.53392000007</v>
      </c>
    </row>
  </sheetData>
  <mergeCells count="4">
    <mergeCell ref="E1:F1"/>
    <mergeCell ref="E2:F2"/>
    <mergeCell ref="B63:H63"/>
    <mergeCell ref="B64:G64"/>
  </mergeCells>
  <conditionalFormatting sqref="P4:P27">
    <cfRule type="cellIs" dxfId="4" priority="1" operator="greaterThan">
      <formula>$U4</formula>
    </cfRule>
  </conditionalFormatting>
  <conditionalFormatting sqref="Q2">
    <cfRule type="cellIs" dxfId="3" priority="6" operator="greaterThan">
      <formula>0.2</formula>
    </cfRule>
  </conditionalFormatting>
  <dataValidations count="1">
    <dataValidation type="list" allowBlank="1" showInputMessage="1" showErrorMessage="1" sqref="E4:E62">
      <formula1>Pozicia</formula1>
    </dataValidation>
  </dataValidations>
  <pageMargins left="0.7" right="0.7" top="0.75" bottom="0.75" header="0.3" footer="0.3"/>
  <pageSetup paperSize="9" orientation="portrait" horizontalDpi="4294967293"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O31"/>
  <sheetViews>
    <sheetView topLeftCell="A22" workbookViewId="0">
      <selection activeCell="F10" sqref="F10:F31"/>
    </sheetView>
  </sheetViews>
  <sheetFormatPr defaultColWidth="8.85546875" defaultRowHeight="15"/>
  <cols>
    <col min="1" max="11" width="18.140625" style="479" customWidth="1"/>
    <col min="12" max="12" width="26.140625" style="479" customWidth="1"/>
    <col min="13" max="15" width="24.42578125" style="479" customWidth="1"/>
    <col min="16" max="16384" width="8.85546875" style="364"/>
  </cols>
  <sheetData>
    <row r="1" spans="1:12" ht="30">
      <c r="A1" s="479" t="s">
        <v>714</v>
      </c>
      <c r="B1" s="479" t="s">
        <v>715</v>
      </c>
      <c r="C1" s="479" t="s">
        <v>716</v>
      </c>
      <c r="D1" s="479" t="s">
        <v>717</v>
      </c>
      <c r="E1" s="479" t="s">
        <v>718</v>
      </c>
      <c r="F1" s="479" t="s">
        <v>719</v>
      </c>
      <c r="G1" s="479" t="s">
        <v>720</v>
      </c>
      <c r="H1" s="479" t="s">
        <v>721</v>
      </c>
      <c r="I1" s="479" t="s">
        <v>722</v>
      </c>
      <c r="J1" s="479" t="s">
        <v>723</v>
      </c>
      <c r="K1" s="479" t="s">
        <v>724</v>
      </c>
      <c r="L1" s="479" t="s">
        <v>725</v>
      </c>
    </row>
    <row r="2" spans="1:12" ht="75">
      <c r="A2" s="479" t="s">
        <v>693</v>
      </c>
      <c r="B2" s="479" t="s">
        <v>694</v>
      </c>
      <c r="C2" s="479" t="s">
        <v>696</v>
      </c>
      <c r="D2" s="479" t="s">
        <v>697</v>
      </c>
      <c r="E2" s="479" t="s">
        <v>699</v>
      </c>
      <c r="F2" s="479" t="s">
        <v>401</v>
      </c>
      <c r="G2" s="479" t="s">
        <v>700</v>
      </c>
      <c r="H2" s="479" t="s">
        <v>698</v>
      </c>
      <c r="I2" s="479" t="s">
        <v>691</v>
      </c>
      <c r="J2" s="479" t="s">
        <v>703</v>
      </c>
      <c r="L2" s="479" t="s">
        <v>706</v>
      </c>
    </row>
    <row r="3" spans="1:12" ht="60">
      <c r="B3" s="479" t="s">
        <v>695</v>
      </c>
      <c r="D3" s="479" t="s">
        <v>698</v>
      </c>
      <c r="H3" s="479" t="s">
        <v>701</v>
      </c>
      <c r="J3" s="479" t="s">
        <v>702</v>
      </c>
      <c r="L3" s="479" t="s">
        <v>711</v>
      </c>
    </row>
    <row r="4" spans="1:12" ht="30">
      <c r="L4" s="479" t="s">
        <v>707</v>
      </c>
    </row>
    <row r="5" spans="1:12" ht="30">
      <c r="L5" s="479" t="s">
        <v>712</v>
      </c>
    </row>
    <row r="6" spans="1:12" ht="30">
      <c r="L6" s="479" t="s">
        <v>708</v>
      </c>
    </row>
    <row r="7" spans="1:12" ht="30">
      <c r="L7" s="479" t="s">
        <v>709</v>
      </c>
    </row>
    <row r="8" spans="1:12">
      <c r="L8" s="479" t="s">
        <v>710</v>
      </c>
    </row>
    <row r="9" spans="1:12">
      <c r="A9" s="479" t="s">
        <v>727</v>
      </c>
      <c r="B9" s="479" t="s">
        <v>728</v>
      </c>
      <c r="D9" s="364" t="s">
        <v>687</v>
      </c>
      <c r="E9" s="364" t="s">
        <v>729</v>
      </c>
      <c r="F9" s="479" t="s">
        <v>730</v>
      </c>
    </row>
    <row r="10" spans="1:12" ht="30">
      <c r="A10" s="628" t="s">
        <v>403</v>
      </c>
      <c r="B10" s="479" t="s">
        <v>714</v>
      </c>
      <c r="D10" s="629" t="s">
        <v>430</v>
      </c>
      <c r="E10" s="479" t="s">
        <v>693</v>
      </c>
      <c r="F10" s="632">
        <v>1330001</v>
      </c>
    </row>
    <row r="11" spans="1:12" ht="30">
      <c r="A11" s="628" t="s">
        <v>402</v>
      </c>
      <c r="B11" s="479" t="s">
        <v>715</v>
      </c>
      <c r="D11" s="630" t="s">
        <v>688</v>
      </c>
      <c r="E11" s="479" t="s">
        <v>694</v>
      </c>
      <c r="F11" s="633">
        <v>2512001</v>
      </c>
    </row>
    <row r="12" spans="1:12" ht="30">
      <c r="A12" s="628" t="s">
        <v>404</v>
      </c>
      <c r="B12" s="479" t="s">
        <v>716</v>
      </c>
      <c r="D12" s="630" t="s">
        <v>688</v>
      </c>
      <c r="E12" s="479" t="s">
        <v>695</v>
      </c>
      <c r="F12" s="633">
        <v>2512002</v>
      </c>
    </row>
    <row r="13" spans="1:12">
      <c r="A13" s="628" t="s">
        <v>400</v>
      </c>
      <c r="B13" s="479" t="s">
        <v>717</v>
      </c>
      <c r="D13" s="630" t="s">
        <v>404</v>
      </c>
      <c r="E13" s="479" t="s">
        <v>696</v>
      </c>
      <c r="F13" s="633">
        <v>2511003</v>
      </c>
    </row>
    <row r="14" spans="1:12" ht="38.25">
      <c r="A14" s="628" t="s">
        <v>405</v>
      </c>
      <c r="B14" s="479" t="s">
        <v>718</v>
      </c>
      <c r="D14" s="630" t="s">
        <v>400</v>
      </c>
      <c r="E14" s="479" t="s">
        <v>697</v>
      </c>
      <c r="F14" s="633">
        <v>2511002</v>
      </c>
    </row>
    <row r="15" spans="1:12" ht="30">
      <c r="A15" s="628" t="s">
        <v>401</v>
      </c>
      <c r="B15" s="479" t="s">
        <v>719</v>
      </c>
      <c r="D15" s="630" t="s">
        <v>400</v>
      </c>
      <c r="E15" s="479" t="s">
        <v>698</v>
      </c>
      <c r="F15" s="633">
        <v>2521001</v>
      </c>
    </row>
    <row r="16" spans="1:12" ht="38.25">
      <c r="A16" s="628" t="s">
        <v>407</v>
      </c>
      <c r="B16" s="479" t="s">
        <v>720</v>
      </c>
      <c r="D16" s="629" t="s">
        <v>405</v>
      </c>
      <c r="E16" s="479" t="s">
        <v>699</v>
      </c>
      <c r="F16" s="633">
        <v>2421002</v>
      </c>
    </row>
    <row r="17" spans="1:6" ht="25.5">
      <c r="A17" s="628" t="s">
        <v>408</v>
      </c>
      <c r="B17" s="479" t="s">
        <v>721</v>
      </c>
      <c r="D17" s="629" t="s">
        <v>401</v>
      </c>
      <c r="E17" s="479" t="s">
        <v>401</v>
      </c>
      <c r="F17" s="633">
        <v>2519001</v>
      </c>
    </row>
    <row r="18" spans="1:6" ht="75">
      <c r="A18" s="628" t="s">
        <v>410</v>
      </c>
      <c r="B18" s="479" t="s">
        <v>722</v>
      </c>
      <c r="D18" s="629" t="s">
        <v>689</v>
      </c>
      <c r="E18" s="479" t="s">
        <v>703</v>
      </c>
      <c r="F18" s="633">
        <v>1330004</v>
      </c>
    </row>
    <row r="19" spans="1:6" ht="30">
      <c r="A19" s="628" t="s">
        <v>406</v>
      </c>
      <c r="B19" s="479" t="s">
        <v>723</v>
      </c>
      <c r="D19" s="630" t="s">
        <v>690</v>
      </c>
      <c r="E19" s="479" t="s">
        <v>700</v>
      </c>
      <c r="F19" s="633">
        <v>2523000</v>
      </c>
    </row>
    <row r="20" spans="1:6" ht="30">
      <c r="A20" s="628" t="s">
        <v>409</v>
      </c>
      <c r="B20" s="479" t="s">
        <v>724</v>
      </c>
      <c r="D20" s="630" t="s">
        <v>408</v>
      </c>
      <c r="E20" s="479" t="s">
        <v>698</v>
      </c>
      <c r="F20" s="633">
        <v>2521001</v>
      </c>
    </row>
    <row r="21" spans="1:6" ht="30">
      <c r="A21" s="628" t="s">
        <v>411</v>
      </c>
      <c r="B21" s="479" t="s">
        <v>725</v>
      </c>
      <c r="D21" s="630" t="s">
        <v>408</v>
      </c>
      <c r="E21" s="479" t="s">
        <v>701</v>
      </c>
      <c r="F21" s="633">
        <v>2521003</v>
      </c>
    </row>
    <row r="22" spans="1:6">
      <c r="D22" s="631" t="s">
        <v>691</v>
      </c>
      <c r="E22" s="479" t="s">
        <v>691</v>
      </c>
      <c r="F22" s="633">
        <v>2511001</v>
      </c>
    </row>
    <row r="23" spans="1:6" ht="60">
      <c r="D23" s="630" t="s">
        <v>692</v>
      </c>
      <c r="E23" s="479" t="s">
        <v>702</v>
      </c>
      <c r="F23" s="633">
        <v>2529001</v>
      </c>
    </row>
    <row r="24" spans="1:6">
      <c r="D24" s="631" t="s">
        <v>409</v>
      </c>
      <c r="F24" s="371"/>
    </row>
    <row r="25" spans="1:6" ht="30">
      <c r="D25" s="630" t="s">
        <v>726</v>
      </c>
      <c r="E25" s="479" t="s">
        <v>706</v>
      </c>
      <c r="F25" s="633">
        <v>7422003</v>
      </c>
    </row>
    <row r="26" spans="1:6" ht="75">
      <c r="D26" s="630" t="s">
        <v>726</v>
      </c>
      <c r="E26" s="479" t="s">
        <v>711</v>
      </c>
      <c r="F26" s="633">
        <v>2153003</v>
      </c>
    </row>
    <row r="27" spans="1:6" ht="60">
      <c r="D27" s="630" t="s">
        <v>726</v>
      </c>
      <c r="E27" s="479" t="s">
        <v>707</v>
      </c>
      <c r="F27" s="633">
        <v>2513003</v>
      </c>
    </row>
    <row r="28" spans="1:6" ht="60">
      <c r="D28" s="630" t="s">
        <v>726</v>
      </c>
      <c r="E28" s="479" t="s">
        <v>712</v>
      </c>
      <c r="F28" s="633">
        <v>4229</v>
      </c>
    </row>
    <row r="29" spans="1:6" ht="30">
      <c r="D29" s="630" t="s">
        <v>726</v>
      </c>
      <c r="E29" s="479" t="s">
        <v>708</v>
      </c>
      <c r="F29" s="371">
        <v>3511002</v>
      </c>
    </row>
    <row r="30" spans="1:6" ht="45">
      <c r="D30" s="630" t="s">
        <v>726</v>
      </c>
      <c r="E30" s="479" t="s">
        <v>709</v>
      </c>
      <c r="F30" s="371">
        <v>3512000</v>
      </c>
    </row>
    <row r="31" spans="1:6" ht="30">
      <c r="D31" s="630" t="s">
        <v>726</v>
      </c>
      <c r="E31" s="479" t="s">
        <v>710</v>
      </c>
      <c r="F31" s="371">
        <v>2514000</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14">
    <tabColor rgb="FF00B050"/>
  </sheetPr>
  <dimension ref="A1:J102"/>
  <sheetViews>
    <sheetView zoomScaleNormal="100" workbookViewId="0">
      <pane ySplit="2" topLeftCell="A3" activePane="bottomLeft" state="frozen"/>
      <selection pane="bottomLeft" activeCell="B17" sqref="B17"/>
    </sheetView>
  </sheetViews>
  <sheetFormatPr defaultColWidth="8.85546875" defaultRowHeight="15"/>
  <cols>
    <col min="1" max="1" width="17.42578125" style="364" bestFit="1" customWidth="1"/>
    <col min="2" max="2" width="51.42578125" style="364" customWidth="1"/>
    <col min="3" max="3" width="12.42578125" style="364" customWidth="1"/>
    <col min="4" max="4" width="16.42578125" style="364" bestFit="1" customWidth="1"/>
    <col min="5" max="5" width="13.42578125" style="364" bestFit="1" customWidth="1"/>
    <col min="6" max="6" width="8.85546875" style="364"/>
    <col min="7" max="7" width="12.85546875" style="364" bestFit="1" customWidth="1"/>
    <col min="8" max="8" width="18.42578125" style="364" bestFit="1" customWidth="1"/>
    <col min="9" max="9" width="17.140625" style="364" customWidth="1"/>
    <col min="10" max="10" width="48.85546875" style="364" customWidth="1"/>
    <col min="11" max="16384" width="8.85546875" style="364"/>
  </cols>
  <sheetData>
    <row r="1" spans="1:10" ht="15.75" thickBot="1">
      <c r="I1" s="443">
        <f>SUM(I3:I102)</f>
        <v>600000</v>
      </c>
    </row>
    <row r="2" spans="1:10" ht="15.75" thickBot="1">
      <c r="A2" s="436" t="s">
        <v>260</v>
      </c>
      <c r="B2" s="437" t="s">
        <v>241</v>
      </c>
      <c r="C2" s="437" t="s">
        <v>305</v>
      </c>
      <c r="D2" s="437" t="s">
        <v>308</v>
      </c>
      <c r="E2" s="437" t="s">
        <v>242</v>
      </c>
      <c r="F2" s="437" t="s">
        <v>243</v>
      </c>
      <c r="G2" s="437" t="s">
        <v>293</v>
      </c>
      <c r="H2" s="438" t="s">
        <v>306</v>
      </c>
      <c r="I2" s="438" t="s">
        <v>307</v>
      </c>
      <c r="J2" s="437" t="s">
        <v>310</v>
      </c>
    </row>
    <row r="3" spans="1:10">
      <c r="A3" s="563" t="s">
        <v>786</v>
      </c>
      <c r="B3" s="560" t="s">
        <v>2484</v>
      </c>
      <c r="C3" s="560" t="s">
        <v>65</v>
      </c>
      <c r="D3" s="560" t="s">
        <v>71</v>
      </c>
      <c r="E3" s="561" t="s">
        <v>2485</v>
      </c>
      <c r="F3" s="561">
        <v>6</v>
      </c>
      <c r="G3" s="561">
        <v>2</v>
      </c>
      <c r="H3" s="562">
        <v>100000</v>
      </c>
      <c r="I3" s="439">
        <f t="shared" ref="I3:I11" si="0">H3*F3</f>
        <v>600000</v>
      </c>
      <c r="J3" s="565" t="s">
        <v>2486</v>
      </c>
    </row>
    <row r="4" spans="1:10">
      <c r="A4" s="563"/>
      <c r="B4" s="560"/>
      <c r="C4" s="560"/>
      <c r="D4" s="560"/>
      <c r="E4" s="561"/>
      <c r="F4" s="561"/>
      <c r="G4" s="561"/>
      <c r="H4" s="562"/>
      <c r="I4" s="439">
        <f t="shared" si="0"/>
        <v>0</v>
      </c>
      <c r="J4" s="565"/>
    </row>
    <row r="5" spans="1:10">
      <c r="A5" s="563"/>
      <c r="B5" s="560"/>
      <c r="C5" s="560"/>
      <c r="D5" s="560"/>
      <c r="E5" s="561"/>
      <c r="F5" s="561"/>
      <c r="G5" s="561"/>
      <c r="H5" s="562"/>
      <c r="I5" s="439">
        <f t="shared" si="0"/>
        <v>0</v>
      </c>
      <c r="J5" s="565"/>
    </row>
    <row r="6" spans="1:10">
      <c r="A6" s="563"/>
      <c r="B6" s="560"/>
      <c r="C6" s="560"/>
      <c r="D6" s="560"/>
      <c r="E6" s="561"/>
      <c r="F6" s="561"/>
      <c r="G6" s="561"/>
      <c r="H6" s="562"/>
      <c r="I6" s="439">
        <f t="shared" si="0"/>
        <v>0</v>
      </c>
      <c r="J6" s="565"/>
    </row>
    <row r="7" spans="1:10">
      <c r="A7" s="563"/>
      <c r="B7" s="560"/>
      <c r="C7" s="560"/>
      <c r="D7" s="560"/>
      <c r="E7" s="561"/>
      <c r="F7" s="561"/>
      <c r="G7" s="561"/>
      <c r="H7" s="562"/>
      <c r="I7" s="439">
        <f t="shared" si="0"/>
        <v>0</v>
      </c>
      <c r="J7" s="565"/>
    </row>
    <row r="8" spans="1:10">
      <c r="A8" s="563"/>
      <c r="B8" s="560"/>
      <c r="C8" s="560"/>
      <c r="D8" s="560"/>
      <c r="E8" s="561"/>
      <c r="F8" s="561"/>
      <c r="G8" s="561"/>
      <c r="H8" s="562"/>
      <c r="I8" s="439">
        <f t="shared" si="0"/>
        <v>0</v>
      </c>
      <c r="J8" s="565"/>
    </row>
    <row r="9" spans="1:10">
      <c r="A9" s="563"/>
      <c r="B9" s="560"/>
      <c r="C9" s="560"/>
      <c r="D9" s="560"/>
      <c r="E9" s="561"/>
      <c r="F9" s="561"/>
      <c r="G9" s="561"/>
      <c r="H9" s="562"/>
      <c r="I9" s="439">
        <f t="shared" si="0"/>
        <v>0</v>
      </c>
      <c r="J9" s="565"/>
    </row>
    <row r="10" spans="1:10">
      <c r="A10" s="563"/>
      <c r="B10" s="560"/>
      <c r="C10" s="560"/>
      <c r="D10" s="560"/>
      <c r="E10" s="561"/>
      <c r="F10" s="561"/>
      <c r="G10" s="561"/>
      <c r="H10" s="562"/>
      <c r="I10" s="439">
        <f t="shared" si="0"/>
        <v>0</v>
      </c>
      <c r="J10" s="565"/>
    </row>
    <row r="11" spans="1:10">
      <c r="A11" s="563"/>
      <c r="B11" s="560"/>
      <c r="C11" s="560"/>
      <c r="D11" s="560"/>
      <c r="E11" s="561"/>
      <c r="F11" s="561"/>
      <c r="G11" s="561"/>
      <c r="H11" s="562"/>
      <c r="I11" s="439">
        <f t="shared" si="0"/>
        <v>0</v>
      </c>
      <c r="J11" s="565"/>
    </row>
    <row r="12" spans="1:10">
      <c r="A12" s="563"/>
      <c r="B12" s="560"/>
      <c r="C12" s="560"/>
      <c r="D12" s="560"/>
      <c r="E12" s="561"/>
      <c r="F12" s="561"/>
      <c r="G12" s="561"/>
      <c r="H12" s="562"/>
      <c r="I12" s="439">
        <f t="shared" ref="I12:I29" si="1">H12*F12</f>
        <v>0</v>
      </c>
      <c r="J12" s="565"/>
    </row>
    <row r="13" spans="1:10">
      <c r="A13" s="563"/>
      <c r="B13" s="560"/>
      <c r="C13" s="560"/>
      <c r="D13" s="560"/>
      <c r="E13" s="561"/>
      <c r="F13" s="561"/>
      <c r="G13" s="561"/>
      <c r="H13" s="562"/>
      <c r="I13" s="439">
        <f t="shared" si="1"/>
        <v>0</v>
      </c>
      <c r="J13" s="565"/>
    </row>
    <row r="14" spans="1:10">
      <c r="A14" s="563"/>
      <c r="B14" s="560"/>
      <c r="C14" s="560"/>
      <c r="D14" s="560"/>
      <c r="E14" s="561"/>
      <c r="F14" s="561"/>
      <c r="G14" s="561"/>
      <c r="H14" s="562"/>
      <c r="I14" s="439">
        <f t="shared" si="1"/>
        <v>0</v>
      </c>
      <c r="J14" s="565"/>
    </row>
    <row r="15" spans="1:10">
      <c r="A15" s="563"/>
      <c r="B15" s="560"/>
      <c r="C15" s="560"/>
      <c r="D15" s="560"/>
      <c r="E15" s="561"/>
      <c r="F15" s="561"/>
      <c r="G15" s="561"/>
      <c r="H15" s="562"/>
      <c r="I15" s="439">
        <f t="shared" si="1"/>
        <v>0</v>
      </c>
      <c r="J15" s="565"/>
    </row>
    <row r="16" spans="1:10">
      <c r="A16" s="563"/>
      <c r="B16" s="560"/>
      <c r="C16" s="560"/>
      <c r="D16" s="560"/>
      <c r="E16" s="561"/>
      <c r="F16" s="561"/>
      <c r="G16" s="561"/>
      <c r="H16" s="562"/>
      <c r="I16" s="439">
        <f t="shared" si="1"/>
        <v>0</v>
      </c>
      <c r="J16" s="565"/>
    </row>
    <row r="17" spans="1:10">
      <c r="A17" s="563"/>
      <c r="B17" s="560"/>
      <c r="C17" s="560"/>
      <c r="D17" s="560"/>
      <c r="E17" s="561"/>
      <c r="F17" s="561"/>
      <c r="G17" s="561"/>
      <c r="H17" s="562"/>
      <c r="I17" s="439">
        <f t="shared" si="1"/>
        <v>0</v>
      </c>
      <c r="J17" s="565"/>
    </row>
    <row r="18" spans="1:10">
      <c r="A18" s="563"/>
      <c r="B18" s="560"/>
      <c r="C18" s="560"/>
      <c r="D18" s="560"/>
      <c r="E18" s="561"/>
      <c r="F18" s="561"/>
      <c r="G18" s="561"/>
      <c r="H18" s="562"/>
      <c r="I18" s="439">
        <f t="shared" si="1"/>
        <v>0</v>
      </c>
      <c r="J18" s="565"/>
    </row>
    <row r="19" spans="1:10">
      <c r="A19" s="563"/>
      <c r="B19" s="560"/>
      <c r="C19" s="560"/>
      <c r="D19" s="560"/>
      <c r="E19" s="561"/>
      <c r="F19" s="561"/>
      <c r="G19" s="561"/>
      <c r="H19" s="562"/>
      <c r="I19" s="439">
        <f t="shared" si="1"/>
        <v>0</v>
      </c>
      <c r="J19" s="565"/>
    </row>
    <row r="20" spans="1:10">
      <c r="A20" s="563"/>
      <c r="B20" s="560"/>
      <c r="C20" s="560"/>
      <c r="D20" s="560"/>
      <c r="E20" s="561"/>
      <c r="F20" s="561"/>
      <c r="G20" s="561"/>
      <c r="H20" s="562"/>
      <c r="I20" s="439">
        <f t="shared" si="1"/>
        <v>0</v>
      </c>
      <c r="J20" s="565"/>
    </row>
    <row r="21" spans="1:10">
      <c r="A21" s="563"/>
      <c r="B21" s="560"/>
      <c r="C21" s="560"/>
      <c r="D21" s="560"/>
      <c r="E21" s="561"/>
      <c r="F21" s="561"/>
      <c r="G21" s="561"/>
      <c r="H21" s="562"/>
      <c r="I21" s="439">
        <f t="shared" si="1"/>
        <v>0</v>
      </c>
      <c r="J21" s="565"/>
    </row>
    <row r="22" spans="1:10">
      <c r="A22" s="563"/>
      <c r="B22" s="560"/>
      <c r="C22" s="560"/>
      <c r="D22" s="560"/>
      <c r="E22" s="561"/>
      <c r="F22" s="561"/>
      <c r="G22" s="561"/>
      <c r="H22" s="562"/>
      <c r="I22" s="439">
        <f t="shared" si="1"/>
        <v>0</v>
      </c>
      <c r="J22" s="565"/>
    </row>
    <row r="23" spans="1:10">
      <c r="A23" s="563"/>
      <c r="B23" s="560"/>
      <c r="C23" s="560"/>
      <c r="D23" s="560"/>
      <c r="E23" s="561"/>
      <c r="F23" s="561"/>
      <c r="G23" s="561"/>
      <c r="H23" s="562"/>
      <c r="I23" s="439">
        <f t="shared" si="1"/>
        <v>0</v>
      </c>
      <c r="J23" s="565"/>
    </row>
    <row r="24" spans="1:10">
      <c r="A24" s="563"/>
      <c r="B24" s="560"/>
      <c r="C24" s="560"/>
      <c r="D24" s="560"/>
      <c r="E24" s="561"/>
      <c r="F24" s="561"/>
      <c r="G24" s="561"/>
      <c r="H24" s="562"/>
      <c r="I24" s="439">
        <f t="shared" si="1"/>
        <v>0</v>
      </c>
      <c r="J24" s="565"/>
    </row>
    <row r="25" spans="1:10">
      <c r="A25" s="563"/>
      <c r="B25" s="560"/>
      <c r="C25" s="560"/>
      <c r="D25" s="560"/>
      <c r="E25" s="561"/>
      <c r="F25" s="561"/>
      <c r="G25" s="561"/>
      <c r="H25" s="562"/>
      <c r="I25" s="439">
        <f t="shared" si="1"/>
        <v>0</v>
      </c>
      <c r="J25" s="565"/>
    </row>
    <row r="26" spans="1:10">
      <c r="A26" s="563"/>
      <c r="B26" s="560"/>
      <c r="C26" s="560"/>
      <c r="D26" s="560"/>
      <c r="E26" s="561"/>
      <c r="F26" s="561"/>
      <c r="G26" s="561"/>
      <c r="H26" s="562"/>
      <c r="I26" s="439">
        <f t="shared" si="1"/>
        <v>0</v>
      </c>
      <c r="J26" s="565"/>
    </row>
    <row r="27" spans="1:10">
      <c r="A27" s="559"/>
      <c r="B27" s="560"/>
      <c r="C27" s="560"/>
      <c r="D27" s="560"/>
      <c r="E27" s="561"/>
      <c r="F27" s="561"/>
      <c r="G27" s="561"/>
      <c r="H27" s="562"/>
      <c r="I27" s="439">
        <f t="shared" si="1"/>
        <v>0</v>
      </c>
      <c r="J27" s="565"/>
    </row>
    <row r="28" spans="1:10">
      <c r="A28" s="559"/>
      <c r="B28" s="560"/>
      <c r="C28" s="560"/>
      <c r="D28" s="560"/>
      <c r="E28" s="561"/>
      <c r="F28" s="561"/>
      <c r="G28" s="561"/>
      <c r="H28" s="562"/>
      <c r="I28" s="439">
        <f t="shared" si="1"/>
        <v>0</v>
      </c>
      <c r="J28" s="565"/>
    </row>
    <row r="29" spans="1:10">
      <c r="A29" s="563"/>
      <c r="B29" s="560"/>
      <c r="C29" s="560"/>
      <c r="D29" s="560"/>
      <c r="E29" s="561"/>
      <c r="F29" s="561"/>
      <c r="G29" s="561"/>
      <c r="H29" s="562"/>
      <c r="I29" s="439">
        <f t="shared" si="1"/>
        <v>0</v>
      </c>
      <c r="J29" s="565"/>
    </row>
    <row r="30" spans="1:10">
      <c r="A30" s="563"/>
      <c r="B30" s="560"/>
      <c r="C30" s="560"/>
      <c r="D30" s="560"/>
      <c r="E30" s="561"/>
      <c r="F30" s="561"/>
      <c r="G30" s="561"/>
      <c r="H30" s="564"/>
      <c r="I30" s="439">
        <f t="shared" ref="I30:I93" si="2">H30*F30</f>
        <v>0</v>
      </c>
      <c r="J30" s="565"/>
    </row>
    <row r="31" spans="1:10">
      <c r="A31" s="563"/>
      <c r="B31" s="560"/>
      <c r="C31" s="560"/>
      <c r="D31" s="560"/>
      <c r="E31" s="561"/>
      <c r="F31" s="561"/>
      <c r="G31" s="561"/>
      <c r="H31" s="564"/>
      <c r="I31" s="439">
        <f t="shared" si="2"/>
        <v>0</v>
      </c>
      <c r="J31" s="565"/>
    </row>
    <row r="32" spans="1:10">
      <c r="A32" s="563"/>
      <c r="B32" s="560"/>
      <c r="C32" s="560"/>
      <c r="D32" s="560"/>
      <c r="E32" s="561"/>
      <c r="F32" s="561"/>
      <c r="G32" s="561"/>
      <c r="H32" s="564"/>
      <c r="I32" s="439">
        <f t="shared" si="2"/>
        <v>0</v>
      </c>
      <c r="J32" s="565"/>
    </row>
    <row r="33" spans="1:10">
      <c r="A33" s="563"/>
      <c r="B33" s="560"/>
      <c r="C33" s="560"/>
      <c r="D33" s="560"/>
      <c r="E33" s="561"/>
      <c r="F33" s="561"/>
      <c r="G33" s="561"/>
      <c r="H33" s="564"/>
      <c r="I33" s="439">
        <f t="shared" si="2"/>
        <v>0</v>
      </c>
      <c r="J33" s="565"/>
    </row>
    <row r="34" spans="1:10">
      <c r="A34" s="563"/>
      <c r="B34" s="560"/>
      <c r="C34" s="560"/>
      <c r="D34" s="560"/>
      <c r="E34" s="561"/>
      <c r="F34" s="561"/>
      <c r="G34" s="561"/>
      <c r="H34" s="564"/>
      <c r="I34" s="439">
        <f t="shared" si="2"/>
        <v>0</v>
      </c>
      <c r="J34" s="565"/>
    </row>
    <row r="35" spans="1:10">
      <c r="A35" s="563"/>
      <c r="B35" s="560"/>
      <c r="C35" s="560"/>
      <c r="D35" s="560"/>
      <c r="E35" s="561"/>
      <c r="F35" s="561"/>
      <c r="G35" s="561"/>
      <c r="H35" s="564"/>
      <c r="I35" s="439">
        <f t="shared" si="2"/>
        <v>0</v>
      </c>
      <c r="J35" s="565"/>
    </row>
    <row r="36" spans="1:10">
      <c r="A36" s="563"/>
      <c r="B36" s="560"/>
      <c r="C36" s="560"/>
      <c r="D36" s="560"/>
      <c r="E36" s="561"/>
      <c r="F36" s="561"/>
      <c r="G36" s="561"/>
      <c r="H36" s="564"/>
      <c r="I36" s="439">
        <f t="shared" si="2"/>
        <v>0</v>
      </c>
      <c r="J36" s="565"/>
    </row>
    <row r="37" spans="1:10">
      <c r="A37" s="563"/>
      <c r="B37" s="560"/>
      <c r="C37" s="560"/>
      <c r="D37" s="560"/>
      <c r="E37" s="561"/>
      <c r="F37" s="561"/>
      <c r="G37" s="561"/>
      <c r="H37" s="564"/>
      <c r="I37" s="439">
        <f t="shared" si="2"/>
        <v>0</v>
      </c>
      <c r="J37" s="565"/>
    </row>
    <row r="38" spans="1:10">
      <c r="A38" s="563"/>
      <c r="B38" s="560"/>
      <c r="C38" s="560"/>
      <c r="D38" s="560"/>
      <c r="E38" s="561"/>
      <c r="F38" s="561"/>
      <c r="G38" s="561"/>
      <c r="H38" s="564"/>
      <c r="I38" s="439">
        <f t="shared" si="2"/>
        <v>0</v>
      </c>
      <c r="J38" s="565"/>
    </row>
    <row r="39" spans="1:10">
      <c r="A39" s="563"/>
      <c r="B39" s="560"/>
      <c r="C39" s="560"/>
      <c r="D39" s="560"/>
      <c r="E39" s="561"/>
      <c r="F39" s="561"/>
      <c r="G39" s="561"/>
      <c r="H39" s="564"/>
      <c r="I39" s="439">
        <f t="shared" si="2"/>
        <v>0</v>
      </c>
      <c r="J39" s="565"/>
    </row>
    <row r="40" spans="1:10">
      <c r="A40" s="563"/>
      <c r="B40" s="560"/>
      <c r="C40" s="560"/>
      <c r="D40" s="560"/>
      <c r="E40" s="561"/>
      <c r="F40" s="561"/>
      <c r="G40" s="561"/>
      <c r="H40" s="564"/>
      <c r="I40" s="439">
        <f t="shared" si="2"/>
        <v>0</v>
      </c>
      <c r="J40" s="565"/>
    </row>
    <row r="41" spans="1:10">
      <c r="A41" s="563"/>
      <c r="B41" s="560"/>
      <c r="C41" s="560"/>
      <c r="D41" s="560"/>
      <c r="E41" s="561"/>
      <c r="F41" s="561"/>
      <c r="G41" s="561"/>
      <c r="H41" s="564"/>
      <c r="I41" s="439">
        <f t="shared" si="2"/>
        <v>0</v>
      </c>
      <c r="J41" s="565"/>
    </row>
    <row r="42" spans="1:10">
      <c r="A42" s="563"/>
      <c r="B42" s="560"/>
      <c r="C42" s="560"/>
      <c r="D42" s="560"/>
      <c r="E42" s="561"/>
      <c r="F42" s="561"/>
      <c r="G42" s="561"/>
      <c r="H42" s="564"/>
      <c r="I42" s="439">
        <f t="shared" si="2"/>
        <v>0</v>
      </c>
      <c r="J42" s="565"/>
    </row>
    <row r="43" spans="1:10">
      <c r="A43" s="563"/>
      <c r="B43" s="560"/>
      <c r="C43" s="560"/>
      <c r="D43" s="560"/>
      <c r="E43" s="561"/>
      <c r="F43" s="561"/>
      <c r="G43" s="561"/>
      <c r="H43" s="564"/>
      <c r="I43" s="439">
        <f t="shared" si="2"/>
        <v>0</v>
      </c>
      <c r="J43" s="565"/>
    </row>
    <row r="44" spans="1:10">
      <c r="A44" s="563"/>
      <c r="B44" s="560"/>
      <c r="C44" s="560"/>
      <c r="D44" s="560"/>
      <c r="E44" s="561"/>
      <c r="F44" s="561"/>
      <c r="G44" s="561"/>
      <c r="H44" s="564"/>
      <c r="I44" s="439">
        <f t="shared" si="2"/>
        <v>0</v>
      </c>
      <c r="J44" s="565"/>
    </row>
    <row r="45" spans="1:10">
      <c r="A45" s="563"/>
      <c r="B45" s="560"/>
      <c r="C45" s="560"/>
      <c r="D45" s="560"/>
      <c r="E45" s="561"/>
      <c r="F45" s="561"/>
      <c r="G45" s="561"/>
      <c r="H45" s="562"/>
      <c r="I45" s="439">
        <f t="shared" si="2"/>
        <v>0</v>
      </c>
      <c r="J45" s="565"/>
    </row>
    <row r="46" spans="1:10">
      <c r="A46" s="563"/>
      <c r="B46" s="560"/>
      <c r="C46" s="560"/>
      <c r="D46" s="560"/>
      <c r="E46" s="561"/>
      <c r="F46" s="561"/>
      <c r="G46" s="561"/>
      <c r="H46" s="562"/>
      <c r="I46" s="439">
        <f t="shared" si="2"/>
        <v>0</v>
      </c>
      <c r="J46" s="565"/>
    </row>
    <row r="47" spans="1:10">
      <c r="A47" s="563"/>
      <c r="B47" s="560"/>
      <c r="C47" s="560"/>
      <c r="D47" s="560"/>
      <c r="E47" s="561"/>
      <c r="F47" s="561"/>
      <c r="G47" s="561"/>
      <c r="H47" s="562"/>
      <c r="I47" s="439">
        <f t="shared" si="2"/>
        <v>0</v>
      </c>
      <c r="J47" s="565"/>
    </row>
    <row r="48" spans="1:10">
      <c r="A48" s="563"/>
      <c r="B48" s="560"/>
      <c r="C48" s="560"/>
      <c r="D48" s="560"/>
      <c r="E48" s="561"/>
      <c r="F48" s="561"/>
      <c r="G48" s="561"/>
      <c r="H48" s="562"/>
      <c r="I48" s="439">
        <f t="shared" si="2"/>
        <v>0</v>
      </c>
      <c r="J48" s="565"/>
    </row>
    <row r="49" spans="1:10">
      <c r="A49" s="563"/>
      <c r="B49" s="560"/>
      <c r="C49" s="560"/>
      <c r="D49" s="560"/>
      <c r="E49" s="561"/>
      <c r="F49" s="561"/>
      <c r="G49" s="561"/>
      <c r="H49" s="562"/>
      <c r="I49" s="439">
        <f t="shared" si="2"/>
        <v>0</v>
      </c>
      <c r="J49" s="565"/>
    </row>
    <row r="50" spans="1:10">
      <c r="A50" s="563"/>
      <c r="B50" s="560"/>
      <c r="C50" s="560"/>
      <c r="D50" s="560"/>
      <c r="E50" s="561"/>
      <c r="F50" s="561"/>
      <c r="G50" s="561"/>
      <c r="H50" s="562"/>
      <c r="I50" s="439">
        <f t="shared" si="2"/>
        <v>0</v>
      </c>
      <c r="J50" s="565"/>
    </row>
    <row r="51" spans="1:10">
      <c r="A51" s="563"/>
      <c r="B51" s="560"/>
      <c r="C51" s="560"/>
      <c r="D51" s="560"/>
      <c r="E51" s="561"/>
      <c r="F51" s="561"/>
      <c r="G51" s="561"/>
      <c r="H51" s="562"/>
      <c r="I51" s="439">
        <f t="shared" si="2"/>
        <v>0</v>
      </c>
      <c r="J51" s="565"/>
    </row>
    <row r="52" spans="1:10">
      <c r="A52" s="563"/>
      <c r="B52" s="560"/>
      <c r="C52" s="560"/>
      <c r="D52" s="560"/>
      <c r="E52" s="561"/>
      <c r="F52" s="561"/>
      <c r="G52" s="561"/>
      <c r="H52" s="562"/>
      <c r="I52" s="439">
        <f t="shared" si="2"/>
        <v>0</v>
      </c>
      <c r="J52" s="565"/>
    </row>
    <row r="53" spans="1:10">
      <c r="A53" s="563"/>
      <c r="B53" s="560"/>
      <c r="C53" s="560"/>
      <c r="D53" s="560"/>
      <c r="E53" s="561"/>
      <c r="F53" s="561"/>
      <c r="G53" s="561"/>
      <c r="H53" s="562"/>
      <c r="I53" s="439">
        <f t="shared" si="2"/>
        <v>0</v>
      </c>
      <c r="J53" s="565"/>
    </row>
    <row r="54" spans="1:10">
      <c r="A54" s="563"/>
      <c r="B54" s="560"/>
      <c r="C54" s="560"/>
      <c r="D54" s="560"/>
      <c r="E54" s="561"/>
      <c r="F54" s="561"/>
      <c r="G54" s="561"/>
      <c r="H54" s="562"/>
      <c r="I54" s="439">
        <f t="shared" si="2"/>
        <v>0</v>
      </c>
      <c r="J54" s="565"/>
    </row>
    <row r="55" spans="1:10">
      <c r="A55" s="563"/>
      <c r="B55" s="560"/>
      <c r="C55" s="560"/>
      <c r="D55" s="560"/>
      <c r="E55" s="561"/>
      <c r="F55" s="561"/>
      <c r="G55" s="561"/>
      <c r="H55" s="562"/>
      <c r="I55" s="439">
        <f t="shared" si="2"/>
        <v>0</v>
      </c>
      <c r="J55" s="565"/>
    </row>
    <row r="56" spans="1:10">
      <c r="A56" s="563"/>
      <c r="B56" s="560"/>
      <c r="C56" s="560"/>
      <c r="D56" s="560"/>
      <c r="E56" s="561"/>
      <c r="F56" s="561"/>
      <c r="G56" s="561"/>
      <c r="H56" s="562"/>
      <c r="I56" s="439">
        <f t="shared" si="2"/>
        <v>0</v>
      </c>
      <c r="J56" s="565"/>
    </row>
    <row r="57" spans="1:10">
      <c r="A57" s="563"/>
      <c r="B57" s="560"/>
      <c r="C57" s="560"/>
      <c r="D57" s="560"/>
      <c r="E57" s="561"/>
      <c r="F57" s="561"/>
      <c r="G57" s="561"/>
      <c r="H57" s="562"/>
      <c r="I57" s="439">
        <f t="shared" si="2"/>
        <v>0</v>
      </c>
      <c r="J57" s="565"/>
    </row>
    <row r="58" spans="1:10">
      <c r="A58" s="563"/>
      <c r="B58" s="560"/>
      <c r="C58" s="560"/>
      <c r="D58" s="560"/>
      <c r="E58" s="561"/>
      <c r="F58" s="561"/>
      <c r="G58" s="561"/>
      <c r="H58" s="562"/>
      <c r="I58" s="439">
        <f t="shared" si="2"/>
        <v>0</v>
      </c>
      <c r="J58" s="565"/>
    </row>
    <row r="59" spans="1:10">
      <c r="A59" s="563"/>
      <c r="B59" s="560"/>
      <c r="C59" s="560"/>
      <c r="D59" s="560"/>
      <c r="E59" s="561"/>
      <c r="F59" s="561"/>
      <c r="G59" s="561"/>
      <c r="H59" s="562"/>
      <c r="I59" s="439">
        <f t="shared" si="2"/>
        <v>0</v>
      </c>
      <c r="J59" s="565"/>
    </row>
    <row r="60" spans="1:10">
      <c r="A60" s="563"/>
      <c r="B60" s="560"/>
      <c r="C60" s="560"/>
      <c r="D60" s="560"/>
      <c r="E60" s="561"/>
      <c r="F60" s="561"/>
      <c r="G60" s="561"/>
      <c r="H60" s="562"/>
      <c r="I60" s="439">
        <f t="shared" si="2"/>
        <v>0</v>
      </c>
      <c r="J60" s="565"/>
    </row>
    <row r="61" spans="1:10">
      <c r="A61" s="563"/>
      <c r="B61" s="560"/>
      <c r="C61" s="560"/>
      <c r="D61" s="560"/>
      <c r="E61" s="561"/>
      <c r="F61" s="561"/>
      <c r="G61" s="561"/>
      <c r="H61" s="562"/>
      <c r="I61" s="439">
        <f t="shared" si="2"/>
        <v>0</v>
      </c>
      <c r="J61" s="565"/>
    </row>
    <row r="62" spans="1:10">
      <c r="A62" s="563"/>
      <c r="B62" s="560"/>
      <c r="C62" s="560"/>
      <c r="D62" s="560"/>
      <c r="E62" s="561"/>
      <c r="F62" s="561"/>
      <c r="G62" s="561"/>
      <c r="H62" s="562"/>
      <c r="I62" s="439">
        <f t="shared" si="2"/>
        <v>0</v>
      </c>
      <c r="J62" s="565"/>
    </row>
    <row r="63" spans="1:10">
      <c r="A63" s="563"/>
      <c r="B63" s="560"/>
      <c r="C63" s="560"/>
      <c r="D63" s="560"/>
      <c r="E63" s="561"/>
      <c r="F63" s="561"/>
      <c r="G63" s="561"/>
      <c r="H63" s="562"/>
      <c r="I63" s="439">
        <f t="shared" si="2"/>
        <v>0</v>
      </c>
      <c r="J63" s="565"/>
    </row>
    <row r="64" spans="1:10">
      <c r="A64" s="563"/>
      <c r="B64" s="560"/>
      <c r="C64" s="560"/>
      <c r="D64" s="560"/>
      <c r="E64" s="561"/>
      <c r="F64" s="561"/>
      <c r="G64" s="561"/>
      <c r="H64" s="562"/>
      <c r="I64" s="439">
        <f t="shared" si="2"/>
        <v>0</v>
      </c>
      <c r="J64" s="565"/>
    </row>
    <row r="65" spans="1:10">
      <c r="A65" s="563"/>
      <c r="B65" s="560"/>
      <c r="C65" s="560"/>
      <c r="D65" s="560"/>
      <c r="E65" s="561"/>
      <c r="F65" s="561"/>
      <c r="G65" s="561"/>
      <c r="H65" s="562"/>
      <c r="I65" s="439">
        <f t="shared" si="2"/>
        <v>0</v>
      </c>
      <c r="J65" s="565"/>
    </row>
    <row r="66" spans="1:10">
      <c r="A66" s="563"/>
      <c r="B66" s="560"/>
      <c r="C66" s="560"/>
      <c r="D66" s="560"/>
      <c r="E66" s="561"/>
      <c r="F66" s="561"/>
      <c r="G66" s="561"/>
      <c r="H66" s="562"/>
      <c r="I66" s="439">
        <f t="shared" si="2"/>
        <v>0</v>
      </c>
      <c r="J66" s="565"/>
    </row>
    <row r="67" spans="1:10">
      <c r="A67" s="563"/>
      <c r="B67" s="560"/>
      <c r="C67" s="560"/>
      <c r="D67" s="560"/>
      <c r="E67" s="561"/>
      <c r="F67" s="561"/>
      <c r="G67" s="561"/>
      <c r="H67" s="562"/>
      <c r="I67" s="439">
        <f t="shared" si="2"/>
        <v>0</v>
      </c>
      <c r="J67" s="565"/>
    </row>
    <row r="68" spans="1:10">
      <c r="A68" s="563"/>
      <c r="B68" s="560"/>
      <c r="C68" s="560"/>
      <c r="D68" s="560"/>
      <c r="E68" s="561"/>
      <c r="F68" s="561"/>
      <c r="G68" s="561"/>
      <c r="H68" s="562"/>
      <c r="I68" s="439">
        <f t="shared" si="2"/>
        <v>0</v>
      </c>
      <c r="J68" s="565"/>
    </row>
    <row r="69" spans="1:10">
      <c r="A69" s="563"/>
      <c r="B69" s="560"/>
      <c r="C69" s="560"/>
      <c r="D69" s="560"/>
      <c r="E69" s="561"/>
      <c r="F69" s="561"/>
      <c r="G69" s="561"/>
      <c r="H69" s="562"/>
      <c r="I69" s="439">
        <f t="shared" si="2"/>
        <v>0</v>
      </c>
      <c r="J69" s="565"/>
    </row>
    <row r="70" spans="1:10">
      <c r="A70" s="563"/>
      <c r="B70" s="560"/>
      <c r="C70" s="560"/>
      <c r="D70" s="560"/>
      <c r="E70" s="561"/>
      <c r="F70" s="561"/>
      <c r="G70" s="561"/>
      <c r="H70" s="562"/>
      <c r="I70" s="439">
        <f t="shared" si="2"/>
        <v>0</v>
      </c>
      <c r="J70" s="565"/>
    </row>
    <row r="71" spans="1:10">
      <c r="A71" s="563"/>
      <c r="B71" s="560"/>
      <c r="C71" s="560"/>
      <c r="D71" s="560"/>
      <c r="E71" s="561"/>
      <c r="F71" s="561"/>
      <c r="G71" s="561"/>
      <c r="H71" s="562"/>
      <c r="I71" s="439">
        <f t="shared" si="2"/>
        <v>0</v>
      </c>
      <c r="J71" s="565"/>
    </row>
    <row r="72" spans="1:10">
      <c r="A72" s="563"/>
      <c r="B72" s="560"/>
      <c r="C72" s="560"/>
      <c r="D72" s="560"/>
      <c r="E72" s="561"/>
      <c r="F72" s="561"/>
      <c r="G72" s="561"/>
      <c r="H72" s="562"/>
      <c r="I72" s="439">
        <f t="shared" si="2"/>
        <v>0</v>
      </c>
      <c r="J72" s="565"/>
    </row>
    <row r="73" spans="1:10">
      <c r="A73" s="563"/>
      <c r="B73" s="560"/>
      <c r="C73" s="560"/>
      <c r="D73" s="560"/>
      <c r="E73" s="561"/>
      <c r="F73" s="561"/>
      <c r="G73" s="561"/>
      <c r="H73" s="562"/>
      <c r="I73" s="439">
        <f t="shared" si="2"/>
        <v>0</v>
      </c>
      <c r="J73" s="565"/>
    </row>
    <row r="74" spans="1:10">
      <c r="A74" s="563"/>
      <c r="B74" s="560"/>
      <c r="C74" s="560"/>
      <c r="D74" s="560"/>
      <c r="E74" s="561"/>
      <c r="F74" s="561"/>
      <c r="G74" s="561"/>
      <c r="H74" s="562"/>
      <c r="I74" s="439">
        <f t="shared" si="2"/>
        <v>0</v>
      </c>
      <c r="J74" s="565"/>
    </row>
    <row r="75" spans="1:10">
      <c r="A75" s="563"/>
      <c r="B75" s="560"/>
      <c r="C75" s="560"/>
      <c r="D75" s="560"/>
      <c r="E75" s="561"/>
      <c r="F75" s="561"/>
      <c r="G75" s="561"/>
      <c r="H75" s="562"/>
      <c r="I75" s="439">
        <f t="shared" si="2"/>
        <v>0</v>
      </c>
      <c r="J75" s="565"/>
    </row>
    <row r="76" spans="1:10">
      <c r="A76" s="563"/>
      <c r="B76" s="560"/>
      <c r="C76" s="560"/>
      <c r="D76" s="560"/>
      <c r="E76" s="561"/>
      <c r="F76" s="561"/>
      <c r="G76" s="561"/>
      <c r="H76" s="562"/>
      <c r="I76" s="439">
        <f t="shared" si="2"/>
        <v>0</v>
      </c>
      <c r="J76" s="565"/>
    </row>
    <row r="77" spans="1:10">
      <c r="A77" s="563"/>
      <c r="B77" s="560"/>
      <c r="C77" s="560"/>
      <c r="D77" s="560"/>
      <c r="E77" s="561"/>
      <c r="F77" s="561"/>
      <c r="G77" s="561"/>
      <c r="H77" s="562"/>
      <c r="I77" s="439">
        <f t="shared" si="2"/>
        <v>0</v>
      </c>
      <c r="J77" s="565"/>
    </row>
    <row r="78" spans="1:10">
      <c r="A78" s="563"/>
      <c r="B78" s="560"/>
      <c r="C78" s="560"/>
      <c r="D78" s="560"/>
      <c r="E78" s="561"/>
      <c r="F78" s="561"/>
      <c r="G78" s="561"/>
      <c r="H78" s="562"/>
      <c r="I78" s="439">
        <f t="shared" si="2"/>
        <v>0</v>
      </c>
      <c r="J78" s="565"/>
    </row>
    <row r="79" spans="1:10">
      <c r="A79" s="563"/>
      <c r="B79" s="560"/>
      <c r="C79" s="560"/>
      <c r="D79" s="560"/>
      <c r="E79" s="561"/>
      <c r="F79" s="561"/>
      <c r="G79" s="561"/>
      <c r="H79" s="562"/>
      <c r="I79" s="439">
        <f t="shared" si="2"/>
        <v>0</v>
      </c>
      <c r="J79" s="565"/>
    </row>
    <row r="80" spans="1:10">
      <c r="A80" s="563"/>
      <c r="B80" s="560"/>
      <c r="C80" s="560"/>
      <c r="D80" s="560"/>
      <c r="E80" s="561"/>
      <c r="F80" s="561"/>
      <c r="G80" s="561"/>
      <c r="H80" s="562"/>
      <c r="I80" s="439">
        <f t="shared" si="2"/>
        <v>0</v>
      </c>
      <c r="J80" s="565"/>
    </row>
    <row r="81" spans="1:10">
      <c r="A81" s="563"/>
      <c r="B81" s="560"/>
      <c r="C81" s="560"/>
      <c r="D81" s="560"/>
      <c r="E81" s="561"/>
      <c r="F81" s="561"/>
      <c r="G81" s="561"/>
      <c r="H81" s="562"/>
      <c r="I81" s="439">
        <f t="shared" si="2"/>
        <v>0</v>
      </c>
      <c r="J81" s="565"/>
    </row>
    <row r="82" spans="1:10">
      <c r="A82" s="563"/>
      <c r="B82" s="560"/>
      <c r="C82" s="560"/>
      <c r="D82" s="560"/>
      <c r="E82" s="561"/>
      <c r="F82" s="561"/>
      <c r="G82" s="561"/>
      <c r="H82" s="562"/>
      <c r="I82" s="439">
        <f t="shared" si="2"/>
        <v>0</v>
      </c>
      <c r="J82" s="565"/>
    </row>
    <row r="83" spans="1:10">
      <c r="A83" s="563"/>
      <c r="B83" s="560"/>
      <c r="C83" s="560"/>
      <c r="D83" s="560"/>
      <c r="E83" s="561"/>
      <c r="F83" s="561"/>
      <c r="G83" s="561"/>
      <c r="H83" s="562"/>
      <c r="I83" s="439">
        <f t="shared" si="2"/>
        <v>0</v>
      </c>
      <c r="J83" s="565"/>
    </row>
    <row r="84" spans="1:10">
      <c r="A84" s="563"/>
      <c r="B84" s="560"/>
      <c r="C84" s="560"/>
      <c r="D84" s="560"/>
      <c r="E84" s="561"/>
      <c r="F84" s="561"/>
      <c r="G84" s="561"/>
      <c r="H84" s="562"/>
      <c r="I84" s="439">
        <f t="shared" si="2"/>
        <v>0</v>
      </c>
      <c r="J84" s="565"/>
    </row>
    <row r="85" spans="1:10">
      <c r="A85" s="563"/>
      <c r="B85" s="560"/>
      <c r="C85" s="560"/>
      <c r="D85" s="560"/>
      <c r="E85" s="561"/>
      <c r="F85" s="561"/>
      <c r="G85" s="561"/>
      <c r="H85" s="562"/>
      <c r="I85" s="439">
        <f t="shared" si="2"/>
        <v>0</v>
      </c>
      <c r="J85" s="565"/>
    </row>
    <row r="86" spans="1:10">
      <c r="A86" s="563"/>
      <c r="B86" s="560"/>
      <c r="C86" s="560"/>
      <c r="D86" s="560"/>
      <c r="E86" s="561"/>
      <c r="F86" s="561"/>
      <c r="G86" s="561"/>
      <c r="H86" s="562"/>
      <c r="I86" s="439">
        <f t="shared" si="2"/>
        <v>0</v>
      </c>
      <c r="J86" s="565"/>
    </row>
    <row r="87" spans="1:10">
      <c r="A87" s="563"/>
      <c r="B87" s="560"/>
      <c r="C87" s="560"/>
      <c r="D87" s="560"/>
      <c r="E87" s="561"/>
      <c r="F87" s="561"/>
      <c r="G87" s="561"/>
      <c r="H87" s="562"/>
      <c r="I87" s="439">
        <f t="shared" si="2"/>
        <v>0</v>
      </c>
      <c r="J87" s="565"/>
    </row>
    <row r="88" spans="1:10">
      <c r="A88" s="563"/>
      <c r="B88" s="560"/>
      <c r="C88" s="560"/>
      <c r="D88" s="560"/>
      <c r="E88" s="561"/>
      <c r="F88" s="561"/>
      <c r="G88" s="561"/>
      <c r="H88" s="562"/>
      <c r="I88" s="439">
        <f t="shared" si="2"/>
        <v>0</v>
      </c>
      <c r="J88" s="565"/>
    </row>
    <row r="89" spans="1:10">
      <c r="A89" s="563"/>
      <c r="B89" s="560"/>
      <c r="C89" s="560"/>
      <c r="D89" s="560"/>
      <c r="E89" s="561"/>
      <c r="F89" s="561"/>
      <c r="G89" s="561"/>
      <c r="H89" s="562"/>
      <c r="I89" s="439">
        <f t="shared" si="2"/>
        <v>0</v>
      </c>
      <c r="J89" s="565"/>
    </row>
    <row r="90" spans="1:10">
      <c r="A90" s="563"/>
      <c r="B90" s="560"/>
      <c r="C90" s="560"/>
      <c r="D90" s="560"/>
      <c r="E90" s="561"/>
      <c r="F90" s="561"/>
      <c r="G90" s="561"/>
      <c r="H90" s="562"/>
      <c r="I90" s="439">
        <f t="shared" si="2"/>
        <v>0</v>
      </c>
      <c r="J90" s="565"/>
    </row>
    <row r="91" spans="1:10">
      <c r="A91" s="563"/>
      <c r="B91" s="560"/>
      <c r="C91" s="560"/>
      <c r="D91" s="560"/>
      <c r="E91" s="561"/>
      <c r="F91" s="561"/>
      <c r="G91" s="561"/>
      <c r="H91" s="562"/>
      <c r="I91" s="439">
        <f t="shared" si="2"/>
        <v>0</v>
      </c>
      <c r="J91" s="565"/>
    </row>
    <row r="92" spans="1:10">
      <c r="A92" s="563"/>
      <c r="B92" s="560"/>
      <c r="C92" s="560"/>
      <c r="D92" s="560"/>
      <c r="E92" s="561"/>
      <c r="F92" s="561"/>
      <c r="G92" s="561"/>
      <c r="H92" s="562"/>
      <c r="I92" s="439">
        <f t="shared" si="2"/>
        <v>0</v>
      </c>
      <c r="J92" s="565"/>
    </row>
    <row r="93" spans="1:10">
      <c r="A93" s="563"/>
      <c r="B93" s="560"/>
      <c r="C93" s="560"/>
      <c r="D93" s="560"/>
      <c r="E93" s="561"/>
      <c r="F93" s="561"/>
      <c r="G93" s="561"/>
      <c r="H93" s="562"/>
      <c r="I93" s="439">
        <f t="shared" si="2"/>
        <v>0</v>
      </c>
      <c r="J93" s="565"/>
    </row>
    <row r="94" spans="1:10">
      <c r="A94" s="563"/>
      <c r="B94" s="560"/>
      <c r="C94" s="560"/>
      <c r="D94" s="560"/>
      <c r="E94" s="561"/>
      <c r="F94" s="561"/>
      <c r="G94" s="561"/>
      <c r="H94" s="562"/>
      <c r="I94" s="439">
        <f t="shared" ref="I94:I102" si="3">H94*F94</f>
        <v>0</v>
      </c>
      <c r="J94" s="565"/>
    </row>
    <row r="95" spans="1:10">
      <c r="A95" s="563"/>
      <c r="B95" s="560"/>
      <c r="C95" s="560"/>
      <c r="D95" s="560"/>
      <c r="E95" s="561"/>
      <c r="F95" s="561"/>
      <c r="G95" s="561"/>
      <c r="H95" s="562"/>
      <c r="I95" s="439">
        <f t="shared" si="3"/>
        <v>0</v>
      </c>
      <c r="J95" s="565"/>
    </row>
    <row r="96" spans="1:10">
      <c r="A96" s="563"/>
      <c r="B96" s="560"/>
      <c r="C96" s="560"/>
      <c r="D96" s="560"/>
      <c r="E96" s="561"/>
      <c r="F96" s="561"/>
      <c r="G96" s="561"/>
      <c r="H96" s="562"/>
      <c r="I96" s="439">
        <f t="shared" si="3"/>
        <v>0</v>
      </c>
      <c r="J96" s="565"/>
    </row>
    <row r="97" spans="1:10">
      <c r="A97" s="563"/>
      <c r="B97" s="560"/>
      <c r="C97" s="560"/>
      <c r="D97" s="560"/>
      <c r="E97" s="561"/>
      <c r="F97" s="561"/>
      <c r="G97" s="561"/>
      <c r="H97" s="562"/>
      <c r="I97" s="439">
        <f t="shared" si="3"/>
        <v>0</v>
      </c>
      <c r="J97" s="565"/>
    </row>
    <row r="98" spans="1:10">
      <c r="A98" s="563"/>
      <c r="B98" s="560"/>
      <c r="C98" s="560"/>
      <c r="D98" s="560"/>
      <c r="E98" s="561"/>
      <c r="F98" s="561"/>
      <c r="G98" s="561"/>
      <c r="H98" s="562"/>
      <c r="I98" s="439">
        <f t="shared" si="3"/>
        <v>0</v>
      </c>
      <c r="J98" s="565"/>
    </row>
    <row r="99" spans="1:10">
      <c r="A99" s="563"/>
      <c r="B99" s="560"/>
      <c r="C99" s="560"/>
      <c r="D99" s="560"/>
      <c r="E99" s="561"/>
      <c r="F99" s="561"/>
      <c r="G99" s="561"/>
      <c r="H99" s="562"/>
      <c r="I99" s="439">
        <f t="shared" si="3"/>
        <v>0</v>
      </c>
      <c r="J99" s="565"/>
    </row>
    <row r="100" spans="1:10">
      <c r="A100" s="563"/>
      <c r="B100" s="560"/>
      <c r="C100" s="560"/>
      <c r="D100" s="560"/>
      <c r="E100" s="561"/>
      <c r="F100" s="561"/>
      <c r="G100" s="561"/>
      <c r="H100" s="562"/>
      <c r="I100" s="439">
        <f t="shared" si="3"/>
        <v>0</v>
      </c>
      <c r="J100" s="565"/>
    </row>
    <row r="101" spans="1:10">
      <c r="A101" s="563"/>
      <c r="B101" s="560"/>
      <c r="C101" s="560"/>
      <c r="D101" s="560"/>
      <c r="E101" s="561"/>
      <c r="F101" s="561"/>
      <c r="G101" s="561"/>
      <c r="H101" s="562"/>
      <c r="I101" s="439">
        <f t="shared" si="3"/>
        <v>0</v>
      </c>
      <c r="J101" s="565"/>
    </row>
    <row r="102" spans="1:10">
      <c r="A102" s="563"/>
      <c r="B102" s="560"/>
      <c r="C102" s="560"/>
      <c r="D102" s="560"/>
      <c r="E102" s="561"/>
      <c r="F102" s="561"/>
      <c r="G102" s="561"/>
      <c r="H102" s="562"/>
      <c r="I102" s="439">
        <f t="shared" si="3"/>
        <v>0</v>
      </c>
      <c r="J102" s="565"/>
    </row>
  </sheetData>
  <autoFilter ref="A2:J44"/>
  <sortState ref="A3:J29">
    <sortCondition ref="A2:A29"/>
  </sortState>
  <dataValidations count="4">
    <dataValidation type="list" allowBlank="1" showInputMessage="1" showErrorMessage="1" sqref="A3:A102">
      <formula1>MODULY</formula1>
    </dataValidation>
    <dataValidation type="list" allowBlank="1" showInputMessage="1" showErrorMessage="1" sqref="C3:C102">
      <formula1>"HW,SW, SW pre HW"</formula1>
    </dataValidation>
    <dataValidation type="list" allowBlank="1" showInputMessage="1" showErrorMessage="1" sqref="D5:D102">
      <formula1>"013 Softvér,022 Samostatné hnuteľné veci a súbory hnuteľných vecí,112 Zásoby"</formula1>
    </dataValidation>
    <dataValidation type="list" allowBlank="1" showInputMessage="1" showErrorMessage="1" sqref="D3:D4">
      <formula1>"518 Ostatné služby,013 Softvér,022 Samostatné hnuteľné veci a súbory hnuteľných vecí,112 Zásoby"</formula1>
    </dataValidation>
  </dataValidations>
  <pageMargins left="0.7" right="0.7" top="0.75" bottom="0.75" header="0.3" footer="0.3"/>
  <pageSetup paperSize="9" scale="55"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16">
    <tabColor rgb="FF00B050"/>
  </sheetPr>
  <dimension ref="A1:J97"/>
  <sheetViews>
    <sheetView topLeftCell="G1" zoomScale="110" zoomScaleNormal="110" workbookViewId="0">
      <pane ySplit="2" topLeftCell="A21" activePane="bottomLeft" state="frozen"/>
      <selection activeCell="J3" sqref="J3:J11"/>
      <selection pane="bottomLeft" activeCell="X28" sqref="X28"/>
    </sheetView>
  </sheetViews>
  <sheetFormatPr defaultColWidth="8.85546875" defaultRowHeight="15"/>
  <cols>
    <col min="1" max="1" width="3" style="364" customWidth="1"/>
    <col min="2" max="2" width="24.140625" style="364" customWidth="1"/>
    <col min="3" max="3" width="28.5703125" style="364" customWidth="1"/>
    <col min="4" max="6" width="13.85546875" style="364" customWidth="1"/>
    <col min="7" max="10" width="12.140625" style="364" customWidth="1"/>
    <col min="11" max="16384" width="8.85546875" style="364"/>
  </cols>
  <sheetData>
    <row r="1" spans="1:10">
      <c r="B1" s="366"/>
      <c r="C1" s="366"/>
      <c r="D1" s="366"/>
      <c r="E1" s="366"/>
      <c r="F1" s="366"/>
      <c r="G1" s="866" t="s">
        <v>302</v>
      </c>
      <c r="H1" s="866"/>
      <c r="I1" s="866"/>
      <c r="J1" s="866"/>
    </row>
    <row r="2" spans="1:10" s="368" customFormat="1" ht="30">
      <c r="A2" s="367" t="s">
        <v>271</v>
      </c>
      <c r="B2" s="367" t="s">
        <v>260</v>
      </c>
      <c r="C2" s="367" t="s">
        <v>261</v>
      </c>
      <c r="D2" s="531" t="s">
        <v>267</v>
      </c>
      <c r="E2" s="531" t="s">
        <v>299</v>
      </c>
      <c r="F2" s="531" t="s">
        <v>300</v>
      </c>
      <c r="G2" s="531" t="s">
        <v>268</v>
      </c>
      <c r="H2" s="477" t="s">
        <v>769</v>
      </c>
      <c r="I2" s="531" t="s">
        <v>270</v>
      </c>
      <c r="J2" s="531" t="s">
        <v>269</v>
      </c>
    </row>
    <row r="3" spans="1:10">
      <c r="A3" s="868">
        <v>1</v>
      </c>
      <c r="B3" s="867" t="s">
        <v>784</v>
      </c>
      <c r="C3" s="369" t="str">
        <f>IFERROR(IF(ISTEXT(B3),"Analýza a dizajn",""),)</f>
        <v>Analýza a dizajn</v>
      </c>
      <c r="D3" s="369" t="str">
        <f>IFERROR(VLOOKUP(B3,MODULY_CBA!$B$3:$I$23,6,0),"")</f>
        <v>Inkrement 1</v>
      </c>
      <c r="E3" s="370">
        <f>IFERROR(VLOOKUP(D3,INKREMENTY!$A$2:$F$21,2,0),"")</f>
        <v>45292</v>
      </c>
      <c r="F3" s="370">
        <f>IFERROR(VLOOKUP(D3,INKREMENTY!$A$2:$F$21,4,0),"")</f>
        <v>46022</v>
      </c>
      <c r="G3" s="369">
        <f>IFERROR(ROUND(((E3-$E$3)+1)/30,0)+1,)</f>
        <v>1</v>
      </c>
      <c r="H3" s="369">
        <f>G3-1</f>
        <v>0</v>
      </c>
      <c r="I3" s="550">
        <v>10</v>
      </c>
      <c r="J3" s="369">
        <f>H3+I3</f>
        <v>10</v>
      </c>
    </row>
    <row r="4" spans="1:10">
      <c r="A4" s="868"/>
      <c r="B4" s="867"/>
      <c r="C4" s="369" t="str">
        <f>IFERROR(IF(ISTEXT(B3),"Nákupo HW a krabicový SW",""),)</f>
        <v>Nákupo HW a krabicový SW</v>
      </c>
      <c r="D4" s="366"/>
      <c r="E4" s="366"/>
      <c r="F4" s="366"/>
      <c r="G4" s="550">
        <v>8</v>
      </c>
      <c r="H4" s="369">
        <f t="shared" ref="H4:H57" si="0">G4-1</f>
        <v>7</v>
      </c>
      <c r="I4" s="550">
        <v>14</v>
      </c>
      <c r="J4" s="369">
        <f>H4+I4</f>
        <v>21</v>
      </c>
    </row>
    <row r="5" spans="1:10">
      <c r="A5" s="868"/>
      <c r="B5" s="867"/>
      <c r="C5" s="369" t="str">
        <f>IFERROR(IF(ISTEXT(B3),"Implementácia",""),)</f>
        <v>Implementácia</v>
      </c>
      <c r="D5" s="366"/>
      <c r="E5" s="366"/>
      <c r="F5" s="366"/>
      <c r="G5" s="550">
        <v>8</v>
      </c>
      <c r="H5" s="369">
        <f t="shared" si="0"/>
        <v>7</v>
      </c>
      <c r="I5" s="550">
        <v>14</v>
      </c>
      <c r="J5" s="369">
        <f>H5+I5</f>
        <v>21</v>
      </c>
    </row>
    <row r="6" spans="1:10">
      <c r="A6" s="868"/>
      <c r="B6" s="867"/>
      <c r="C6" s="369" t="str">
        <f>IFERROR(IF(ISTEXT(B3),"Testovanie",""),)</f>
        <v>Testovanie</v>
      </c>
      <c r="D6" s="366"/>
      <c r="E6" s="366"/>
      <c r="F6" s="366"/>
      <c r="G6" s="550">
        <v>8</v>
      </c>
      <c r="H6" s="369">
        <f t="shared" si="0"/>
        <v>7</v>
      </c>
      <c r="I6" s="550">
        <v>14</v>
      </c>
      <c r="J6" s="369">
        <f>H6+I6</f>
        <v>21</v>
      </c>
    </row>
    <row r="7" spans="1:10">
      <c r="A7" s="868"/>
      <c r="B7" s="867"/>
      <c r="C7" s="369" t="str">
        <f>IFERROR(IF(ISTEXT(B3),"Nasadenie",""),)</f>
        <v>Nasadenie</v>
      </c>
      <c r="D7" s="366"/>
      <c r="E7" s="366"/>
      <c r="F7" s="366"/>
      <c r="G7" s="550">
        <v>19</v>
      </c>
      <c r="H7" s="369">
        <f t="shared" si="0"/>
        <v>18</v>
      </c>
      <c r="I7" s="369">
        <f>J7-H7</f>
        <v>6</v>
      </c>
      <c r="J7" s="369">
        <f>IFERROR(ROUND((F3-$E$3+1)/30,0),)</f>
        <v>24</v>
      </c>
    </row>
    <row r="8" spans="1:10">
      <c r="A8" s="868">
        <v>2</v>
      </c>
      <c r="B8" s="867" t="s">
        <v>785</v>
      </c>
      <c r="C8" s="369" t="str">
        <f>IFERROR(IF(ISTEXT(B8),"Analýza a dizajn",""),)</f>
        <v>Analýza a dizajn</v>
      </c>
      <c r="D8" s="369" t="str">
        <f>IFERROR(VLOOKUP(B8,MODULY_CBA!$B$3:$I$23,6,0),"")</f>
        <v>Inkrement 1</v>
      </c>
      <c r="E8" s="370">
        <f>IFERROR(VLOOKUP(D8,INKREMENTY!$A$2:$F$21,2,0),"")</f>
        <v>45292</v>
      </c>
      <c r="F8" s="370">
        <f>IFERROR(VLOOKUP(D8,INKREMENTY!$A$2:$F$21,4,0),"")</f>
        <v>46022</v>
      </c>
      <c r="G8" s="369">
        <f>IFERROR(ROUND(((E8-$E$3)+1)/30,0)+1,)</f>
        <v>1</v>
      </c>
      <c r="H8" s="369">
        <f t="shared" si="0"/>
        <v>0</v>
      </c>
      <c r="I8" s="550">
        <v>10</v>
      </c>
      <c r="J8" s="369">
        <f t="shared" ref="J8:J11" si="1">H8+I8</f>
        <v>10</v>
      </c>
    </row>
    <row r="9" spans="1:10">
      <c r="A9" s="868"/>
      <c r="B9" s="867"/>
      <c r="C9" s="369" t="str">
        <f>IFERROR(IF(ISTEXT(B8),"Nákupo HW a krabicový SW",""),)</f>
        <v>Nákupo HW a krabicový SW</v>
      </c>
      <c r="D9" s="366"/>
      <c r="E9" s="366"/>
      <c r="F9" s="366"/>
      <c r="G9" s="550">
        <v>8</v>
      </c>
      <c r="H9" s="369">
        <f t="shared" si="0"/>
        <v>7</v>
      </c>
      <c r="I9" s="550">
        <v>14</v>
      </c>
      <c r="J9" s="369">
        <f t="shared" si="1"/>
        <v>21</v>
      </c>
    </row>
    <row r="10" spans="1:10">
      <c r="A10" s="868"/>
      <c r="B10" s="867"/>
      <c r="C10" s="369" t="str">
        <f>IFERROR(IF(ISTEXT(B8),"Implementácia",""),)</f>
        <v>Implementácia</v>
      </c>
      <c r="D10" s="366"/>
      <c r="E10" s="366"/>
      <c r="F10" s="366"/>
      <c r="G10" s="550">
        <v>8</v>
      </c>
      <c r="H10" s="369">
        <f t="shared" si="0"/>
        <v>7</v>
      </c>
      <c r="I10" s="550">
        <v>14</v>
      </c>
      <c r="J10" s="369">
        <f t="shared" si="1"/>
        <v>21</v>
      </c>
    </row>
    <row r="11" spans="1:10">
      <c r="A11" s="868"/>
      <c r="B11" s="867"/>
      <c r="C11" s="369" t="str">
        <f>IFERROR(IF(ISTEXT(B8),"Testovanie",""),)</f>
        <v>Testovanie</v>
      </c>
      <c r="D11" s="366"/>
      <c r="E11" s="366"/>
      <c r="F11" s="366"/>
      <c r="G11" s="550">
        <v>8</v>
      </c>
      <c r="H11" s="369">
        <f t="shared" si="0"/>
        <v>7</v>
      </c>
      <c r="I11" s="550">
        <v>14</v>
      </c>
      <c r="J11" s="369">
        <f t="shared" si="1"/>
        <v>21</v>
      </c>
    </row>
    <row r="12" spans="1:10">
      <c r="A12" s="868"/>
      <c r="B12" s="867"/>
      <c r="C12" s="369" t="str">
        <f>IFERROR(IF(ISTEXT(B8),"Nasadenie",""),)</f>
        <v>Nasadenie</v>
      </c>
      <c r="D12" s="366"/>
      <c r="E12" s="366"/>
      <c r="F12" s="366"/>
      <c r="G12" s="550">
        <v>19</v>
      </c>
      <c r="H12" s="369">
        <f t="shared" si="0"/>
        <v>18</v>
      </c>
      <c r="I12" s="369">
        <f>J12-H12</f>
        <v>6</v>
      </c>
      <c r="J12" s="369">
        <f>IFERROR(ROUND((F8-$E$3+1)/30,0),)</f>
        <v>24</v>
      </c>
    </row>
    <row r="13" spans="1:10">
      <c r="A13" s="868">
        <v>3</v>
      </c>
      <c r="B13" s="867" t="s">
        <v>786</v>
      </c>
      <c r="C13" s="369" t="str">
        <f>IFERROR(IF(ISTEXT(B13),"Analýza a dizajn",""),)</f>
        <v>Analýza a dizajn</v>
      </c>
      <c r="D13" s="369" t="str">
        <f>IFERROR(VLOOKUP(B13,MODULY_CBA!$B$3:$I$23,6,0),"")</f>
        <v>Inkrement 1</v>
      </c>
      <c r="E13" s="370">
        <f>IFERROR(VLOOKUP(D13,INKREMENTY!$A$2:$F$21,2,0),"")</f>
        <v>45292</v>
      </c>
      <c r="F13" s="370">
        <f>IFERROR(VLOOKUP(D13,INKREMENTY!$A$2:$F$21,4,0),"")</f>
        <v>46022</v>
      </c>
      <c r="G13" s="369">
        <f>IFERROR(ROUND(((E13-$E$3)+1)/30,0)+1,)</f>
        <v>1</v>
      </c>
      <c r="H13" s="369">
        <f t="shared" si="0"/>
        <v>0</v>
      </c>
      <c r="I13" s="550">
        <v>10</v>
      </c>
      <c r="J13" s="369">
        <f t="shared" ref="J13:J16" si="2">H13+I13</f>
        <v>10</v>
      </c>
    </row>
    <row r="14" spans="1:10">
      <c r="A14" s="868"/>
      <c r="B14" s="867"/>
      <c r="C14" s="369" t="str">
        <f>IFERROR(IF(ISTEXT(B13),"Nákupo HW a krabicový SW",""),)</f>
        <v>Nákupo HW a krabicový SW</v>
      </c>
      <c r="D14" s="366"/>
      <c r="E14" s="366"/>
      <c r="F14" s="366"/>
      <c r="G14" s="550">
        <v>8</v>
      </c>
      <c r="H14" s="369">
        <f t="shared" si="0"/>
        <v>7</v>
      </c>
      <c r="I14" s="550">
        <v>14</v>
      </c>
      <c r="J14" s="369">
        <f t="shared" si="2"/>
        <v>21</v>
      </c>
    </row>
    <row r="15" spans="1:10">
      <c r="A15" s="868"/>
      <c r="B15" s="867"/>
      <c r="C15" s="369" t="str">
        <f>IFERROR(IF(ISTEXT(B13),"Implementácia",""),)</f>
        <v>Implementácia</v>
      </c>
      <c r="D15" s="366"/>
      <c r="E15" s="366"/>
      <c r="F15" s="366"/>
      <c r="G15" s="550">
        <v>8</v>
      </c>
      <c r="H15" s="369">
        <f t="shared" si="0"/>
        <v>7</v>
      </c>
      <c r="I15" s="550">
        <v>14</v>
      </c>
      <c r="J15" s="369">
        <f t="shared" si="2"/>
        <v>21</v>
      </c>
    </row>
    <row r="16" spans="1:10">
      <c r="A16" s="868"/>
      <c r="B16" s="867"/>
      <c r="C16" s="369" t="str">
        <f>IFERROR(IF(ISTEXT(B13),"Testovanie",""),)</f>
        <v>Testovanie</v>
      </c>
      <c r="D16" s="366"/>
      <c r="E16" s="366"/>
      <c r="F16" s="366"/>
      <c r="G16" s="550">
        <v>8</v>
      </c>
      <c r="H16" s="369">
        <f t="shared" si="0"/>
        <v>7</v>
      </c>
      <c r="I16" s="550">
        <v>14</v>
      </c>
      <c r="J16" s="369">
        <f t="shared" si="2"/>
        <v>21</v>
      </c>
    </row>
    <row r="17" spans="1:10">
      <c r="A17" s="868"/>
      <c r="B17" s="867"/>
      <c r="C17" s="369" t="str">
        <f>IFERROR(IF(ISTEXT(B13),"Nasadenie",""),)</f>
        <v>Nasadenie</v>
      </c>
      <c r="D17" s="366"/>
      <c r="E17" s="366"/>
      <c r="F17" s="366"/>
      <c r="G17" s="550">
        <v>19</v>
      </c>
      <c r="H17" s="369">
        <f t="shared" si="0"/>
        <v>18</v>
      </c>
      <c r="I17" s="369">
        <f>J17-H17</f>
        <v>6</v>
      </c>
      <c r="J17" s="369">
        <f>IFERROR(ROUND((F13-$E$3+1)/30,0),)</f>
        <v>24</v>
      </c>
    </row>
    <row r="18" spans="1:10">
      <c r="A18" s="868">
        <v>4</v>
      </c>
      <c r="B18" s="867" t="s">
        <v>787</v>
      </c>
      <c r="C18" s="369" t="str">
        <f>IFERROR(IF(ISTEXT(B18),"Analýza a dizajn",""),)</f>
        <v>Analýza a dizajn</v>
      </c>
      <c r="D18" s="369" t="str">
        <f>IFERROR(VLOOKUP(B18,MODULY_CBA!$B$3:$I$23,6,0),"")</f>
        <v>Inkrement 1</v>
      </c>
      <c r="E18" s="370">
        <f>IFERROR(VLOOKUP(D18,INKREMENTY!$A$2:$F$21,2,0),"")</f>
        <v>45292</v>
      </c>
      <c r="F18" s="370">
        <f>IFERROR(VLOOKUP(D18,INKREMENTY!$A$2:$F$21,4,0),"")</f>
        <v>46022</v>
      </c>
      <c r="G18" s="369">
        <f>IFERROR(ROUND(((E18-$E$3)+1)/30,0)+1,)</f>
        <v>1</v>
      </c>
      <c r="H18" s="369">
        <f t="shared" si="0"/>
        <v>0</v>
      </c>
      <c r="I18" s="550">
        <v>10</v>
      </c>
      <c r="J18" s="369">
        <f t="shared" ref="J18:J21" si="3">H18+I18</f>
        <v>10</v>
      </c>
    </row>
    <row r="19" spans="1:10">
      <c r="A19" s="868"/>
      <c r="B19" s="867"/>
      <c r="C19" s="369" t="str">
        <f>IFERROR(IF(ISTEXT(B18),"Nákupo HW a krabicový SW",""),)</f>
        <v>Nákupo HW a krabicový SW</v>
      </c>
      <c r="D19" s="366"/>
      <c r="E19" s="366"/>
      <c r="F19" s="366"/>
      <c r="G19" s="550">
        <v>8</v>
      </c>
      <c r="H19" s="369">
        <f t="shared" si="0"/>
        <v>7</v>
      </c>
      <c r="I19" s="550">
        <v>14</v>
      </c>
      <c r="J19" s="369">
        <f t="shared" si="3"/>
        <v>21</v>
      </c>
    </row>
    <row r="20" spans="1:10">
      <c r="A20" s="868"/>
      <c r="B20" s="867"/>
      <c r="C20" s="369" t="str">
        <f>IFERROR(IF(ISTEXT(B18),"Implementácia",""),)</f>
        <v>Implementácia</v>
      </c>
      <c r="D20" s="366"/>
      <c r="E20" s="366"/>
      <c r="F20" s="366"/>
      <c r="G20" s="550">
        <v>8</v>
      </c>
      <c r="H20" s="369">
        <f t="shared" si="0"/>
        <v>7</v>
      </c>
      <c r="I20" s="550">
        <v>14</v>
      </c>
      <c r="J20" s="369">
        <f t="shared" si="3"/>
        <v>21</v>
      </c>
    </row>
    <row r="21" spans="1:10">
      <c r="A21" s="868"/>
      <c r="B21" s="867"/>
      <c r="C21" s="369" t="str">
        <f>IFERROR(IF(ISTEXT(B18),"Testovanie",""),)</f>
        <v>Testovanie</v>
      </c>
      <c r="D21" s="366"/>
      <c r="E21" s="366"/>
      <c r="F21" s="366"/>
      <c r="G21" s="550">
        <v>8</v>
      </c>
      <c r="H21" s="369">
        <f t="shared" si="0"/>
        <v>7</v>
      </c>
      <c r="I21" s="550">
        <v>14</v>
      </c>
      <c r="J21" s="369">
        <f t="shared" si="3"/>
        <v>21</v>
      </c>
    </row>
    <row r="22" spans="1:10">
      <c r="A22" s="868"/>
      <c r="B22" s="867"/>
      <c r="C22" s="369" t="str">
        <f>IFERROR(IF(ISTEXT(B18),"Nasadenie",""),)</f>
        <v>Nasadenie</v>
      </c>
      <c r="D22" s="366"/>
      <c r="E22" s="366"/>
      <c r="F22" s="366"/>
      <c r="G22" s="550">
        <v>19</v>
      </c>
      <c r="H22" s="369">
        <f t="shared" si="0"/>
        <v>18</v>
      </c>
      <c r="I22" s="369">
        <f>J22-H22</f>
        <v>6</v>
      </c>
      <c r="J22" s="369">
        <f>IFERROR(ROUND((F18-$E$3+1)/30,0),)</f>
        <v>24</v>
      </c>
    </row>
    <row r="23" spans="1:10">
      <c r="A23" s="868">
        <v>5</v>
      </c>
      <c r="B23" s="867" t="s">
        <v>788</v>
      </c>
      <c r="C23" s="369" t="str">
        <f>IFERROR(IF(ISTEXT(B23),"Analýza a dizajn",""),)</f>
        <v>Analýza a dizajn</v>
      </c>
      <c r="D23" s="369" t="str">
        <f>IFERROR(VLOOKUP(B23,MODULY_CBA!$B$3:$I$23,6,0),"")</f>
        <v>Inkrement 1</v>
      </c>
      <c r="E23" s="370">
        <f>IFERROR(VLOOKUP(D23,INKREMENTY!$A$2:$F$21,2,0),"")</f>
        <v>45292</v>
      </c>
      <c r="F23" s="370">
        <f>IFERROR(VLOOKUP(D23,INKREMENTY!$A$2:$F$21,4,0),"")</f>
        <v>46022</v>
      </c>
      <c r="G23" s="369">
        <f>IFERROR(ROUND(((E23-$E$3)+1)/30,0)+1,)</f>
        <v>1</v>
      </c>
      <c r="H23" s="369">
        <f t="shared" si="0"/>
        <v>0</v>
      </c>
      <c r="I23" s="550">
        <v>10</v>
      </c>
      <c r="J23" s="369">
        <f t="shared" ref="J23:J26" si="4">H23+I23</f>
        <v>10</v>
      </c>
    </row>
    <row r="24" spans="1:10">
      <c r="A24" s="868"/>
      <c r="B24" s="867"/>
      <c r="C24" s="369" t="str">
        <f>IFERROR(IF(ISTEXT(B23),"Nákupo HW a krabicový SW",""),)</f>
        <v>Nákupo HW a krabicový SW</v>
      </c>
      <c r="D24" s="366"/>
      <c r="E24" s="366"/>
      <c r="F24" s="366"/>
      <c r="G24" s="550">
        <v>8</v>
      </c>
      <c r="H24" s="369">
        <f t="shared" si="0"/>
        <v>7</v>
      </c>
      <c r="I24" s="550">
        <v>14</v>
      </c>
      <c r="J24" s="369">
        <f t="shared" si="4"/>
        <v>21</v>
      </c>
    </row>
    <row r="25" spans="1:10">
      <c r="A25" s="868"/>
      <c r="B25" s="867"/>
      <c r="C25" s="369" t="str">
        <f>IFERROR(IF(ISTEXT(B23),"Implementácia",""),)</f>
        <v>Implementácia</v>
      </c>
      <c r="D25" s="366"/>
      <c r="E25" s="366"/>
      <c r="F25" s="366"/>
      <c r="G25" s="550">
        <v>8</v>
      </c>
      <c r="H25" s="369">
        <f t="shared" si="0"/>
        <v>7</v>
      </c>
      <c r="I25" s="550">
        <v>14</v>
      </c>
      <c r="J25" s="369">
        <f t="shared" si="4"/>
        <v>21</v>
      </c>
    </row>
    <row r="26" spans="1:10">
      <c r="A26" s="868"/>
      <c r="B26" s="867"/>
      <c r="C26" s="369" t="str">
        <f>IFERROR(IF(ISTEXT(B23),"Testovanie",""),)</f>
        <v>Testovanie</v>
      </c>
      <c r="D26" s="366"/>
      <c r="E26" s="366"/>
      <c r="F26" s="366"/>
      <c r="G26" s="550">
        <v>8</v>
      </c>
      <c r="H26" s="369">
        <f t="shared" si="0"/>
        <v>7</v>
      </c>
      <c r="I26" s="550">
        <v>14</v>
      </c>
      <c r="J26" s="369">
        <f t="shared" si="4"/>
        <v>21</v>
      </c>
    </row>
    <row r="27" spans="1:10">
      <c r="A27" s="868"/>
      <c r="B27" s="867"/>
      <c r="C27" s="369" t="str">
        <f>IFERROR(IF(ISTEXT(B23),"Nasadenie",""),)</f>
        <v>Nasadenie</v>
      </c>
      <c r="D27" s="366"/>
      <c r="E27" s="366"/>
      <c r="F27" s="366"/>
      <c r="G27" s="550">
        <v>19</v>
      </c>
      <c r="H27" s="369">
        <f t="shared" si="0"/>
        <v>18</v>
      </c>
      <c r="I27" s="369">
        <f>J27-H27</f>
        <v>6</v>
      </c>
      <c r="J27" s="369">
        <f>IFERROR(ROUND((F23-$E$3+1)/30,0),)</f>
        <v>24</v>
      </c>
    </row>
    <row r="28" spans="1:10">
      <c r="A28" s="868">
        <v>6</v>
      </c>
      <c r="B28" s="867" t="s">
        <v>789</v>
      </c>
      <c r="C28" s="369" t="str">
        <f>IFERROR(IF(ISTEXT(B28),"Analýza a dizajn",""),)</f>
        <v>Analýza a dizajn</v>
      </c>
      <c r="D28" s="369" t="str">
        <f>IFERROR(VLOOKUP(B28,MODULY_CBA!$B$3:$I$23,6,0),"")</f>
        <v>Inkrement 1</v>
      </c>
      <c r="E28" s="370">
        <f>IFERROR(VLOOKUP(D28,INKREMENTY!$A$2:$F$21,2,0),"")</f>
        <v>45292</v>
      </c>
      <c r="F28" s="370">
        <f>IFERROR(VLOOKUP(D28,INKREMENTY!$A$2:$F$21,4,0),"")</f>
        <v>46022</v>
      </c>
      <c r="G28" s="369">
        <f>IFERROR(ROUND(((E28-$E$3)+1)/30,0)+1,)</f>
        <v>1</v>
      </c>
      <c r="H28" s="369">
        <f t="shared" si="0"/>
        <v>0</v>
      </c>
      <c r="I28" s="550">
        <v>10</v>
      </c>
      <c r="J28" s="369">
        <f t="shared" ref="J28:J31" si="5">H28+I28</f>
        <v>10</v>
      </c>
    </row>
    <row r="29" spans="1:10">
      <c r="A29" s="868"/>
      <c r="B29" s="867"/>
      <c r="C29" s="369" t="str">
        <f>IFERROR(IF(ISTEXT(B28),"Nákupo HW a krabicový SW",""),)</f>
        <v>Nákupo HW a krabicový SW</v>
      </c>
      <c r="D29" s="366"/>
      <c r="E29" s="366"/>
      <c r="F29" s="366"/>
      <c r="G29" s="550">
        <v>8</v>
      </c>
      <c r="H29" s="369">
        <f t="shared" si="0"/>
        <v>7</v>
      </c>
      <c r="I29" s="550">
        <v>14</v>
      </c>
      <c r="J29" s="369">
        <f t="shared" si="5"/>
        <v>21</v>
      </c>
    </row>
    <row r="30" spans="1:10">
      <c r="A30" s="868"/>
      <c r="B30" s="867"/>
      <c r="C30" s="369" t="str">
        <f>IFERROR(IF(ISTEXT(B28),"Implementácia",""),)</f>
        <v>Implementácia</v>
      </c>
      <c r="D30" s="366"/>
      <c r="E30" s="366"/>
      <c r="F30" s="366"/>
      <c r="G30" s="550">
        <v>8</v>
      </c>
      <c r="H30" s="369">
        <f t="shared" si="0"/>
        <v>7</v>
      </c>
      <c r="I30" s="550">
        <v>14</v>
      </c>
      <c r="J30" s="369">
        <f t="shared" si="5"/>
        <v>21</v>
      </c>
    </row>
    <row r="31" spans="1:10">
      <c r="A31" s="868"/>
      <c r="B31" s="867"/>
      <c r="C31" s="369" t="str">
        <f>IFERROR(IF(ISTEXT(B28),"Testovanie",""),)</f>
        <v>Testovanie</v>
      </c>
      <c r="D31" s="366"/>
      <c r="E31" s="366"/>
      <c r="F31" s="366"/>
      <c r="G31" s="550">
        <v>8</v>
      </c>
      <c r="H31" s="369">
        <f t="shared" si="0"/>
        <v>7</v>
      </c>
      <c r="I31" s="550">
        <v>14</v>
      </c>
      <c r="J31" s="369">
        <f t="shared" si="5"/>
        <v>21</v>
      </c>
    </row>
    <row r="32" spans="1:10">
      <c r="A32" s="868"/>
      <c r="B32" s="867"/>
      <c r="C32" s="369" t="str">
        <f>IFERROR(IF(ISTEXT(B28),"Nasadenie",""),)</f>
        <v>Nasadenie</v>
      </c>
      <c r="D32" s="366"/>
      <c r="E32" s="366"/>
      <c r="F32" s="366"/>
      <c r="G32" s="550">
        <v>19</v>
      </c>
      <c r="H32" s="369">
        <f t="shared" si="0"/>
        <v>18</v>
      </c>
      <c r="I32" s="369">
        <f>J32-H32</f>
        <v>6</v>
      </c>
      <c r="J32" s="369">
        <f>IFERROR(ROUND((F28-$E$3+1)/30,0),)</f>
        <v>24</v>
      </c>
    </row>
    <row r="33" spans="1:10">
      <c r="A33" s="868">
        <v>7</v>
      </c>
      <c r="B33" s="867" t="s">
        <v>790</v>
      </c>
      <c r="C33" s="369" t="str">
        <f>IFERROR(IF(ISTEXT(B33),"Analýza a dizajn",""),)</f>
        <v>Analýza a dizajn</v>
      </c>
      <c r="D33" s="369" t="str">
        <f>IFERROR(VLOOKUP(B33,MODULY_CBA!$B$3:$I$23,6,0),"")</f>
        <v>Inkrement 2</v>
      </c>
      <c r="E33" s="370">
        <f>IFERROR(VLOOKUP(D33,INKREMENTY!$A$2:$F$21,2,0),"")</f>
        <v>46023</v>
      </c>
      <c r="F33" s="370">
        <f>IFERROR(VLOOKUP(D33,INKREMENTY!$A$2:$F$21,4,0),"")</f>
        <v>46385</v>
      </c>
      <c r="G33" s="369">
        <f>IFERROR(ROUND(((E33-$E$3)+1)/30,0)+1,)</f>
        <v>25</v>
      </c>
      <c r="H33" s="369">
        <f t="shared" si="0"/>
        <v>24</v>
      </c>
      <c r="I33" s="550">
        <v>4</v>
      </c>
      <c r="J33" s="369">
        <f t="shared" ref="J33:J36" si="6">H33+I33</f>
        <v>28</v>
      </c>
    </row>
    <row r="34" spans="1:10">
      <c r="A34" s="868"/>
      <c r="B34" s="867"/>
      <c r="C34" s="369" t="str">
        <f>IFERROR(IF(ISTEXT(B33),"Nákupo HW a krabicový SW",""),)</f>
        <v>Nákupo HW a krabicový SW</v>
      </c>
      <c r="D34" s="366"/>
      <c r="E34" s="366"/>
      <c r="F34" s="366"/>
      <c r="G34" s="550">
        <v>28</v>
      </c>
      <c r="H34" s="369">
        <f t="shared" si="0"/>
        <v>27</v>
      </c>
      <c r="I34" s="550">
        <v>8</v>
      </c>
      <c r="J34" s="369">
        <f t="shared" si="6"/>
        <v>35</v>
      </c>
    </row>
    <row r="35" spans="1:10">
      <c r="A35" s="868"/>
      <c r="B35" s="867"/>
      <c r="C35" s="369" t="str">
        <f>IFERROR(IF(ISTEXT(B33),"Implementácia",""),)</f>
        <v>Implementácia</v>
      </c>
      <c r="D35" s="366"/>
      <c r="E35" s="366"/>
      <c r="F35" s="366"/>
      <c r="G35" s="550">
        <v>28</v>
      </c>
      <c r="H35" s="369">
        <f t="shared" si="0"/>
        <v>27</v>
      </c>
      <c r="I35" s="550">
        <v>8</v>
      </c>
      <c r="J35" s="369">
        <f t="shared" si="6"/>
        <v>35</v>
      </c>
    </row>
    <row r="36" spans="1:10">
      <c r="A36" s="868"/>
      <c r="B36" s="867"/>
      <c r="C36" s="369" t="str">
        <f>IFERROR(IF(ISTEXT(B33),"Testovanie",""),)</f>
        <v>Testovanie</v>
      </c>
      <c r="D36" s="366"/>
      <c r="E36" s="366"/>
      <c r="F36" s="366"/>
      <c r="G36" s="550">
        <v>28</v>
      </c>
      <c r="H36" s="369">
        <f t="shared" si="0"/>
        <v>27</v>
      </c>
      <c r="I36" s="550">
        <v>8</v>
      </c>
      <c r="J36" s="369">
        <f t="shared" si="6"/>
        <v>35</v>
      </c>
    </row>
    <row r="37" spans="1:10">
      <c r="A37" s="868"/>
      <c r="B37" s="867"/>
      <c r="C37" s="369" t="str">
        <f>IFERROR(IF(ISTEXT(B33),"Nasadenie",""),)</f>
        <v>Nasadenie</v>
      </c>
      <c r="D37" s="366"/>
      <c r="E37" s="366"/>
      <c r="F37" s="366"/>
      <c r="G37" s="550">
        <v>34</v>
      </c>
      <c r="H37" s="369">
        <f t="shared" si="0"/>
        <v>33</v>
      </c>
      <c r="I37" s="369">
        <f>J37-H37</f>
        <v>3</v>
      </c>
      <c r="J37" s="369">
        <f>IFERROR(ROUND((F33-$E$3+1)/30,0),)</f>
        <v>36</v>
      </c>
    </row>
    <row r="38" spans="1:10">
      <c r="A38" s="868">
        <v>8</v>
      </c>
      <c r="B38" s="867" t="s">
        <v>791</v>
      </c>
      <c r="C38" s="369" t="str">
        <f>IFERROR(IF(ISTEXT(B38),"Analýza a dizajn",""),)</f>
        <v>Analýza a dizajn</v>
      </c>
      <c r="D38" s="369" t="str">
        <f>IFERROR(VLOOKUP(B38,MODULY_CBA!$B$3:$I$23,6,0),"")</f>
        <v>Inkrement 2</v>
      </c>
      <c r="E38" s="370">
        <f>IFERROR(VLOOKUP(D38,INKREMENTY!$A$2:$F$21,2,0),"")</f>
        <v>46023</v>
      </c>
      <c r="F38" s="370">
        <f>IFERROR(VLOOKUP(D38,INKREMENTY!$A$2:$F$21,4,0),"")</f>
        <v>46385</v>
      </c>
      <c r="G38" s="369">
        <f>IFERROR(ROUND(((E38-$E$3)+1)/30,0)+1,)</f>
        <v>25</v>
      </c>
      <c r="H38" s="369">
        <f t="shared" si="0"/>
        <v>24</v>
      </c>
      <c r="I38" s="550">
        <v>4</v>
      </c>
      <c r="J38" s="369">
        <f t="shared" ref="J38:J41" si="7">H38+I38</f>
        <v>28</v>
      </c>
    </row>
    <row r="39" spans="1:10">
      <c r="A39" s="868"/>
      <c r="B39" s="867"/>
      <c r="C39" s="369" t="str">
        <f>IFERROR(IF(ISTEXT(B38),"Nákupo HW a krabicový SW",""),)</f>
        <v>Nákupo HW a krabicový SW</v>
      </c>
      <c r="D39" s="366"/>
      <c r="E39" s="366"/>
      <c r="F39" s="366"/>
      <c r="G39" s="550">
        <v>28</v>
      </c>
      <c r="H39" s="369">
        <f t="shared" si="0"/>
        <v>27</v>
      </c>
      <c r="I39" s="550">
        <v>8</v>
      </c>
      <c r="J39" s="369">
        <f t="shared" si="7"/>
        <v>35</v>
      </c>
    </row>
    <row r="40" spans="1:10">
      <c r="A40" s="868"/>
      <c r="B40" s="867"/>
      <c r="C40" s="369" t="str">
        <f>IFERROR(IF(ISTEXT(B38),"Implementácia",""),)</f>
        <v>Implementácia</v>
      </c>
      <c r="D40" s="366"/>
      <c r="E40" s="366"/>
      <c r="F40" s="366"/>
      <c r="G40" s="550">
        <v>28</v>
      </c>
      <c r="H40" s="369">
        <f t="shared" si="0"/>
        <v>27</v>
      </c>
      <c r="I40" s="550">
        <v>8</v>
      </c>
      <c r="J40" s="369">
        <f t="shared" si="7"/>
        <v>35</v>
      </c>
    </row>
    <row r="41" spans="1:10">
      <c r="A41" s="868"/>
      <c r="B41" s="867"/>
      <c r="C41" s="369" t="str">
        <f>IFERROR(IF(ISTEXT(B38),"Testovanie",""),)</f>
        <v>Testovanie</v>
      </c>
      <c r="D41" s="366"/>
      <c r="E41" s="366"/>
      <c r="F41" s="366"/>
      <c r="G41" s="550">
        <v>28</v>
      </c>
      <c r="H41" s="369">
        <f t="shared" si="0"/>
        <v>27</v>
      </c>
      <c r="I41" s="550">
        <v>8</v>
      </c>
      <c r="J41" s="369">
        <f t="shared" si="7"/>
        <v>35</v>
      </c>
    </row>
    <row r="42" spans="1:10">
      <c r="A42" s="868"/>
      <c r="B42" s="867"/>
      <c r="C42" s="369" t="str">
        <f>IFERROR(IF(ISTEXT(B38),"Nasadenie",""),)</f>
        <v>Nasadenie</v>
      </c>
      <c r="D42" s="366"/>
      <c r="E42" s="366"/>
      <c r="F42" s="366"/>
      <c r="G42" s="550">
        <v>34</v>
      </c>
      <c r="H42" s="369">
        <f t="shared" si="0"/>
        <v>33</v>
      </c>
      <c r="I42" s="369">
        <f>J42-H42</f>
        <v>3</v>
      </c>
      <c r="J42" s="369">
        <f>IFERROR(ROUND((F38-$E$3+1)/30,0),)</f>
        <v>36</v>
      </c>
    </row>
    <row r="43" spans="1:10">
      <c r="A43" s="868">
        <v>9</v>
      </c>
      <c r="B43" s="867" t="s">
        <v>792</v>
      </c>
      <c r="C43" s="369" t="str">
        <f>IFERROR(IF(ISTEXT(B43),"Analýza a dizajn",""),)</f>
        <v>Analýza a dizajn</v>
      </c>
      <c r="D43" s="369" t="str">
        <f>IFERROR(VLOOKUP(B43,MODULY_CBA!$B$3:$I$23,6,0),"")</f>
        <v>Inkrement 2</v>
      </c>
      <c r="E43" s="370">
        <f>IFERROR(VLOOKUP(D43,INKREMENTY!$A$2:$F$21,2,0),"")</f>
        <v>46023</v>
      </c>
      <c r="F43" s="370">
        <f>IFERROR(VLOOKUP(D43,INKREMENTY!$A$2:$F$21,4,0),"")</f>
        <v>46385</v>
      </c>
      <c r="G43" s="369">
        <f>IFERROR(ROUND(((E43-$E$3)+1)/30,0)+1,)</f>
        <v>25</v>
      </c>
      <c r="H43" s="369">
        <f t="shared" si="0"/>
        <v>24</v>
      </c>
      <c r="I43" s="550">
        <v>4</v>
      </c>
      <c r="J43" s="369">
        <f t="shared" ref="J43:J46" si="8">H43+I43</f>
        <v>28</v>
      </c>
    </row>
    <row r="44" spans="1:10">
      <c r="A44" s="868"/>
      <c r="B44" s="867"/>
      <c r="C44" s="369" t="str">
        <f>IFERROR(IF(ISTEXT(B43),"Nákupo HW a krabicový SW",""),)</f>
        <v>Nákupo HW a krabicový SW</v>
      </c>
      <c r="D44" s="366"/>
      <c r="E44" s="366"/>
      <c r="F44" s="366"/>
      <c r="G44" s="550">
        <v>28</v>
      </c>
      <c r="H44" s="369">
        <f t="shared" si="0"/>
        <v>27</v>
      </c>
      <c r="I44" s="550">
        <v>8</v>
      </c>
      <c r="J44" s="369">
        <f t="shared" si="8"/>
        <v>35</v>
      </c>
    </row>
    <row r="45" spans="1:10">
      <c r="A45" s="868"/>
      <c r="B45" s="867"/>
      <c r="C45" s="369" t="str">
        <f>IFERROR(IF(ISTEXT(B43),"Implementácia",""),)</f>
        <v>Implementácia</v>
      </c>
      <c r="D45" s="366"/>
      <c r="E45" s="366"/>
      <c r="F45" s="366"/>
      <c r="G45" s="550">
        <v>28</v>
      </c>
      <c r="H45" s="369">
        <f t="shared" si="0"/>
        <v>27</v>
      </c>
      <c r="I45" s="550">
        <v>8</v>
      </c>
      <c r="J45" s="369">
        <f t="shared" si="8"/>
        <v>35</v>
      </c>
    </row>
    <row r="46" spans="1:10">
      <c r="A46" s="868"/>
      <c r="B46" s="867"/>
      <c r="C46" s="369" t="str">
        <f>IFERROR(IF(ISTEXT(B43),"Testovanie",""),)</f>
        <v>Testovanie</v>
      </c>
      <c r="D46" s="366"/>
      <c r="E46" s="366"/>
      <c r="F46" s="366"/>
      <c r="G46" s="550">
        <v>28</v>
      </c>
      <c r="H46" s="369">
        <f t="shared" si="0"/>
        <v>27</v>
      </c>
      <c r="I46" s="550">
        <v>8</v>
      </c>
      <c r="J46" s="369">
        <f t="shared" si="8"/>
        <v>35</v>
      </c>
    </row>
    <row r="47" spans="1:10">
      <c r="A47" s="868"/>
      <c r="B47" s="867"/>
      <c r="C47" s="369" t="str">
        <f>IFERROR(IF(ISTEXT(B43),"Nasadenie",""),)</f>
        <v>Nasadenie</v>
      </c>
      <c r="D47" s="366"/>
      <c r="E47" s="366"/>
      <c r="F47" s="366"/>
      <c r="G47" s="550">
        <v>34</v>
      </c>
      <c r="H47" s="369">
        <f t="shared" si="0"/>
        <v>33</v>
      </c>
      <c r="I47" s="369">
        <f>J47-H47</f>
        <v>3</v>
      </c>
      <c r="J47" s="369">
        <f>IFERROR(ROUND((F43-$E$3+1)/30,0),)</f>
        <v>36</v>
      </c>
    </row>
    <row r="48" spans="1:10">
      <c r="A48" s="868">
        <v>10</v>
      </c>
      <c r="B48" s="867" t="s">
        <v>793</v>
      </c>
      <c r="C48" s="369" t="str">
        <f>IFERROR(IF(ISTEXT(B48),"Analýza a dizajn",""),)</f>
        <v>Analýza a dizajn</v>
      </c>
      <c r="D48" s="369" t="str">
        <f>IFERROR(VLOOKUP(B48,MODULY_CBA!$B$3:$I$23,6,0),"")</f>
        <v>Inkrement 1</v>
      </c>
      <c r="E48" s="370">
        <f>IFERROR(VLOOKUP(D48,INKREMENTY!$A$2:$F$21,2,0),"")</f>
        <v>45292</v>
      </c>
      <c r="F48" s="370">
        <f>IFERROR(VLOOKUP(D48,INKREMENTY!$A$2:$F$21,4,0),"")</f>
        <v>46022</v>
      </c>
      <c r="G48" s="369">
        <f>IFERROR(ROUND(((E48-$E$3)+1)/30,0)+1,)</f>
        <v>1</v>
      </c>
      <c r="H48" s="369">
        <f t="shared" si="0"/>
        <v>0</v>
      </c>
      <c r="I48" s="550">
        <v>10</v>
      </c>
      <c r="J48" s="369">
        <f t="shared" ref="J48:J51" si="9">H48+I48</f>
        <v>10</v>
      </c>
    </row>
    <row r="49" spans="1:10">
      <c r="A49" s="868"/>
      <c r="B49" s="867"/>
      <c r="C49" s="369" t="str">
        <f>IFERROR(IF(ISTEXT(B48),"Nákupo HW a krabicový SW",""),)</f>
        <v>Nákupo HW a krabicový SW</v>
      </c>
      <c r="D49" s="366"/>
      <c r="E49" s="366"/>
      <c r="F49" s="366"/>
      <c r="G49" s="550">
        <v>8</v>
      </c>
      <c r="H49" s="369">
        <f t="shared" si="0"/>
        <v>7</v>
      </c>
      <c r="I49" s="550">
        <v>14</v>
      </c>
      <c r="J49" s="369">
        <f t="shared" si="9"/>
        <v>21</v>
      </c>
    </row>
    <row r="50" spans="1:10">
      <c r="A50" s="868"/>
      <c r="B50" s="867"/>
      <c r="C50" s="369" t="str">
        <f>IFERROR(IF(ISTEXT(B48),"Implementácia",""),)</f>
        <v>Implementácia</v>
      </c>
      <c r="D50" s="366"/>
      <c r="E50" s="366"/>
      <c r="F50" s="366"/>
      <c r="G50" s="550">
        <v>8</v>
      </c>
      <c r="H50" s="369">
        <f t="shared" si="0"/>
        <v>7</v>
      </c>
      <c r="I50" s="550">
        <v>14</v>
      </c>
      <c r="J50" s="369">
        <f t="shared" si="9"/>
        <v>21</v>
      </c>
    </row>
    <row r="51" spans="1:10">
      <c r="A51" s="868"/>
      <c r="B51" s="867"/>
      <c r="C51" s="369" t="str">
        <f>IFERROR(IF(ISTEXT(B48),"Testovanie",""),)</f>
        <v>Testovanie</v>
      </c>
      <c r="D51" s="366"/>
      <c r="E51" s="366"/>
      <c r="F51" s="366"/>
      <c r="G51" s="550">
        <v>8</v>
      </c>
      <c r="H51" s="369">
        <f t="shared" si="0"/>
        <v>7</v>
      </c>
      <c r="I51" s="550">
        <v>14</v>
      </c>
      <c r="J51" s="369">
        <f t="shared" si="9"/>
        <v>21</v>
      </c>
    </row>
    <row r="52" spans="1:10">
      <c r="A52" s="868"/>
      <c r="B52" s="867"/>
      <c r="C52" s="369" t="str">
        <f>IFERROR(IF(ISTEXT(B48),"Nasadenie",""),)</f>
        <v>Nasadenie</v>
      </c>
      <c r="D52" s="366"/>
      <c r="E52" s="366"/>
      <c r="F52" s="366"/>
      <c r="G52" s="550">
        <v>19</v>
      </c>
      <c r="H52" s="369">
        <f t="shared" si="0"/>
        <v>18</v>
      </c>
      <c r="I52" s="369">
        <f>J52-H52</f>
        <v>6</v>
      </c>
      <c r="J52" s="369">
        <f>IFERROR(ROUND((F48-$E$3+1)/30,0),)</f>
        <v>24</v>
      </c>
    </row>
    <row r="53" spans="1:10">
      <c r="A53" s="868">
        <v>11</v>
      </c>
      <c r="B53" s="867" t="s">
        <v>794</v>
      </c>
      <c r="C53" s="369" t="str">
        <f>IFERROR(IF(ISTEXT(B53),"Analýza a dizajn",""),)</f>
        <v>Analýza a dizajn</v>
      </c>
      <c r="D53" s="369" t="str">
        <f>IFERROR(VLOOKUP(B53,MODULY_CBA!$B$3:$I$23,6,0),"")</f>
        <v>Inkrement 2</v>
      </c>
      <c r="E53" s="370">
        <f>IFERROR(VLOOKUP(D53,INKREMENTY!$A$2:$F$21,2,0),"")</f>
        <v>46023</v>
      </c>
      <c r="F53" s="370">
        <f>IFERROR(VLOOKUP(D53,INKREMENTY!$A$2:$F$21,4,0),"")</f>
        <v>46385</v>
      </c>
      <c r="G53" s="369">
        <f>IFERROR(ROUND(((E53-$E$3)+1)/30,0)+1,)</f>
        <v>25</v>
      </c>
      <c r="H53" s="369">
        <f t="shared" si="0"/>
        <v>24</v>
      </c>
      <c r="I53" s="550">
        <v>4</v>
      </c>
      <c r="J53" s="369">
        <f t="shared" ref="J53:J56" si="10">H53+I53</f>
        <v>28</v>
      </c>
    </row>
    <row r="54" spans="1:10">
      <c r="A54" s="868"/>
      <c r="B54" s="867"/>
      <c r="C54" s="369" t="str">
        <f>IFERROR(IF(ISTEXT(B53),"Nákupo HW a krabicový SW",""),)</f>
        <v>Nákupo HW a krabicový SW</v>
      </c>
      <c r="D54" s="366"/>
      <c r="E54" s="366"/>
      <c r="F54" s="366"/>
      <c r="G54" s="550">
        <v>28</v>
      </c>
      <c r="H54" s="369">
        <f t="shared" si="0"/>
        <v>27</v>
      </c>
      <c r="I54" s="550">
        <v>8</v>
      </c>
      <c r="J54" s="369">
        <f t="shared" si="10"/>
        <v>35</v>
      </c>
    </row>
    <row r="55" spans="1:10">
      <c r="A55" s="868"/>
      <c r="B55" s="867"/>
      <c r="C55" s="369" t="str">
        <f>IFERROR(IF(ISTEXT(B53),"Implementácia",""),)</f>
        <v>Implementácia</v>
      </c>
      <c r="D55" s="366"/>
      <c r="E55" s="366"/>
      <c r="F55" s="366"/>
      <c r="G55" s="550">
        <v>28</v>
      </c>
      <c r="H55" s="369">
        <f t="shared" si="0"/>
        <v>27</v>
      </c>
      <c r="I55" s="550">
        <v>8</v>
      </c>
      <c r="J55" s="369">
        <f t="shared" si="10"/>
        <v>35</v>
      </c>
    </row>
    <row r="56" spans="1:10">
      <c r="A56" s="868"/>
      <c r="B56" s="867"/>
      <c r="C56" s="369" t="str">
        <f>IFERROR(IF(ISTEXT(B53),"Testovanie",""),)</f>
        <v>Testovanie</v>
      </c>
      <c r="D56" s="366"/>
      <c r="E56" s="366"/>
      <c r="F56" s="366"/>
      <c r="G56" s="550">
        <v>28</v>
      </c>
      <c r="H56" s="369">
        <f t="shared" si="0"/>
        <v>27</v>
      </c>
      <c r="I56" s="550">
        <v>8</v>
      </c>
      <c r="J56" s="369">
        <f t="shared" si="10"/>
        <v>35</v>
      </c>
    </row>
    <row r="57" spans="1:10">
      <c r="A57" s="868"/>
      <c r="B57" s="867"/>
      <c r="C57" s="369" t="str">
        <f>IFERROR(IF(ISTEXT(B53),"Nasadenie",""),)</f>
        <v>Nasadenie</v>
      </c>
      <c r="D57" s="366"/>
      <c r="E57" s="366"/>
      <c r="F57" s="366"/>
      <c r="G57" s="550">
        <v>34</v>
      </c>
      <c r="H57" s="369">
        <f t="shared" si="0"/>
        <v>33</v>
      </c>
      <c r="I57" s="369">
        <f>J57-H57</f>
        <v>3</v>
      </c>
      <c r="J57" s="369">
        <f>IFERROR(ROUND((F53-$E$3+1)/30,0),)</f>
        <v>36</v>
      </c>
    </row>
    <row r="58" spans="1:10">
      <c r="A58" s="868">
        <v>12</v>
      </c>
      <c r="B58" s="867" t="s">
        <v>795</v>
      </c>
      <c r="C58" s="369" t="str">
        <f>IFERROR(IF(ISTEXT(B58),"Analýza a dizajn",""),)</f>
        <v>Analýza a dizajn</v>
      </c>
      <c r="D58" s="369" t="str">
        <f>IFERROR(VLOOKUP(B58,MODULY_CBA!$B$3:$I$23,6,0),"")</f>
        <v>Inkrement 2</v>
      </c>
      <c r="E58" s="370">
        <f>IFERROR(VLOOKUP(D58,INKREMENTY!$A$2:$F$21,2,0),"")</f>
        <v>46023</v>
      </c>
      <c r="F58" s="370">
        <f>IFERROR(VLOOKUP(D58,INKREMENTY!$A$2:$F$21,4,0),"")</f>
        <v>46385</v>
      </c>
      <c r="G58" s="369">
        <f>IFERROR(ROUND(((E58-$E$3)+1)/30,0)+1,)</f>
        <v>25</v>
      </c>
      <c r="H58" s="369">
        <f t="shared" ref="H58:H97" si="11">G58-1</f>
        <v>24</v>
      </c>
      <c r="I58" s="550">
        <v>4</v>
      </c>
      <c r="J58" s="369">
        <f t="shared" ref="J58:J61" si="12">H58+I58</f>
        <v>28</v>
      </c>
    </row>
    <row r="59" spans="1:10">
      <c r="A59" s="868"/>
      <c r="B59" s="867"/>
      <c r="C59" s="369" t="str">
        <f>IFERROR(IF(ISTEXT(B58),"Nákupo HW a krabicový SW",""),)</f>
        <v>Nákupo HW a krabicový SW</v>
      </c>
      <c r="D59" s="366"/>
      <c r="E59" s="366"/>
      <c r="F59" s="366"/>
      <c r="G59" s="550">
        <v>28</v>
      </c>
      <c r="H59" s="369">
        <f t="shared" si="11"/>
        <v>27</v>
      </c>
      <c r="I59" s="550">
        <v>8</v>
      </c>
      <c r="J59" s="369">
        <f t="shared" si="12"/>
        <v>35</v>
      </c>
    </row>
    <row r="60" spans="1:10">
      <c r="A60" s="868"/>
      <c r="B60" s="867"/>
      <c r="C60" s="369" t="str">
        <f>IFERROR(IF(ISTEXT(B58),"Implementácia",""),)</f>
        <v>Implementácia</v>
      </c>
      <c r="D60" s="366"/>
      <c r="E60" s="366"/>
      <c r="F60" s="366"/>
      <c r="G60" s="550">
        <v>28</v>
      </c>
      <c r="H60" s="369">
        <f t="shared" si="11"/>
        <v>27</v>
      </c>
      <c r="I60" s="550">
        <v>8</v>
      </c>
      <c r="J60" s="369">
        <f t="shared" si="12"/>
        <v>35</v>
      </c>
    </row>
    <row r="61" spans="1:10">
      <c r="A61" s="868"/>
      <c r="B61" s="867"/>
      <c r="C61" s="369" t="str">
        <f>IFERROR(IF(ISTEXT(B58),"Testovanie",""),)</f>
        <v>Testovanie</v>
      </c>
      <c r="D61" s="366"/>
      <c r="E61" s="366"/>
      <c r="F61" s="366"/>
      <c r="G61" s="550">
        <v>28</v>
      </c>
      <c r="H61" s="369">
        <f t="shared" si="11"/>
        <v>27</v>
      </c>
      <c r="I61" s="550">
        <v>8</v>
      </c>
      <c r="J61" s="369">
        <f t="shared" si="12"/>
        <v>35</v>
      </c>
    </row>
    <row r="62" spans="1:10">
      <c r="A62" s="868"/>
      <c r="B62" s="867"/>
      <c r="C62" s="369" t="str">
        <f>IFERROR(IF(ISTEXT(B58),"Nasadenie",""),)</f>
        <v>Nasadenie</v>
      </c>
      <c r="D62" s="366"/>
      <c r="E62" s="366"/>
      <c r="F62" s="366"/>
      <c r="G62" s="550">
        <v>34</v>
      </c>
      <c r="H62" s="369">
        <f t="shared" si="11"/>
        <v>33</v>
      </c>
      <c r="I62" s="369">
        <f>J62-H62</f>
        <v>3</v>
      </c>
      <c r="J62" s="369">
        <f>IFERROR(ROUND((F58-$E$3+1)/30,0),)</f>
        <v>36</v>
      </c>
    </row>
    <row r="63" spans="1:10">
      <c r="A63" s="868">
        <v>13</v>
      </c>
      <c r="B63" s="867" t="s">
        <v>796</v>
      </c>
      <c r="C63" s="369" t="str">
        <f>IFERROR(IF(ISTEXT(B63),"Analýza a dizajn",""),)</f>
        <v>Analýza a dizajn</v>
      </c>
      <c r="D63" s="369" t="str">
        <f>IFERROR(VLOOKUP(B63,MODULY_CBA!$B$3:$I$23,6,0),"")</f>
        <v>Inkrement 1</v>
      </c>
      <c r="E63" s="370">
        <f>IFERROR(VLOOKUP(D63,INKREMENTY!$A$2:$F$21,2,0),"")</f>
        <v>45292</v>
      </c>
      <c r="F63" s="370">
        <f>IFERROR(VLOOKUP(D63,INKREMENTY!$A$2:$F$21,4,0),"")</f>
        <v>46022</v>
      </c>
      <c r="G63" s="369">
        <f>IFERROR(ROUND(((E63-$E$3)+1)/30,0)+1,)</f>
        <v>1</v>
      </c>
      <c r="H63" s="369">
        <f t="shared" si="11"/>
        <v>0</v>
      </c>
      <c r="I63" s="550">
        <v>10</v>
      </c>
      <c r="J63" s="369">
        <f t="shared" ref="J63:J66" si="13">H63+I63</f>
        <v>10</v>
      </c>
    </row>
    <row r="64" spans="1:10">
      <c r="A64" s="868"/>
      <c r="B64" s="867"/>
      <c r="C64" s="369" t="str">
        <f>IFERROR(IF(ISTEXT(B63),"Nákupo HW a krabicový SW",""),)</f>
        <v>Nákupo HW a krabicový SW</v>
      </c>
      <c r="D64" s="366"/>
      <c r="E64" s="366"/>
      <c r="F64" s="366"/>
      <c r="G64" s="550">
        <v>8</v>
      </c>
      <c r="H64" s="369">
        <f t="shared" si="11"/>
        <v>7</v>
      </c>
      <c r="I64" s="550">
        <v>14</v>
      </c>
      <c r="J64" s="369">
        <f t="shared" si="13"/>
        <v>21</v>
      </c>
    </row>
    <row r="65" spans="1:10">
      <c r="A65" s="868"/>
      <c r="B65" s="867"/>
      <c r="C65" s="369" t="str">
        <f>IFERROR(IF(ISTEXT(B63),"Implementácia",""),)</f>
        <v>Implementácia</v>
      </c>
      <c r="D65" s="366"/>
      <c r="E65" s="366"/>
      <c r="F65" s="366"/>
      <c r="G65" s="550">
        <v>8</v>
      </c>
      <c r="H65" s="369">
        <f t="shared" si="11"/>
        <v>7</v>
      </c>
      <c r="I65" s="550">
        <v>14</v>
      </c>
      <c r="J65" s="369">
        <f t="shared" si="13"/>
        <v>21</v>
      </c>
    </row>
    <row r="66" spans="1:10">
      <c r="A66" s="868"/>
      <c r="B66" s="867"/>
      <c r="C66" s="369" t="str">
        <f>IFERROR(IF(ISTEXT(B63),"Testovanie",""),)</f>
        <v>Testovanie</v>
      </c>
      <c r="D66" s="366"/>
      <c r="E66" s="366"/>
      <c r="F66" s="366"/>
      <c r="G66" s="550">
        <v>8</v>
      </c>
      <c r="H66" s="369">
        <f t="shared" si="11"/>
        <v>7</v>
      </c>
      <c r="I66" s="550">
        <v>14</v>
      </c>
      <c r="J66" s="369">
        <f t="shared" si="13"/>
        <v>21</v>
      </c>
    </row>
    <row r="67" spans="1:10">
      <c r="A67" s="868"/>
      <c r="B67" s="867"/>
      <c r="C67" s="369" t="str">
        <f>IFERROR(IF(ISTEXT(B63),"Nasadenie",""),)</f>
        <v>Nasadenie</v>
      </c>
      <c r="D67" s="366"/>
      <c r="E67" s="366"/>
      <c r="F67" s="366"/>
      <c r="G67" s="550">
        <v>19</v>
      </c>
      <c r="H67" s="369">
        <f t="shared" si="11"/>
        <v>18</v>
      </c>
      <c r="I67" s="369">
        <f>J67-H67</f>
        <v>6</v>
      </c>
      <c r="J67" s="369">
        <f>IFERROR(ROUND((F63-$E$3+1)/30,0),)</f>
        <v>24</v>
      </c>
    </row>
    <row r="68" spans="1:10">
      <c r="A68" s="868">
        <v>14</v>
      </c>
      <c r="B68" s="867" t="s">
        <v>797</v>
      </c>
      <c r="C68" s="369" t="str">
        <f>IFERROR(IF(ISTEXT(B68),"Analýza a dizajn",""),)</f>
        <v>Analýza a dizajn</v>
      </c>
      <c r="D68" s="369" t="str">
        <f>IFERROR(VLOOKUP(B68,MODULY_CBA!$B$3:$I$23,6,0),"")</f>
        <v>Inkrement 1</v>
      </c>
      <c r="E68" s="370">
        <f>IFERROR(VLOOKUP(D68,INKREMENTY!$A$2:$F$21,2,0),"")</f>
        <v>45292</v>
      </c>
      <c r="F68" s="370">
        <f>IFERROR(VLOOKUP(D68,INKREMENTY!$A$2:$F$21,4,0),"")</f>
        <v>46022</v>
      </c>
      <c r="G68" s="369">
        <f>IFERROR(ROUND(((E68-$E$3)+1)/30,0)+1,)</f>
        <v>1</v>
      </c>
      <c r="H68" s="369">
        <f t="shared" si="11"/>
        <v>0</v>
      </c>
      <c r="I68" s="550">
        <v>10</v>
      </c>
      <c r="J68" s="369">
        <f t="shared" ref="J68:J71" si="14">H68+I68</f>
        <v>10</v>
      </c>
    </row>
    <row r="69" spans="1:10">
      <c r="A69" s="868"/>
      <c r="B69" s="867"/>
      <c r="C69" s="369" t="str">
        <f>IFERROR(IF(ISTEXT(B68),"Nákupo HW a krabicový SW",""),)</f>
        <v>Nákupo HW a krabicový SW</v>
      </c>
      <c r="D69" s="366"/>
      <c r="E69" s="366"/>
      <c r="F69" s="366"/>
      <c r="G69" s="550">
        <v>8</v>
      </c>
      <c r="H69" s="369">
        <f t="shared" si="11"/>
        <v>7</v>
      </c>
      <c r="I69" s="550">
        <v>14</v>
      </c>
      <c r="J69" s="369">
        <f t="shared" si="14"/>
        <v>21</v>
      </c>
    </row>
    <row r="70" spans="1:10">
      <c r="A70" s="868"/>
      <c r="B70" s="867"/>
      <c r="C70" s="369" t="str">
        <f>IFERROR(IF(ISTEXT(B68),"Implementácia",""),)</f>
        <v>Implementácia</v>
      </c>
      <c r="D70" s="366"/>
      <c r="E70" s="366"/>
      <c r="F70" s="366"/>
      <c r="G70" s="550">
        <v>8</v>
      </c>
      <c r="H70" s="369">
        <f t="shared" si="11"/>
        <v>7</v>
      </c>
      <c r="I70" s="550">
        <v>14</v>
      </c>
      <c r="J70" s="369">
        <f t="shared" si="14"/>
        <v>21</v>
      </c>
    </row>
    <row r="71" spans="1:10">
      <c r="A71" s="868"/>
      <c r="B71" s="867"/>
      <c r="C71" s="369" t="str">
        <f>IFERROR(IF(ISTEXT(B68),"Testovanie",""),)</f>
        <v>Testovanie</v>
      </c>
      <c r="D71" s="366"/>
      <c r="E71" s="366"/>
      <c r="F71" s="366"/>
      <c r="G71" s="550">
        <v>8</v>
      </c>
      <c r="H71" s="369">
        <f t="shared" si="11"/>
        <v>7</v>
      </c>
      <c r="I71" s="550">
        <v>14</v>
      </c>
      <c r="J71" s="369">
        <f t="shared" si="14"/>
        <v>21</v>
      </c>
    </row>
    <row r="72" spans="1:10">
      <c r="A72" s="868"/>
      <c r="B72" s="867"/>
      <c r="C72" s="369" t="str">
        <f>IFERROR(IF(ISTEXT(B68),"Nasadenie",""),)</f>
        <v>Nasadenie</v>
      </c>
      <c r="D72" s="366"/>
      <c r="E72" s="366"/>
      <c r="F72" s="366"/>
      <c r="G72" s="550">
        <v>19</v>
      </c>
      <c r="H72" s="369">
        <f t="shared" si="11"/>
        <v>18</v>
      </c>
      <c r="I72" s="369">
        <f>J72-H72</f>
        <v>6</v>
      </c>
      <c r="J72" s="369">
        <f>IFERROR(ROUND((F68-$E$3+1)/30,0),)</f>
        <v>24</v>
      </c>
    </row>
    <row r="73" spans="1:10">
      <c r="A73" s="868">
        <v>15</v>
      </c>
      <c r="B73" s="867" t="s">
        <v>798</v>
      </c>
      <c r="C73" s="369" t="str">
        <f>IFERROR(IF(ISTEXT(B73),"Analýza a dizajn",""),)</f>
        <v>Analýza a dizajn</v>
      </c>
      <c r="D73" s="369" t="str">
        <f>IFERROR(VLOOKUP(B73,MODULY_CBA!$B$3:$I$23,6,0),"")</f>
        <v>Inkrement 1</v>
      </c>
      <c r="E73" s="370">
        <f>IFERROR(VLOOKUP(D73,INKREMENTY!$A$2:$F$21,2,0),"")</f>
        <v>45292</v>
      </c>
      <c r="F73" s="370">
        <f>IFERROR(VLOOKUP(D73,INKREMENTY!$A$2:$F$21,4,0),"")</f>
        <v>46022</v>
      </c>
      <c r="G73" s="369">
        <f>IFERROR(ROUND(((E73-$E$3)+1)/30,0)+1,)</f>
        <v>1</v>
      </c>
      <c r="H73" s="369">
        <f t="shared" si="11"/>
        <v>0</v>
      </c>
      <c r="I73" s="550">
        <v>10</v>
      </c>
      <c r="J73" s="369">
        <f t="shared" ref="J73:J76" si="15">H73+I73</f>
        <v>10</v>
      </c>
    </row>
    <row r="74" spans="1:10">
      <c r="A74" s="868"/>
      <c r="B74" s="867"/>
      <c r="C74" s="369" t="str">
        <f>IFERROR(IF(ISTEXT(B73),"Nákupo HW a krabicový SW",""),)</f>
        <v>Nákupo HW a krabicový SW</v>
      </c>
      <c r="D74" s="366"/>
      <c r="E74" s="366"/>
      <c r="F74" s="366"/>
      <c r="G74" s="550">
        <v>8</v>
      </c>
      <c r="H74" s="369">
        <f t="shared" si="11"/>
        <v>7</v>
      </c>
      <c r="I74" s="550">
        <v>14</v>
      </c>
      <c r="J74" s="369">
        <f t="shared" si="15"/>
        <v>21</v>
      </c>
    </row>
    <row r="75" spans="1:10">
      <c r="A75" s="868"/>
      <c r="B75" s="867"/>
      <c r="C75" s="369" t="str">
        <f>IFERROR(IF(ISTEXT(B73),"Implementácia",""),)</f>
        <v>Implementácia</v>
      </c>
      <c r="D75" s="366"/>
      <c r="E75" s="366"/>
      <c r="F75" s="366"/>
      <c r="G75" s="550">
        <v>8</v>
      </c>
      <c r="H75" s="369">
        <f t="shared" si="11"/>
        <v>7</v>
      </c>
      <c r="I75" s="550">
        <v>14</v>
      </c>
      <c r="J75" s="369">
        <f t="shared" si="15"/>
        <v>21</v>
      </c>
    </row>
    <row r="76" spans="1:10">
      <c r="A76" s="868"/>
      <c r="B76" s="867"/>
      <c r="C76" s="369" t="str">
        <f>IFERROR(IF(ISTEXT(B73),"Testovanie",""),)</f>
        <v>Testovanie</v>
      </c>
      <c r="D76" s="366"/>
      <c r="E76" s="366"/>
      <c r="F76" s="366"/>
      <c r="G76" s="550">
        <v>8</v>
      </c>
      <c r="H76" s="369">
        <f t="shared" si="11"/>
        <v>7</v>
      </c>
      <c r="I76" s="550">
        <v>14</v>
      </c>
      <c r="J76" s="369">
        <f t="shared" si="15"/>
        <v>21</v>
      </c>
    </row>
    <row r="77" spans="1:10">
      <c r="A77" s="868"/>
      <c r="B77" s="867"/>
      <c r="C77" s="369" t="str">
        <f>IFERROR(IF(ISTEXT(B73),"Nasadenie",""),)</f>
        <v>Nasadenie</v>
      </c>
      <c r="D77" s="366"/>
      <c r="E77" s="366"/>
      <c r="F77" s="366"/>
      <c r="G77" s="550">
        <v>19</v>
      </c>
      <c r="H77" s="369">
        <f t="shared" si="11"/>
        <v>18</v>
      </c>
      <c r="I77" s="369">
        <f>J77-H77</f>
        <v>6</v>
      </c>
      <c r="J77" s="369">
        <f>IFERROR(ROUND((F73-$E$3+1)/30,0),)</f>
        <v>24</v>
      </c>
    </row>
    <row r="78" spans="1:10">
      <c r="A78" s="868">
        <v>16</v>
      </c>
      <c r="B78" s="867" t="s">
        <v>799</v>
      </c>
      <c r="C78" s="369" t="str">
        <f>IFERROR(IF(ISTEXT(B78),"Analýza a dizajn",""),)</f>
        <v>Analýza a dizajn</v>
      </c>
      <c r="D78" s="369" t="str">
        <f>IFERROR(VLOOKUP(B78,MODULY_CBA!$B$3:$I$23,6,0),"")</f>
        <v>Inkrement 1</v>
      </c>
      <c r="E78" s="370">
        <f>IFERROR(VLOOKUP(D78,INKREMENTY!$A$2:$F$21,2,0),"")</f>
        <v>45292</v>
      </c>
      <c r="F78" s="370">
        <f>IFERROR(VLOOKUP(D78,INKREMENTY!$A$2:$F$21,4,0),"")</f>
        <v>46022</v>
      </c>
      <c r="G78" s="369">
        <f>IFERROR(ROUND(((E78-$E$3)+1)/30,0)+1,)</f>
        <v>1</v>
      </c>
      <c r="H78" s="369">
        <f t="shared" si="11"/>
        <v>0</v>
      </c>
      <c r="I78" s="550">
        <v>10</v>
      </c>
      <c r="J78" s="369">
        <f t="shared" ref="J78:J81" si="16">H78+I78</f>
        <v>10</v>
      </c>
    </row>
    <row r="79" spans="1:10">
      <c r="A79" s="868"/>
      <c r="B79" s="867"/>
      <c r="C79" s="369" t="str">
        <f>IFERROR(IF(ISTEXT(B78),"Nákupo HW a krabicový SW",""),)</f>
        <v>Nákupo HW a krabicový SW</v>
      </c>
      <c r="D79" s="366"/>
      <c r="E79" s="366"/>
      <c r="F79" s="366"/>
      <c r="G79" s="550">
        <v>8</v>
      </c>
      <c r="H79" s="369">
        <f t="shared" si="11"/>
        <v>7</v>
      </c>
      <c r="I79" s="550">
        <v>14</v>
      </c>
      <c r="J79" s="369">
        <f t="shared" si="16"/>
        <v>21</v>
      </c>
    </row>
    <row r="80" spans="1:10">
      <c r="A80" s="868"/>
      <c r="B80" s="867"/>
      <c r="C80" s="369" t="str">
        <f>IFERROR(IF(ISTEXT(B78),"Implementácia",""),)</f>
        <v>Implementácia</v>
      </c>
      <c r="D80" s="366"/>
      <c r="E80" s="366"/>
      <c r="F80" s="366"/>
      <c r="G80" s="550">
        <v>8</v>
      </c>
      <c r="H80" s="369">
        <f t="shared" si="11"/>
        <v>7</v>
      </c>
      <c r="I80" s="550">
        <v>14</v>
      </c>
      <c r="J80" s="369">
        <f t="shared" si="16"/>
        <v>21</v>
      </c>
    </row>
    <row r="81" spans="1:10">
      <c r="A81" s="868"/>
      <c r="B81" s="867"/>
      <c r="C81" s="369" t="str">
        <f>IFERROR(IF(ISTEXT(B78),"Testovanie",""),)</f>
        <v>Testovanie</v>
      </c>
      <c r="D81" s="366"/>
      <c r="E81" s="366"/>
      <c r="F81" s="366"/>
      <c r="G81" s="550">
        <v>8</v>
      </c>
      <c r="H81" s="369">
        <f t="shared" si="11"/>
        <v>7</v>
      </c>
      <c r="I81" s="550">
        <v>14</v>
      </c>
      <c r="J81" s="369">
        <f t="shared" si="16"/>
        <v>21</v>
      </c>
    </row>
    <row r="82" spans="1:10">
      <c r="A82" s="868"/>
      <c r="B82" s="867"/>
      <c r="C82" s="369" t="str">
        <f>IFERROR(IF(ISTEXT(B78),"Nasadenie",""),)</f>
        <v>Nasadenie</v>
      </c>
      <c r="D82" s="366"/>
      <c r="E82" s="366"/>
      <c r="F82" s="366"/>
      <c r="G82" s="550">
        <v>19</v>
      </c>
      <c r="H82" s="369">
        <f t="shared" si="11"/>
        <v>18</v>
      </c>
      <c r="I82" s="369">
        <f>J82-H82</f>
        <v>6</v>
      </c>
      <c r="J82" s="369">
        <f>IFERROR(ROUND((F78-$E$3+1)/30,0),)</f>
        <v>24</v>
      </c>
    </row>
    <row r="83" spans="1:10">
      <c r="A83" s="868">
        <v>17</v>
      </c>
      <c r="B83" s="867" t="s">
        <v>800</v>
      </c>
      <c r="C83" s="369" t="str">
        <f>IFERROR(IF(ISTEXT(B83),"Analýza a dizajn",""),)</f>
        <v>Analýza a dizajn</v>
      </c>
      <c r="D83" s="369" t="str">
        <f>IFERROR(VLOOKUP(B83,MODULY_CBA!$B$3:$I$23,6,0),"")</f>
        <v>Inkrement 1</v>
      </c>
      <c r="E83" s="370">
        <f>IFERROR(VLOOKUP(D83,INKREMENTY!$A$2:$F$21,2,0),"")</f>
        <v>45292</v>
      </c>
      <c r="F83" s="370">
        <f>IFERROR(VLOOKUP(D83,INKREMENTY!$A$2:$F$21,4,0),"")</f>
        <v>46022</v>
      </c>
      <c r="G83" s="369">
        <f>IFERROR(ROUND(((E83-$E$3)+1)/30,0)+1,)</f>
        <v>1</v>
      </c>
      <c r="H83" s="369">
        <f t="shared" si="11"/>
        <v>0</v>
      </c>
      <c r="I83" s="550">
        <v>10</v>
      </c>
      <c r="J83" s="369">
        <f t="shared" ref="J83:J86" si="17">H83+I83</f>
        <v>10</v>
      </c>
    </row>
    <row r="84" spans="1:10">
      <c r="A84" s="868"/>
      <c r="B84" s="867"/>
      <c r="C84" s="369" t="str">
        <f>IFERROR(IF(ISTEXT(B83),"Nákupo HW a krabicový SW",""),)</f>
        <v>Nákupo HW a krabicový SW</v>
      </c>
      <c r="D84" s="366"/>
      <c r="E84" s="366"/>
      <c r="F84" s="366"/>
      <c r="G84" s="550">
        <v>8</v>
      </c>
      <c r="H84" s="369">
        <f t="shared" si="11"/>
        <v>7</v>
      </c>
      <c r="I84" s="550">
        <v>14</v>
      </c>
      <c r="J84" s="369">
        <f t="shared" si="17"/>
        <v>21</v>
      </c>
    </row>
    <row r="85" spans="1:10">
      <c r="A85" s="868"/>
      <c r="B85" s="867"/>
      <c r="C85" s="369" t="str">
        <f>IFERROR(IF(ISTEXT(B83),"Implementácia",""),)</f>
        <v>Implementácia</v>
      </c>
      <c r="D85" s="366"/>
      <c r="E85" s="366"/>
      <c r="F85" s="366"/>
      <c r="G85" s="550">
        <v>8</v>
      </c>
      <c r="H85" s="369">
        <f t="shared" si="11"/>
        <v>7</v>
      </c>
      <c r="I85" s="550">
        <v>14</v>
      </c>
      <c r="J85" s="369">
        <f t="shared" si="17"/>
        <v>21</v>
      </c>
    </row>
    <row r="86" spans="1:10">
      <c r="A86" s="868"/>
      <c r="B86" s="867"/>
      <c r="C86" s="369" t="str">
        <f>IFERROR(IF(ISTEXT(B83),"Testovanie",""),)</f>
        <v>Testovanie</v>
      </c>
      <c r="D86" s="366"/>
      <c r="E86" s="366"/>
      <c r="F86" s="366"/>
      <c r="G86" s="550">
        <v>8</v>
      </c>
      <c r="H86" s="369">
        <f t="shared" si="11"/>
        <v>7</v>
      </c>
      <c r="I86" s="550">
        <v>14</v>
      </c>
      <c r="J86" s="369">
        <f t="shared" si="17"/>
        <v>21</v>
      </c>
    </row>
    <row r="87" spans="1:10">
      <c r="A87" s="868"/>
      <c r="B87" s="867"/>
      <c r="C87" s="369" t="str">
        <f>IFERROR(IF(ISTEXT(B83),"Nasadenie",""),)</f>
        <v>Nasadenie</v>
      </c>
      <c r="D87" s="366"/>
      <c r="E87" s="366"/>
      <c r="F87" s="366"/>
      <c r="G87" s="550">
        <v>19</v>
      </c>
      <c r="H87" s="369">
        <f t="shared" si="11"/>
        <v>18</v>
      </c>
      <c r="I87" s="369">
        <f>J87-H87</f>
        <v>6</v>
      </c>
      <c r="J87" s="369">
        <f>IFERROR(ROUND((F83-$E$3+1)/30,0),)</f>
        <v>24</v>
      </c>
    </row>
    <row r="88" spans="1:10">
      <c r="A88" s="868">
        <v>18</v>
      </c>
      <c r="B88" s="867" t="s">
        <v>801</v>
      </c>
      <c r="C88" s="369" t="str">
        <f>IFERROR(IF(ISTEXT(B88),"Analýza a dizajn",""),)</f>
        <v>Analýza a dizajn</v>
      </c>
      <c r="D88" s="369" t="str">
        <f>IFERROR(VLOOKUP(B88,MODULY_CBA!$B$3:$I$23,6,0),"")</f>
        <v>Inkrement 1</v>
      </c>
      <c r="E88" s="370">
        <f>IFERROR(VLOOKUP(D88,INKREMENTY!$A$2:$F$21,2,0),"")</f>
        <v>45292</v>
      </c>
      <c r="F88" s="370">
        <f>IFERROR(VLOOKUP(D88,INKREMENTY!$A$2:$F$21,4,0),"")</f>
        <v>46022</v>
      </c>
      <c r="G88" s="369">
        <f>IFERROR(ROUND(((E88-$E$3)+1)/30,0)+1,)</f>
        <v>1</v>
      </c>
      <c r="H88" s="369">
        <f t="shared" si="11"/>
        <v>0</v>
      </c>
      <c r="I88" s="550">
        <v>10</v>
      </c>
      <c r="J88" s="369">
        <f t="shared" ref="J88:J91" si="18">H88+I88</f>
        <v>10</v>
      </c>
    </row>
    <row r="89" spans="1:10">
      <c r="A89" s="868"/>
      <c r="B89" s="867"/>
      <c r="C89" s="369" t="str">
        <f>IFERROR(IF(ISTEXT(B88),"Nákupo HW a krabicový SW",""),)</f>
        <v>Nákupo HW a krabicový SW</v>
      </c>
      <c r="D89" s="366"/>
      <c r="E89" s="366"/>
      <c r="F89" s="366"/>
      <c r="G89" s="550">
        <v>8</v>
      </c>
      <c r="H89" s="369">
        <f t="shared" si="11"/>
        <v>7</v>
      </c>
      <c r="I89" s="550">
        <v>14</v>
      </c>
      <c r="J89" s="369">
        <f t="shared" si="18"/>
        <v>21</v>
      </c>
    </row>
    <row r="90" spans="1:10">
      <c r="A90" s="868"/>
      <c r="B90" s="867"/>
      <c r="C90" s="369" t="str">
        <f>IFERROR(IF(ISTEXT(B88),"Implementácia",""),)</f>
        <v>Implementácia</v>
      </c>
      <c r="D90" s="366"/>
      <c r="E90" s="366"/>
      <c r="F90" s="366"/>
      <c r="G90" s="550">
        <v>8</v>
      </c>
      <c r="H90" s="369">
        <f t="shared" si="11"/>
        <v>7</v>
      </c>
      <c r="I90" s="550">
        <v>14</v>
      </c>
      <c r="J90" s="369">
        <f t="shared" si="18"/>
        <v>21</v>
      </c>
    </row>
    <row r="91" spans="1:10">
      <c r="A91" s="868"/>
      <c r="B91" s="867"/>
      <c r="C91" s="369" t="str">
        <f>IFERROR(IF(ISTEXT(B88),"Testovanie",""),)</f>
        <v>Testovanie</v>
      </c>
      <c r="D91" s="366"/>
      <c r="E91" s="366"/>
      <c r="F91" s="366"/>
      <c r="G91" s="550">
        <v>8</v>
      </c>
      <c r="H91" s="369">
        <f t="shared" si="11"/>
        <v>7</v>
      </c>
      <c r="I91" s="550">
        <v>14</v>
      </c>
      <c r="J91" s="369">
        <f t="shared" si="18"/>
        <v>21</v>
      </c>
    </row>
    <row r="92" spans="1:10">
      <c r="A92" s="868"/>
      <c r="B92" s="867"/>
      <c r="C92" s="369" t="str">
        <f>IFERROR(IF(ISTEXT(B88),"Nasadenie",""),)</f>
        <v>Nasadenie</v>
      </c>
      <c r="D92" s="366"/>
      <c r="E92" s="366"/>
      <c r="F92" s="366"/>
      <c r="G92" s="550">
        <v>19</v>
      </c>
      <c r="H92" s="369">
        <f t="shared" si="11"/>
        <v>18</v>
      </c>
      <c r="I92" s="369">
        <f>J92-H92</f>
        <v>6</v>
      </c>
      <c r="J92" s="369">
        <f>IFERROR(ROUND((F88-$E$3+1)/30,0),)</f>
        <v>24</v>
      </c>
    </row>
    <row r="93" spans="1:10">
      <c r="A93" s="868">
        <v>19</v>
      </c>
      <c r="B93" s="867" t="s">
        <v>802</v>
      </c>
      <c r="C93" s="369" t="str">
        <f>IFERROR(IF(ISTEXT(B93),"Analýza a dizajn",""),)</f>
        <v>Analýza a dizajn</v>
      </c>
      <c r="D93" s="369" t="str">
        <f>IFERROR(VLOOKUP(B93,MODULY_CBA!$B$3:$I$23,6,0),"")</f>
        <v>Inkrement 1</v>
      </c>
      <c r="E93" s="370">
        <f>IFERROR(VLOOKUP(D93,INKREMENTY!$A$2:$F$21,2,0),"")</f>
        <v>45292</v>
      </c>
      <c r="F93" s="370">
        <f>IFERROR(VLOOKUP(D93,INKREMENTY!$A$2:$F$21,4,0),"")</f>
        <v>46022</v>
      </c>
      <c r="G93" s="369">
        <f>IFERROR(ROUND(((E93-$E$3)+1)/30,0)+1,)</f>
        <v>1</v>
      </c>
      <c r="H93" s="369">
        <f t="shared" si="11"/>
        <v>0</v>
      </c>
      <c r="I93" s="550">
        <v>10</v>
      </c>
      <c r="J93" s="369">
        <f t="shared" ref="J93:J96" si="19">H93+I93</f>
        <v>10</v>
      </c>
    </row>
    <row r="94" spans="1:10">
      <c r="A94" s="868"/>
      <c r="B94" s="867"/>
      <c r="C94" s="369" t="str">
        <f>IFERROR(IF(ISTEXT(B93),"Nákupo HW a krabicový SW",""),)</f>
        <v>Nákupo HW a krabicový SW</v>
      </c>
      <c r="D94" s="366"/>
      <c r="E94" s="366"/>
      <c r="F94" s="366"/>
      <c r="G94" s="550">
        <v>8</v>
      </c>
      <c r="H94" s="369">
        <f t="shared" si="11"/>
        <v>7</v>
      </c>
      <c r="I94" s="550">
        <v>14</v>
      </c>
      <c r="J94" s="369">
        <f t="shared" si="19"/>
        <v>21</v>
      </c>
    </row>
    <row r="95" spans="1:10">
      <c r="A95" s="868"/>
      <c r="B95" s="867"/>
      <c r="C95" s="369" t="str">
        <f>IFERROR(IF(ISTEXT(B93),"Implementácia",""),)</f>
        <v>Implementácia</v>
      </c>
      <c r="D95" s="366"/>
      <c r="E95" s="366"/>
      <c r="F95" s="366"/>
      <c r="G95" s="550">
        <v>8</v>
      </c>
      <c r="H95" s="369">
        <f t="shared" si="11"/>
        <v>7</v>
      </c>
      <c r="I95" s="550">
        <v>14</v>
      </c>
      <c r="J95" s="369">
        <f t="shared" si="19"/>
        <v>21</v>
      </c>
    </row>
    <row r="96" spans="1:10">
      <c r="A96" s="868"/>
      <c r="B96" s="867"/>
      <c r="C96" s="369" t="str">
        <f>IFERROR(IF(ISTEXT(B93),"Testovanie",""),)</f>
        <v>Testovanie</v>
      </c>
      <c r="D96" s="366"/>
      <c r="E96" s="366"/>
      <c r="F96" s="366"/>
      <c r="G96" s="550">
        <v>8</v>
      </c>
      <c r="H96" s="369">
        <f t="shared" si="11"/>
        <v>7</v>
      </c>
      <c r="I96" s="550">
        <v>14</v>
      </c>
      <c r="J96" s="369">
        <f t="shared" si="19"/>
        <v>21</v>
      </c>
    </row>
    <row r="97" spans="1:10">
      <c r="A97" s="868"/>
      <c r="B97" s="867"/>
      <c r="C97" s="369" t="str">
        <f>IFERROR(IF(ISTEXT(B93),"Nasadenie",""),)</f>
        <v>Nasadenie</v>
      </c>
      <c r="D97" s="366"/>
      <c r="E97" s="366"/>
      <c r="F97" s="366"/>
      <c r="G97" s="550">
        <v>19</v>
      </c>
      <c r="H97" s="369">
        <f t="shared" si="11"/>
        <v>18</v>
      </c>
      <c r="I97" s="369">
        <f>J97-H97</f>
        <v>6</v>
      </c>
      <c r="J97" s="369">
        <f>IFERROR(ROUND((F93-$E$3+1)/30,0),)</f>
        <v>24</v>
      </c>
    </row>
  </sheetData>
  <mergeCells count="39">
    <mergeCell ref="A88:A92"/>
    <mergeCell ref="A93:A97"/>
    <mergeCell ref="A63:A67"/>
    <mergeCell ref="A68:A72"/>
    <mergeCell ref="A73:A77"/>
    <mergeCell ref="A78:A82"/>
    <mergeCell ref="A83:A87"/>
    <mergeCell ref="A28:A32"/>
    <mergeCell ref="A33:A37"/>
    <mergeCell ref="A38:A42"/>
    <mergeCell ref="A3:A7"/>
    <mergeCell ref="A8:A12"/>
    <mergeCell ref="A13:A17"/>
    <mergeCell ref="A18:A22"/>
    <mergeCell ref="A23:A27"/>
    <mergeCell ref="A43:A47"/>
    <mergeCell ref="A48:A52"/>
    <mergeCell ref="A53:A57"/>
    <mergeCell ref="A58:A62"/>
    <mergeCell ref="B73:B77"/>
    <mergeCell ref="B88:B92"/>
    <mergeCell ref="B93:B97"/>
    <mergeCell ref="B48:B52"/>
    <mergeCell ref="B53:B57"/>
    <mergeCell ref="B58:B62"/>
    <mergeCell ref="B63:B67"/>
    <mergeCell ref="B68:B72"/>
    <mergeCell ref="B33:B37"/>
    <mergeCell ref="B38:B42"/>
    <mergeCell ref="B43:B47"/>
    <mergeCell ref="B78:B82"/>
    <mergeCell ref="B83:B87"/>
    <mergeCell ref="G1:J1"/>
    <mergeCell ref="B28:B32"/>
    <mergeCell ref="B3:B7"/>
    <mergeCell ref="B8:B12"/>
    <mergeCell ref="B13:B17"/>
    <mergeCell ref="B18:B22"/>
    <mergeCell ref="B23:B27"/>
  </mergeCells>
  <conditionalFormatting sqref="C3:C32">
    <cfRule type="expression" dxfId="2" priority="1">
      <formula>ISTEXT($B$28)</formula>
    </cfRule>
  </conditionalFormatting>
  <dataValidations disablePrompts="1" count="1">
    <dataValidation type="list" allowBlank="1" showInputMessage="1" showErrorMessage="1" sqref="B3:B97">
      <formula1>MODULY</formula1>
    </dataValidation>
  </dataValidations>
  <pageMargins left="0.7" right="0.7" top="0.75" bottom="0.75" header="0.3" footer="0.3"/>
  <pageSetup paperSize="9" orientation="portrait" r:id="rId1"/>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9">
    <tabColor theme="0" tint="-0.34998626667073579"/>
    <outlinePr summaryBelow="0" summaryRight="0"/>
  </sheetPr>
  <dimension ref="A1:M44"/>
  <sheetViews>
    <sheetView view="pageBreakPreview" zoomScaleNormal="85" zoomScaleSheetLayoutView="100" workbookViewId="0">
      <selection activeCell="F18" sqref="F18"/>
    </sheetView>
  </sheetViews>
  <sheetFormatPr defaultColWidth="8.85546875" defaultRowHeight="15" outlineLevelCol="1"/>
  <cols>
    <col min="2" max="2" width="54.140625" customWidth="1"/>
    <col min="3" max="3" width="18.85546875" customWidth="1"/>
    <col min="4" max="13" width="16" customWidth="1" outlineLevel="1"/>
  </cols>
  <sheetData>
    <row r="1" spans="1:13" ht="21">
      <c r="A1" s="94" t="s">
        <v>97</v>
      </c>
      <c r="B1" s="95"/>
      <c r="E1" s="84"/>
      <c r="F1" s="84"/>
      <c r="G1" s="84"/>
      <c r="H1" s="84"/>
      <c r="I1" s="84"/>
      <c r="J1" s="84"/>
      <c r="K1" s="84"/>
      <c r="L1" s="84"/>
      <c r="M1" s="80"/>
    </row>
    <row r="2" spans="1:13" ht="15.75">
      <c r="A2" s="96"/>
      <c r="B2" s="82"/>
      <c r="D2" s="82"/>
      <c r="E2" s="82"/>
      <c r="F2" s="82"/>
      <c r="G2" s="82"/>
      <c r="H2" s="82"/>
      <c r="I2" s="82"/>
      <c r="J2" s="82"/>
      <c r="K2" s="82"/>
      <c r="L2" s="82"/>
      <c r="M2" s="76"/>
    </row>
    <row r="3" spans="1:13" ht="15.75">
      <c r="A3" s="160" t="s">
        <v>150</v>
      </c>
      <c r="B3" s="82"/>
      <c r="D3" s="76"/>
      <c r="E3" s="76"/>
      <c r="F3" s="76"/>
      <c r="G3" s="76"/>
      <c r="H3" s="76"/>
      <c r="I3" s="76"/>
      <c r="J3" s="76"/>
      <c r="K3" s="76"/>
      <c r="L3" s="76"/>
      <c r="M3" s="76"/>
    </row>
    <row r="4" spans="1:13">
      <c r="D4" s="77"/>
      <c r="E4" s="77"/>
      <c r="F4" s="77"/>
      <c r="G4" s="77"/>
      <c r="H4" s="77"/>
      <c r="I4" s="77"/>
      <c r="J4" s="77"/>
      <c r="K4" s="77"/>
      <c r="L4" s="77"/>
      <c r="M4" s="77"/>
    </row>
    <row r="5" spans="1:13" ht="15.75" thickBot="1">
      <c r="B5" s="77"/>
      <c r="C5" s="81"/>
      <c r="D5" s="869" t="s">
        <v>98</v>
      </c>
      <c r="E5" s="869"/>
      <c r="F5" s="869"/>
      <c r="G5" s="869"/>
      <c r="H5" s="869"/>
      <c r="I5" s="869"/>
      <c r="J5" s="869"/>
      <c r="K5" s="869"/>
      <c r="L5" s="869"/>
      <c r="M5" s="869"/>
    </row>
    <row r="6" spans="1:13">
      <c r="A6" s="130"/>
      <c r="B6" s="155" t="s">
        <v>125</v>
      </c>
      <c r="C6" s="88" t="s">
        <v>102</v>
      </c>
      <c r="D6" s="100" t="s">
        <v>25</v>
      </c>
      <c r="E6" s="101" t="s">
        <v>26</v>
      </c>
      <c r="F6" s="101" t="s">
        <v>27</v>
      </c>
      <c r="G6" s="101" t="s">
        <v>28</v>
      </c>
      <c r="H6" s="101" t="s">
        <v>29</v>
      </c>
      <c r="I6" s="101" t="s">
        <v>30</v>
      </c>
      <c r="J6" s="101" t="s">
        <v>31</v>
      </c>
      <c r="K6" s="101" t="s">
        <v>32</v>
      </c>
      <c r="L6" s="101" t="s">
        <v>33</v>
      </c>
      <c r="M6" s="102" t="s">
        <v>34</v>
      </c>
    </row>
    <row r="7" spans="1:13">
      <c r="A7" s="158"/>
      <c r="B7" s="156" t="s">
        <v>105</v>
      </c>
      <c r="C7" s="677">
        <f t="shared" ref="C7:C14" si="0">SUM(D7:M7)</f>
        <v>600000</v>
      </c>
      <c r="D7" s="103">
        <f>'TCO TO BE- SW'!$E6+'TCO TO BE- SW'!$E26+'TCO TO BE- SW'!$E16</f>
        <v>0</v>
      </c>
      <c r="E7" s="86">
        <f>'TCO TO BE- SW'!$E7+'TCO TO BE- SW'!$E27+'TCO TO BE- SW'!$E17</f>
        <v>600000</v>
      </c>
      <c r="F7" s="86">
        <f>'TCO TO BE- SW'!$E8+'TCO TO BE- SW'!$E28+'TCO TO BE- SW'!$E18</f>
        <v>0</v>
      </c>
      <c r="G7" s="86">
        <f>'TCO TO BE- SW'!$E9+'TCO TO BE- SW'!$E29+'TCO TO BE- SW'!$E19</f>
        <v>0</v>
      </c>
      <c r="H7" s="86">
        <f>'TCO TO BE- SW'!$E10+'TCO TO BE- SW'!$E30+'TCO TO BE- SW'!$E20</f>
        <v>0</v>
      </c>
      <c r="I7" s="86">
        <f>'TCO TO BE- SW'!$E11+'TCO TO BE- SW'!$E31+'TCO TO BE- SW'!$E21</f>
        <v>0</v>
      </c>
      <c r="J7" s="86">
        <f>'TCO TO BE- SW'!$E12+'TCO TO BE- SW'!$E32+'TCO TO BE- SW'!$E22</f>
        <v>0</v>
      </c>
      <c r="K7" s="86">
        <f>'TCO TO BE- SW'!$E13+'TCO TO BE- SW'!$E33+'TCO TO BE- SW'!$E23</f>
        <v>0</v>
      </c>
      <c r="L7" s="86">
        <f>'TCO TO BE- SW'!$E14+'TCO TO BE- SW'!$E34+'TCO TO BE- SW'!$E24</f>
        <v>0</v>
      </c>
      <c r="M7" s="104">
        <f>'TCO TO BE- SW'!$E15+'TCO TO BE- SW'!$E35+'TCO TO BE- SW'!$E25</f>
        <v>0</v>
      </c>
    </row>
    <row r="8" spans="1:13">
      <c r="A8" s="158"/>
      <c r="B8" s="156" t="s">
        <v>106</v>
      </c>
      <c r="C8" s="677">
        <f t="shared" si="0"/>
        <v>0</v>
      </c>
      <c r="D8" s="103">
        <f>'TCO TO BE- SW'!$E79+'TCO TO BE- SW'!$E89</f>
        <v>0</v>
      </c>
      <c r="E8" s="86">
        <f>'TCO TO BE- SW'!$E80+'TCO TO BE- SW'!$E90</f>
        <v>0</v>
      </c>
      <c r="F8" s="86">
        <f>'TCO TO BE- SW'!$E81+'TCO TO BE- SW'!$E91</f>
        <v>0</v>
      </c>
      <c r="G8" s="86">
        <f>'TCO TO BE- SW'!$E82+'TCO TO BE- SW'!$E92</f>
        <v>0</v>
      </c>
      <c r="H8" s="86">
        <f>'TCO TO BE- SW'!$E83+'TCO TO BE- SW'!$E93</f>
        <v>0</v>
      </c>
      <c r="I8" s="86">
        <f>'TCO TO BE- SW'!$E84+'TCO TO BE- SW'!$E94</f>
        <v>0</v>
      </c>
      <c r="J8" s="86">
        <f>'TCO TO BE- SW'!$E85+'TCO TO BE- SW'!$E95</f>
        <v>0</v>
      </c>
      <c r="K8" s="86">
        <f>'TCO TO BE- SW'!$E86+'TCO TO BE- SW'!$E96</f>
        <v>0</v>
      </c>
      <c r="L8" s="86">
        <f>'TCO TO BE- SW'!$E87+'TCO TO BE- SW'!$E97</f>
        <v>0</v>
      </c>
      <c r="M8" s="104">
        <f>'TCO TO BE- SW'!$E88+'TCO TO BE- SW'!$E98</f>
        <v>0</v>
      </c>
    </row>
    <row r="9" spans="1:13">
      <c r="A9" s="158"/>
      <c r="B9" s="156" t="s">
        <v>107</v>
      </c>
      <c r="C9" s="676">
        <f t="shared" si="0"/>
        <v>8406579.0559999999</v>
      </c>
      <c r="D9" s="103">
        <f>'TCO TO BE- SW'!$E37+'TCO TO BE- SW'!$E47+'TCO TO BE- SW'!$E67+'TCO TO BE- SW'!E57</f>
        <v>0</v>
      </c>
      <c r="E9" s="86">
        <f>'TCO TO BE- SW'!$E38+'TCO TO BE- SW'!$E48+'TCO TO BE- SW'!$E68+'TCO TO BE- SW'!E58</f>
        <v>0</v>
      </c>
      <c r="F9" s="86">
        <f>'TCO TO BE- SW'!$E39+'TCO TO BE- SW'!$E49+'TCO TO BE- SW'!$E69+'TCO TO BE- SW'!E59</f>
        <v>8406579.0559999999</v>
      </c>
      <c r="G9" s="86">
        <f>'TCO TO BE- SW'!$E40+'TCO TO BE- SW'!$E50+'TCO TO BE- SW'!$E70+'TCO TO BE- SW'!E60</f>
        <v>0</v>
      </c>
      <c r="H9" s="86">
        <f>'TCO TO BE- SW'!$E41+'TCO TO BE- SW'!$E51+'TCO TO BE- SW'!$E71+'TCO TO BE- SW'!E61</f>
        <v>0</v>
      </c>
      <c r="I9" s="86">
        <f>'TCO TO BE- SW'!$E42+'TCO TO BE- SW'!$E52+'TCO TO BE- SW'!$E72+'TCO TO BE- SW'!E62</f>
        <v>0</v>
      </c>
      <c r="J9" s="86">
        <f>'TCO TO BE- SW'!$E43+'TCO TO BE- SW'!$E53+'TCO TO BE- SW'!$E73+'TCO TO BE- SW'!E63</f>
        <v>0</v>
      </c>
      <c r="K9" s="86">
        <f>'TCO TO BE- SW'!$E44+'TCO TO BE- SW'!$E54+'TCO TO BE- SW'!$E74+'TCO TO BE- SW'!E64</f>
        <v>0</v>
      </c>
      <c r="L9" s="86">
        <f>'TCO TO BE- SW'!$E45+'TCO TO BE- SW'!$E55+'TCO TO BE- SW'!$E75+'TCO TO BE- SW'!E65</f>
        <v>0</v>
      </c>
      <c r="M9" s="104">
        <f>'TCO TO BE- SW'!$E46+'TCO TO BE- SW'!$E56+'TCO TO BE- SW'!$E76+'TCO TO BE- SW'!E66</f>
        <v>0</v>
      </c>
    </row>
    <row r="10" spans="1:13">
      <c r="A10" s="158"/>
      <c r="B10" s="156" t="s">
        <v>108</v>
      </c>
      <c r="C10" s="677">
        <f t="shared" si="0"/>
        <v>6212201.0129004661</v>
      </c>
      <c r="D10" s="103">
        <f>'TCO TO BE- SW'!$E100+'TCO TO BE- SW'!$E110+'TCO TO BE- SW'!$E120+'TCO TO BE- SW'!$E130+'TCO TO BE- SW'!$E140</f>
        <v>0</v>
      </c>
      <c r="E10" s="86">
        <f>'TCO TO BE- SW'!$E101+'TCO TO BE- SW'!$E111+'TCO TO BE- SW'!$E121+'TCO TO BE- SW'!$E131+'TCO TO BE- SW'!$E141</f>
        <v>0</v>
      </c>
      <c r="F10" s="86">
        <f>'TCO TO BE- SW'!$E102+'TCO TO BE- SW'!$E112+'TCO TO BE- SW'!$E122+'TCO TO BE- SW'!$E132+'TCO TO BE- SW'!$E142</f>
        <v>761817.16490046354</v>
      </c>
      <c r="G10" s="86">
        <f>'TCO TO BE- SW'!$E103+'TCO TO BE- SW'!$E113+'TCO TO BE- SW'!$E123+'TCO TO BE- SW'!$E133+'TCO TO BE- SW'!$E143</f>
        <v>778626.2640000002</v>
      </c>
      <c r="H10" s="86">
        <f>'TCO TO BE- SW'!$E104+'TCO TO BE- SW'!$E114+'TCO TO BE- SW'!$E124+'TCO TO BE- SW'!$E134+'TCO TO BE- SW'!$E144</f>
        <v>778626.2640000002</v>
      </c>
      <c r="I10" s="86">
        <f>'TCO TO BE- SW'!$E105+'TCO TO BE- SW'!$E115+'TCO TO BE- SW'!$E125+'TCO TO BE- SW'!$E135+'TCO TO BE- SW'!$E145</f>
        <v>778626.2640000002</v>
      </c>
      <c r="J10" s="86">
        <f>'TCO TO BE- SW'!$E106+'TCO TO BE- SW'!$E116+'TCO TO BE- SW'!$E126+'TCO TO BE- SW'!$E136+'TCO TO BE- SW'!$E146</f>
        <v>778626.2640000002</v>
      </c>
      <c r="K10" s="86">
        <f>'TCO TO BE- SW'!$E107+'TCO TO BE- SW'!$E117+'TCO TO BE- SW'!$E127+'TCO TO BE- SW'!$E137+'TCO TO BE- SW'!$E147</f>
        <v>778626.2640000002</v>
      </c>
      <c r="L10" s="86">
        <f>'TCO TO BE- SW'!$E108+'TCO TO BE- SW'!$E118+'TCO TO BE- SW'!$E128+'TCO TO BE- SW'!$E138+'TCO TO BE- SW'!$E148</f>
        <v>778626.2640000002</v>
      </c>
      <c r="M10" s="104">
        <f>'TCO TO BE- SW'!$E109+'TCO TO BE- SW'!$E119+'TCO TO BE- SW'!$E129+'TCO TO BE- SW'!$E139+'TCO TO BE- SW'!$E149</f>
        <v>778626.2640000002</v>
      </c>
    </row>
    <row r="11" spans="1:13">
      <c r="A11" s="158"/>
      <c r="B11" s="156" t="s">
        <v>248</v>
      </c>
      <c r="C11" s="677">
        <f t="shared" si="0"/>
        <v>0</v>
      </c>
      <c r="D11" s="103">
        <f>'TCO TO BE- SW'!E172+'TCO TO BE- SW'!E182</f>
        <v>0</v>
      </c>
      <c r="E11" s="86">
        <f>'TCO TO BE- SW'!E173+'TCO TO BE- SW'!E183</f>
        <v>0</v>
      </c>
      <c r="F11" s="86">
        <f>'TCO TO BE- SW'!E174+'TCO TO BE- SW'!E184</f>
        <v>0</v>
      </c>
      <c r="G11" s="86">
        <f>'TCO TO BE- SW'!E175+'TCO TO BE- SW'!E185</f>
        <v>0</v>
      </c>
      <c r="H11" s="86">
        <f>'TCO TO BE- SW'!E176+'TCO TO BE- SW'!E186</f>
        <v>0</v>
      </c>
      <c r="I11" s="86">
        <f>'TCO TO BE- SW'!E177+'TCO TO BE- SW'!E187</f>
        <v>0</v>
      </c>
      <c r="J11" s="86">
        <f>'TCO TO BE- SW'!E178+'TCO TO BE- SW'!E188</f>
        <v>0</v>
      </c>
      <c r="K11" s="86">
        <f>'TCO TO BE- SW'!E179+'TCO TO BE- SW'!E189</f>
        <v>0</v>
      </c>
      <c r="L11" s="86">
        <f>'TCO TO BE- SW'!E180+'TCO TO BE- SW'!E190</f>
        <v>0</v>
      </c>
      <c r="M11" s="104">
        <f>'TCO TO BE- SW'!E181+'TCO TO BE- SW'!E191</f>
        <v>0</v>
      </c>
    </row>
    <row r="12" spans="1:13">
      <c r="A12" s="158"/>
      <c r="B12" s="156" t="s">
        <v>99</v>
      </c>
      <c r="C12" s="677">
        <f t="shared" si="0"/>
        <v>0</v>
      </c>
      <c r="D12" s="103">
        <f>'TCO TO BE - HW'!$E5+'TCO TO BE - HW'!$E15+'TCO TO BE - HW'!$E45+'TCO TO BE - HW'!$E25+'TCO TO BE - HW'!$E35</f>
        <v>0</v>
      </c>
      <c r="E12" s="86">
        <f>'TCO TO BE - HW'!$E6+'TCO TO BE - HW'!$E16+'TCO TO BE - HW'!$E46+'TCO TO BE - HW'!$E26+'TCO TO BE - HW'!$E36</f>
        <v>0</v>
      </c>
      <c r="F12" s="86">
        <f>'TCO TO BE - HW'!$E7+'TCO TO BE - HW'!$E17+'TCO TO BE - HW'!$E47+'TCO TO BE - HW'!$E27+'TCO TO BE - HW'!$E37</f>
        <v>0</v>
      </c>
      <c r="G12" s="86">
        <f>'TCO TO BE - HW'!$E8+'TCO TO BE - HW'!$E18+'TCO TO BE - HW'!$E48+'TCO TO BE - HW'!$E28+'TCO TO BE - HW'!$E38</f>
        <v>0</v>
      </c>
      <c r="H12" s="86">
        <f>'TCO TO BE - HW'!$E9+'TCO TO BE - HW'!$E19+'TCO TO BE - HW'!$E49+'TCO TO BE - HW'!$E29+'TCO TO BE - HW'!$E39</f>
        <v>0</v>
      </c>
      <c r="I12" s="86">
        <f>'TCO TO BE - HW'!$E10+'TCO TO BE - HW'!$E20+'TCO TO BE - HW'!$E50+'TCO TO BE - HW'!$E30+'TCO TO BE - HW'!$E40</f>
        <v>0</v>
      </c>
      <c r="J12" s="86">
        <f>'TCO TO BE - HW'!$E11+'TCO TO BE - HW'!$E21+'TCO TO BE - HW'!$E51+'TCO TO BE - HW'!$E31+'TCO TO BE - HW'!$E41</f>
        <v>0</v>
      </c>
      <c r="K12" s="86">
        <f>'TCO TO BE - HW'!$E12+'TCO TO BE - HW'!$E22+'TCO TO BE - HW'!$E52+'TCO TO BE - HW'!$E32+'TCO TO BE - HW'!$E42</f>
        <v>0</v>
      </c>
      <c r="L12" s="86">
        <f>'TCO TO BE - HW'!$E13+'TCO TO BE - HW'!$E23+'TCO TO BE - HW'!$E53+'TCO TO BE - HW'!$E33+'TCO TO BE - HW'!$E43</f>
        <v>0</v>
      </c>
      <c r="M12" s="104">
        <f>'TCO TO BE - HW'!$E14+'TCO TO BE - HW'!$E24+'TCO TO BE - HW'!$E54+'TCO TO BE - HW'!$E34+'TCO TO BE - HW'!$E44</f>
        <v>0</v>
      </c>
    </row>
    <row r="13" spans="1:13">
      <c r="A13" s="158"/>
      <c r="B13" s="156" t="s">
        <v>100</v>
      </c>
      <c r="C13" s="677">
        <f t="shared" si="0"/>
        <v>0</v>
      </c>
      <c r="D13" s="103">
        <f>'TCO TO BE - HW'!$E56+'TCO TO BE - HW'!$E66+'TCO TO BE - HW'!$E76+'TCO TO BE - HW'!$E86+'TCO TO BE - HW'!$E96</f>
        <v>0</v>
      </c>
      <c r="E13" s="86">
        <f>'TCO TO BE - HW'!$E57+'TCO TO BE - HW'!$E67+'TCO TO BE - HW'!$E77+'TCO TO BE - HW'!$E87+'TCO TO BE - HW'!$E97</f>
        <v>0</v>
      </c>
      <c r="F13" s="86">
        <f>'TCO TO BE - HW'!$E58+'TCO TO BE - HW'!$E68+'TCO TO BE - HW'!$E78+'TCO TO BE - HW'!$E88+'TCO TO BE - HW'!$E98</f>
        <v>0</v>
      </c>
      <c r="G13" s="86">
        <f>'TCO TO BE - HW'!$E59+'TCO TO BE - HW'!$E69+'TCO TO BE - HW'!$E79+'TCO TO BE - HW'!$E89+'TCO TO BE - HW'!$E99</f>
        <v>0</v>
      </c>
      <c r="H13" s="86">
        <f>'TCO TO BE - HW'!$E60+'TCO TO BE - HW'!$E70+'TCO TO BE - HW'!$E80+'TCO TO BE - HW'!$E90+'TCO TO BE - HW'!$E100</f>
        <v>0</v>
      </c>
      <c r="I13" s="86">
        <f>'TCO TO BE - HW'!$E61+'TCO TO BE - HW'!$E71+'TCO TO BE - HW'!$E81+'TCO TO BE - HW'!$E91+'TCO TO BE - HW'!$E101</f>
        <v>0</v>
      </c>
      <c r="J13" s="86">
        <f>'TCO TO BE - HW'!$E62+'TCO TO BE - HW'!$E72+'TCO TO BE - HW'!$E82+'TCO TO BE - HW'!$E92+'TCO TO BE - HW'!$E102</f>
        <v>0</v>
      </c>
      <c r="K13" s="86">
        <f>'TCO TO BE - HW'!$E63+'TCO TO BE - HW'!$E73+'TCO TO BE - HW'!$E83+'TCO TO BE - HW'!$E93+'TCO TO BE - HW'!$E103</f>
        <v>0</v>
      </c>
      <c r="L13" s="86">
        <f>'TCO TO BE - HW'!$E64+'TCO TO BE - HW'!$E74+'TCO TO BE - HW'!$E84+'TCO TO BE - HW'!$E94+'TCO TO BE - HW'!$E104</f>
        <v>0</v>
      </c>
      <c r="M13" s="104">
        <f>'TCO TO BE - HW'!$E65+'TCO TO BE - HW'!$E75+'TCO TO BE - HW'!$E85+'TCO TO BE - HW'!$E95+'TCO TO BE - HW'!$E105</f>
        <v>0</v>
      </c>
    </row>
    <row r="14" spans="1:13" ht="15.75" thickBot="1">
      <c r="A14" s="158"/>
      <c r="B14" s="319" t="s">
        <v>233</v>
      </c>
      <c r="C14" s="678">
        <f t="shared" si="0"/>
        <v>630460.53391999996</v>
      </c>
      <c r="D14" s="320">
        <f>'TCO TO BE- SW'!E151+'TCO TO BE- SW'!E161</f>
        <v>210153.51130666665</v>
      </c>
      <c r="E14" s="321">
        <f>'TCO TO BE- SW'!E152+'TCO TO BE- SW'!E162</f>
        <v>210153.51130666665</v>
      </c>
      <c r="F14" s="321">
        <f>'TCO TO BE- SW'!E153+'TCO TO BE- SW'!E163</f>
        <v>210153.51130666665</v>
      </c>
      <c r="G14" s="321">
        <f>'TCO TO BE- SW'!E154+'TCO TO BE- SW'!E164</f>
        <v>0</v>
      </c>
      <c r="H14" s="321">
        <f>'TCO TO BE- SW'!E155+'TCO TO BE- SW'!E165</f>
        <v>0</v>
      </c>
      <c r="I14" s="321">
        <f>'TCO TO BE- SW'!E156+'TCO TO BE- SW'!E166</f>
        <v>0</v>
      </c>
      <c r="J14" s="321">
        <f>'TCO TO BE- SW'!E157+'TCO TO BE- SW'!E167</f>
        <v>0</v>
      </c>
      <c r="K14" s="321">
        <f>'TCO TO BE- SW'!E158+'TCO TO BE- SW'!E168</f>
        <v>0</v>
      </c>
      <c r="L14" s="321">
        <f>'TCO TO BE- SW'!E159+'TCO TO BE- SW'!E169</f>
        <v>0</v>
      </c>
      <c r="M14" s="322">
        <f>'TCO TO BE- SW'!E160+'TCO TO BE- SW'!E170</f>
        <v>0</v>
      </c>
    </row>
    <row r="15" spans="1:13" ht="15.75" thickBot="1">
      <c r="A15" s="159"/>
      <c r="B15" s="157" t="s">
        <v>101</v>
      </c>
      <c r="C15" s="91">
        <f>SUM(C7:C14)</f>
        <v>15849240.602820465</v>
      </c>
      <c r="D15" s="87">
        <f>SUM(D7:D14)</f>
        <v>210153.51130666665</v>
      </c>
      <c r="E15" s="87">
        <f t="shared" ref="E15:M15" si="1">SUM(E7:E14)</f>
        <v>810153.51130666665</v>
      </c>
      <c r="F15" s="87">
        <f t="shared" si="1"/>
        <v>9378549.7322071288</v>
      </c>
      <c r="G15" s="87">
        <f t="shared" si="1"/>
        <v>778626.2640000002</v>
      </c>
      <c r="H15" s="87">
        <f t="shared" si="1"/>
        <v>778626.2640000002</v>
      </c>
      <c r="I15" s="87">
        <f t="shared" si="1"/>
        <v>778626.2640000002</v>
      </c>
      <c r="J15" s="87">
        <f t="shared" si="1"/>
        <v>778626.2640000002</v>
      </c>
      <c r="K15" s="87">
        <f t="shared" si="1"/>
        <v>778626.2640000002</v>
      </c>
      <c r="L15" s="87">
        <f t="shared" si="1"/>
        <v>778626.2640000002</v>
      </c>
      <c r="M15" s="87">
        <f t="shared" si="1"/>
        <v>778626.2640000002</v>
      </c>
    </row>
    <row r="16" spans="1:13">
      <c r="A16" s="77"/>
      <c r="B16" s="77"/>
      <c r="C16" s="77"/>
      <c r="D16" s="77"/>
      <c r="E16" s="77"/>
      <c r="F16" s="77"/>
      <c r="G16" s="77"/>
      <c r="H16" s="77"/>
      <c r="I16" s="77"/>
      <c r="J16" s="77"/>
      <c r="K16" s="77"/>
      <c r="L16" s="77"/>
      <c r="M16" s="77"/>
    </row>
    <row r="17" spans="1:13">
      <c r="A17" s="77"/>
      <c r="B17" s="77"/>
      <c r="C17" s="77"/>
      <c r="D17" s="77"/>
      <c r="E17" s="77"/>
      <c r="F17" s="77"/>
      <c r="G17" s="77"/>
      <c r="H17" s="77"/>
      <c r="I17" s="77"/>
      <c r="J17" s="77"/>
      <c r="K17" s="77"/>
      <c r="L17" s="77"/>
      <c r="M17" s="77"/>
    </row>
    <row r="18" spans="1:13" ht="32.25" customHeight="1">
      <c r="A18" s="870" t="s">
        <v>112</v>
      </c>
      <c r="B18" s="870"/>
      <c r="C18" s="870"/>
      <c r="D18" s="83"/>
      <c r="E18" s="82"/>
      <c r="F18" s="82"/>
      <c r="G18" s="82"/>
      <c r="H18" s="82"/>
      <c r="I18" s="82"/>
      <c r="J18" s="82"/>
      <c r="K18" s="82"/>
      <c r="L18" s="82"/>
      <c r="M18" s="76"/>
    </row>
    <row r="19" spans="1:13">
      <c r="A19" s="77"/>
      <c r="B19" s="77"/>
      <c r="C19" s="77"/>
      <c r="D19" s="77"/>
      <c r="E19" s="77"/>
      <c r="F19" s="77"/>
      <c r="G19" s="77"/>
      <c r="H19" s="77"/>
      <c r="I19" s="77"/>
      <c r="J19" s="77"/>
      <c r="K19" s="77"/>
      <c r="L19" s="77"/>
      <c r="M19" s="77"/>
    </row>
    <row r="20" spans="1:13" ht="15.75" thickBot="1">
      <c r="B20" s="77"/>
      <c r="C20" s="81"/>
      <c r="D20" s="869" t="s">
        <v>98</v>
      </c>
      <c r="E20" s="869"/>
      <c r="F20" s="869"/>
      <c r="G20" s="869"/>
      <c r="H20" s="869"/>
      <c r="I20" s="869"/>
      <c r="J20" s="869"/>
      <c r="K20" s="869"/>
      <c r="L20" s="869"/>
      <c r="M20" s="869"/>
    </row>
    <row r="21" spans="1:13" ht="17.100000000000001" customHeight="1">
      <c r="A21" s="130"/>
      <c r="B21" s="154" t="s">
        <v>172</v>
      </c>
      <c r="C21" s="88" t="s">
        <v>102</v>
      </c>
      <c r="D21" s="100" t="s">
        <v>25</v>
      </c>
      <c r="E21" s="101" t="s">
        <v>26</v>
      </c>
      <c r="F21" s="101" t="s">
        <v>27</v>
      </c>
      <c r="G21" s="101" t="s">
        <v>28</v>
      </c>
      <c r="H21" s="101" t="s">
        <v>29</v>
      </c>
      <c r="I21" s="101" t="s">
        <v>30</v>
      </c>
      <c r="J21" s="101" t="s">
        <v>31</v>
      </c>
      <c r="K21" s="101" t="s">
        <v>32</v>
      </c>
      <c r="L21" s="101" t="s">
        <v>33</v>
      </c>
      <c r="M21" s="102" t="s">
        <v>34</v>
      </c>
    </row>
    <row r="22" spans="1:13" ht="15" customHeight="1">
      <c r="A22" s="158"/>
      <c r="B22" s="98" t="s">
        <v>105</v>
      </c>
      <c r="C22" s="89">
        <v>0</v>
      </c>
      <c r="D22" s="103">
        <v>0</v>
      </c>
      <c r="E22" s="86">
        <v>0</v>
      </c>
      <c r="F22" s="86">
        <v>0</v>
      </c>
      <c r="G22" s="86">
        <v>0</v>
      </c>
      <c r="H22" s="86">
        <v>0</v>
      </c>
      <c r="I22" s="86">
        <v>0</v>
      </c>
      <c r="J22" s="86">
        <v>0</v>
      </c>
      <c r="K22" s="86">
        <v>0</v>
      </c>
      <c r="L22" s="86">
        <v>0</v>
      </c>
      <c r="M22" s="104">
        <v>0</v>
      </c>
    </row>
    <row r="23" spans="1:13" ht="17.25" customHeight="1">
      <c r="A23" s="158"/>
      <c r="B23" s="98" t="s">
        <v>106</v>
      </c>
      <c r="C23" s="89">
        <f>SUM(D23:M23)</f>
        <v>15200000</v>
      </c>
      <c r="D23" s="103">
        <f>'TCO AS IS - SW'!E5+'TCO AS IS - SW'!E15</f>
        <v>0</v>
      </c>
      <c r="E23" s="86">
        <f>'TCO AS IS - SW'!E6+'TCO AS IS - SW'!E16</f>
        <v>0</v>
      </c>
      <c r="F23" s="86">
        <f>'TCO AS IS - SW'!E7+'TCO AS IS - SW'!E17</f>
        <v>1900000</v>
      </c>
      <c r="G23" s="86">
        <f>'TCO AS IS - SW'!E8+'TCO AS IS - SW'!E18</f>
        <v>1900000</v>
      </c>
      <c r="H23" s="86">
        <f>'TCO AS IS - SW'!E9+'TCO AS IS - SW'!E19</f>
        <v>1900000</v>
      </c>
      <c r="I23" s="86">
        <f>'TCO AS IS - SW'!E10+'TCO AS IS - SW'!E20</f>
        <v>1900000</v>
      </c>
      <c r="J23" s="86">
        <f>'TCO AS IS - SW'!E11+'TCO AS IS - SW'!E21</f>
        <v>1900000</v>
      </c>
      <c r="K23" s="86">
        <f>'TCO AS IS - SW'!E12+'TCO AS IS - SW'!E22</f>
        <v>1900000</v>
      </c>
      <c r="L23" s="86">
        <f>'TCO AS IS - SW'!E13+'TCO AS IS - SW'!E23</f>
        <v>1900000</v>
      </c>
      <c r="M23" s="104">
        <f>'TCO AS IS - SW'!E14+'TCO AS IS - SW'!E24</f>
        <v>1900000</v>
      </c>
    </row>
    <row r="24" spans="1:13">
      <c r="A24" s="158"/>
      <c r="B24" s="98" t="s">
        <v>107</v>
      </c>
      <c r="C24" s="89">
        <v>0</v>
      </c>
      <c r="D24" s="103">
        <v>0</v>
      </c>
      <c r="E24" s="86">
        <v>0</v>
      </c>
      <c r="F24" s="86">
        <v>0</v>
      </c>
      <c r="G24" s="86">
        <v>0</v>
      </c>
      <c r="H24" s="86">
        <v>0</v>
      </c>
      <c r="I24" s="86">
        <v>0</v>
      </c>
      <c r="J24" s="86">
        <v>0</v>
      </c>
      <c r="K24" s="86">
        <v>0</v>
      </c>
      <c r="L24" s="86">
        <v>0</v>
      </c>
      <c r="M24" s="104">
        <v>0</v>
      </c>
    </row>
    <row r="25" spans="1:13">
      <c r="A25" s="158"/>
      <c r="B25" s="98" t="s">
        <v>108</v>
      </c>
      <c r="C25" s="89">
        <f>SUM(D25:M25)</f>
        <v>0</v>
      </c>
      <c r="D25" s="103">
        <f>'TCO AS IS - SW'!E26+'TCO AS IS - SW'!E36+'TCO AS IS - SW'!E46+'TCO AS IS - SW'!E56+'TCO AS IS - SW'!E66</f>
        <v>0</v>
      </c>
      <c r="E25" s="86">
        <f>'TCO AS IS - SW'!E27+'TCO AS IS - SW'!E37+'TCO AS IS - SW'!E47+'TCO AS IS - SW'!E57+'TCO AS IS - SW'!E67</f>
        <v>0</v>
      </c>
      <c r="F25" s="86">
        <f>'TCO AS IS - SW'!E28+'TCO AS IS - SW'!E38+'TCO AS IS - SW'!E48+'TCO AS IS - SW'!E58+'TCO AS IS - SW'!E68</f>
        <v>0</v>
      </c>
      <c r="G25" s="86">
        <f>'TCO AS IS - SW'!E29+'TCO AS IS - SW'!E39+'TCO AS IS - SW'!E49+'TCO AS IS - SW'!E59+'TCO AS IS - SW'!E69</f>
        <v>0</v>
      </c>
      <c r="H25" s="86">
        <f>'TCO AS IS - SW'!E30+'TCO AS IS - SW'!E40+'TCO AS IS - SW'!E50+'TCO AS IS - SW'!E60+'TCO AS IS - SW'!E70</f>
        <v>0</v>
      </c>
      <c r="I25" s="86">
        <f>'TCO AS IS - SW'!E31+'TCO AS IS - SW'!E41+'TCO AS IS - SW'!E51+'TCO AS IS - SW'!E61+'TCO AS IS - SW'!E71</f>
        <v>0</v>
      </c>
      <c r="J25" s="86">
        <f>'TCO AS IS - SW'!E32+'TCO AS IS - SW'!E42+'TCO AS IS - SW'!E52+'TCO AS IS - SW'!E62+'TCO AS IS - SW'!E72</f>
        <v>0</v>
      </c>
      <c r="K25" s="86">
        <f>'TCO AS IS - SW'!E33+'TCO AS IS - SW'!E43+'TCO AS IS - SW'!E53+'TCO AS IS - SW'!E63+'TCO AS IS - SW'!E73</f>
        <v>0</v>
      </c>
      <c r="L25" s="86">
        <f>'TCO AS IS - SW'!E34+'TCO AS IS - SW'!E44+'TCO AS IS - SW'!E54+'TCO AS IS - SW'!E64+'TCO AS IS - SW'!E74</f>
        <v>0</v>
      </c>
      <c r="M25" s="104">
        <f>'TCO AS IS - SW'!E35+'TCO AS IS - SW'!E45+'TCO AS IS - SW'!E55+'TCO AS IS - SW'!E65+'TCO AS IS - SW'!E75</f>
        <v>0</v>
      </c>
    </row>
    <row r="26" spans="1:13">
      <c r="A26" s="158"/>
      <c r="B26" s="98" t="s">
        <v>99</v>
      </c>
      <c r="C26" s="89">
        <v>0</v>
      </c>
      <c r="D26" s="103">
        <v>0</v>
      </c>
      <c r="E26" s="86">
        <v>0</v>
      </c>
      <c r="F26" s="86">
        <v>0</v>
      </c>
      <c r="G26" s="86">
        <v>0</v>
      </c>
      <c r="H26" s="86">
        <v>0</v>
      </c>
      <c r="I26" s="86">
        <v>0</v>
      </c>
      <c r="J26" s="86">
        <v>0</v>
      </c>
      <c r="K26" s="86">
        <v>0</v>
      </c>
      <c r="L26" s="86">
        <v>0</v>
      </c>
      <c r="M26" s="104">
        <v>0</v>
      </c>
    </row>
    <row r="27" spans="1:13" ht="15.75" thickBot="1">
      <c r="A27" s="158"/>
      <c r="B27" s="99" t="s">
        <v>100</v>
      </c>
      <c r="C27" s="90">
        <f>SUM(D27:M27)</f>
        <v>0</v>
      </c>
      <c r="D27" s="105">
        <f>'TCO AS IS - HW'!E4+'TCO AS IS - HW'!E14+'TCO AS IS - HW'!E24+'TCO AS IS - HW'!E34+'TCO AS IS - HW'!E44</f>
        <v>0</v>
      </c>
      <c r="E27" s="106">
        <f>'TCO AS IS - HW'!E5+'TCO AS IS - HW'!E15+'TCO AS IS - HW'!E25+'TCO AS IS - HW'!E35+'TCO AS IS - HW'!E45</f>
        <v>0</v>
      </c>
      <c r="F27" s="106">
        <f>'TCO AS IS - HW'!E6+'TCO AS IS - HW'!E16+'TCO AS IS - HW'!E26+'TCO AS IS - HW'!E36+'TCO AS IS - HW'!E46</f>
        <v>0</v>
      </c>
      <c r="G27" s="106">
        <f>'TCO AS IS - HW'!E7+'TCO AS IS - HW'!E17+'TCO AS IS - HW'!E27+'TCO AS IS - HW'!E37+'TCO AS IS - HW'!E47</f>
        <v>0</v>
      </c>
      <c r="H27" s="106">
        <f>'TCO AS IS - HW'!E8+'TCO AS IS - HW'!E18+'TCO AS IS - HW'!E28+'TCO AS IS - HW'!E38+'TCO AS IS - HW'!E48</f>
        <v>0</v>
      </c>
      <c r="I27" s="106">
        <f>'TCO AS IS - HW'!E9+'TCO AS IS - HW'!E19+'TCO AS IS - HW'!E29+'TCO AS IS - HW'!E39+'TCO AS IS - HW'!E49</f>
        <v>0</v>
      </c>
      <c r="J27" s="106">
        <f>'TCO AS IS - HW'!E10+'TCO AS IS - HW'!E20+'TCO AS IS - HW'!E30+'TCO AS IS - HW'!E40+'TCO AS IS - HW'!E50</f>
        <v>0</v>
      </c>
      <c r="K27" s="106">
        <f>'TCO AS IS - HW'!E11+'TCO AS IS - HW'!E21+'TCO AS IS - HW'!E31+'TCO AS IS - HW'!E41+'TCO AS IS - HW'!E51</f>
        <v>0</v>
      </c>
      <c r="L27" s="106">
        <f>'TCO AS IS - HW'!E12+'TCO AS IS - HW'!E22+'TCO AS IS - HW'!E32+'TCO AS IS - HW'!E42+'TCO AS IS - HW'!E52</f>
        <v>0</v>
      </c>
      <c r="M27" s="107">
        <f>'TCO AS IS - HW'!E13+'TCO AS IS - HW'!E23+'TCO AS IS - HW'!E33+'TCO AS IS - HW'!E43+'TCO AS IS - HW'!E53</f>
        <v>0</v>
      </c>
    </row>
    <row r="28" spans="1:13" ht="15.75" thickBot="1">
      <c r="A28" s="159"/>
      <c r="B28" s="85" t="s">
        <v>101</v>
      </c>
      <c r="C28" s="91">
        <f t="shared" ref="C28:M28" si="2">SUM(C22:C27)</f>
        <v>15200000</v>
      </c>
      <c r="D28" s="87">
        <f t="shared" si="2"/>
        <v>0</v>
      </c>
      <c r="E28" s="79">
        <f t="shared" si="2"/>
        <v>0</v>
      </c>
      <c r="F28" s="79">
        <f t="shared" si="2"/>
        <v>1900000</v>
      </c>
      <c r="G28" s="79">
        <f t="shared" si="2"/>
        <v>1900000</v>
      </c>
      <c r="H28" s="79">
        <f t="shared" si="2"/>
        <v>1900000</v>
      </c>
      <c r="I28" s="79">
        <f t="shared" si="2"/>
        <v>1900000</v>
      </c>
      <c r="J28" s="79">
        <f t="shared" si="2"/>
        <v>1900000</v>
      </c>
      <c r="K28" s="79">
        <f t="shared" si="2"/>
        <v>1900000</v>
      </c>
      <c r="L28" s="93">
        <f t="shared" si="2"/>
        <v>1900000</v>
      </c>
      <c r="M28" s="92">
        <f t="shared" si="2"/>
        <v>1900000</v>
      </c>
    </row>
    <row r="29" spans="1:13">
      <c r="A29" s="151"/>
      <c r="B29" s="152"/>
      <c r="C29" s="153"/>
      <c r="D29" s="153"/>
      <c r="E29" s="153"/>
      <c r="F29" s="153"/>
      <c r="G29" s="153"/>
      <c r="H29" s="153"/>
      <c r="I29" s="153"/>
      <c r="J29" s="153"/>
      <c r="K29" s="153"/>
      <c r="L29" s="153"/>
      <c r="M29" s="153"/>
    </row>
    <row r="32" spans="1:13" ht="15.75" customHeight="1">
      <c r="A32" s="870" t="s">
        <v>159</v>
      </c>
      <c r="B32" s="870"/>
      <c r="C32" s="870"/>
    </row>
    <row r="34" spans="1:13" ht="15.75" thickBot="1"/>
    <row r="35" spans="1:13">
      <c r="A35" s="130"/>
      <c r="B35" s="154" t="s">
        <v>118</v>
      </c>
      <c r="C35" s="117" t="s">
        <v>102</v>
      </c>
      <c r="D35" s="118" t="s">
        <v>25</v>
      </c>
      <c r="E35" s="119" t="s">
        <v>26</v>
      </c>
      <c r="F35" s="119" t="s">
        <v>27</v>
      </c>
      <c r="G35" s="119" t="s">
        <v>28</v>
      </c>
      <c r="H35" s="119" t="s">
        <v>29</v>
      </c>
      <c r="I35" s="119" t="s">
        <v>30</v>
      </c>
      <c r="J35" s="119" t="s">
        <v>31</v>
      </c>
      <c r="K35" s="119" t="s">
        <v>32</v>
      </c>
      <c r="L35" s="119" t="s">
        <v>33</v>
      </c>
      <c r="M35" s="120" t="s">
        <v>34</v>
      </c>
    </row>
    <row r="36" spans="1:13">
      <c r="A36" s="158"/>
      <c r="B36" s="121" t="s">
        <v>105</v>
      </c>
      <c r="C36" s="89">
        <f>SUM(D36:M36)</f>
        <v>600000</v>
      </c>
      <c r="D36" s="103">
        <f t="shared" ref="D36:M36" si="3">D7-D22</f>
        <v>0</v>
      </c>
      <c r="E36" s="86">
        <f t="shared" si="3"/>
        <v>600000</v>
      </c>
      <c r="F36" s="86">
        <f t="shared" si="3"/>
        <v>0</v>
      </c>
      <c r="G36" s="86">
        <f t="shared" si="3"/>
        <v>0</v>
      </c>
      <c r="H36" s="86">
        <f t="shared" si="3"/>
        <v>0</v>
      </c>
      <c r="I36" s="86">
        <f t="shared" si="3"/>
        <v>0</v>
      </c>
      <c r="J36" s="86">
        <f t="shared" si="3"/>
        <v>0</v>
      </c>
      <c r="K36" s="86">
        <f t="shared" si="3"/>
        <v>0</v>
      </c>
      <c r="L36" s="86">
        <f t="shared" si="3"/>
        <v>0</v>
      </c>
      <c r="M36" s="122">
        <f t="shared" si="3"/>
        <v>0</v>
      </c>
    </row>
    <row r="37" spans="1:13">
      <c r="A37" s="158"/>
      <c r="B37" s="98" t="s">
        <v>106</v>
      </c>
      <c r="C37" s="89">
        <f t="shared" ref="C37:C43" si="4">SUM(D37:M37)</f>
        <v>-15200000</v>
      </c>
      <c r="D37" s="103">
        <f t="shared" ref="D37:M37" si="5">D8-D23</f>
        <v>0</v>
      </c>
      <c r="E37" s="86">
        <f t="shared" si="5"/>
        <v>0</v>
      </c>
      <c r="F37" s="86">
        <f t="shared" si="5"/>
        <v>-1900000</v>
      </c>
      <c r="G37" s="86">
        <f t="shared" si="5"/>
        <v>-1900000</v>
      </c>
      <c r="H37" s="86">
        <f t="shared" si="5"/>
        <v>-1900000</v>
      </c>
      <c r="I37" s="86">
        <f t="shared" si="5"/>
        <v>-1900000</v>
      </c>
      <c r="J37" s="86">
        <f t="shared" si="5"/>
        <v>-1900000</v>
      </c>
      <c r="K37" s="86">
        <f t="shared" si="5"/>
        <v>-1900000</v>
      </c>
      <c r="L37" s="123">
        <f t="shared" si="5"/>
        <v>-1900000</v>
      </c>
      <c r="M37" s="104">
        <f t="shared" si="5"/>
        <v>-1900000</v>
      </c>
    </row>
    <row r="38" spans="1:13">
      <c r="A38" s="158"/>
      <c r="B38" s="121" t="s">
        <v>107</v>
      </c>
      <c r="C38" s="89">
        <f t="shared" si="4"/>
        <v>8406579.0559999999</v>
      </c>
      <c r="D38" s="103">
        <f t="shared" ref="D38:M38" si="6">D9-D24</f>
        <v>0</v>
      </c>
      <c r="E38" s="86">
        <f t="shared" si="6"/>
        <v>0</v>
      </c>
      <c r="F38" s="86">
        <f t="shared" si="6"/>
        <v>8406579.0559999999</v>
      </c>
      <c r="G38" s="86">
        <f t="shared" si="6"/>
        <v>0</v>
      </c>
      <c r="H38" s="86">
        <f t="shared" si="6"/>
        <v>0</v>
      </c>
      <c r="I38" s="86">
        <f t="shared" si="6"/>
        <v>0</v>
      </c>
      <c r="J38" s="86">
        <f t="shared" si="6"/>
        <v>0</v>
      </c>
      <c r="K38" s="86">
        <f t="shared" si="6"/>
        <v>0</v>
      </c>
      <c r="L38" s="123">
        <f t="shared" si="6"/>
        <v>0</v>
      </c>
      <c r="M38" s="104">
        <f t="shared" si="6"/>
        <v>0</v>
      </c>
    </row>
    <row r="39" spans="1:13">
      <c r="A39" s="158"/>
      <c r="B39" s="98" t="s">
        <v>108</v>
      </c>
      <c r="C39" s="89">
        <f t="shared" si="4"/>
        <v>6212201.0129004661</v>
      </c>
      <c r="D39" s="103">
        <f t="shared" ref="D39:M39" si="7">D10-D25</f>
        <v>0</v>
      </c>
      <c r="E39" s="86">
        <f t="shared" si="7"/>
        <v>0</v>
      </c>
      <c r="F39" s="86">
        <f t="shared" si="7"/>
        <v>761817.16490046354</v>
      </c>
      <c r="G39" s="86">
        <f t="shared" si="7"/>
        <v>778626.2640000002</v>
      </c>
      <c r="H39" s="86">
        <f t="shared" si="7"/>
        <v>778626.2640000002</v>
      </c>
      <c r="I39" s="86">
        <f t="shared" si="7"/>
        <v>778626.2640000002</v>
      </c>
      <c r="J39" s="86">
        <f t="shared" si="7"/>
        <v>778626.2640000002</v>
      </c>
      <c r="K39" s="86">
        <f t="shared" si="7"/>
        <v>778626.2640000002</v>
      </c>
      <c r="L39" s="123">
        <f t="shared" si="7"/>
        <v>778626.2640000002</v>
      </c>
      <c r="M39" s="104">
        <f t="shared" si="7"/>
        <v>778626.2640000002</v>
      </c>
    </row>
    <row r="40" spans="1:13">
      <c r="A40" s="158"/>
      <c r="B40" s="98" t="s">
        <v>248</v>
      </c>
      <c r="C40" s="89">
        <f t="shared" si="4"/>
        <v>0</v>
      </c>
      <c r="D40" s="103">
        <f t="shared" ref="D40:M40" si="8">D11</f>
        <v>0</v>
      </c>
      <c r="E40" s="86">
        <f t="shared" si="8"/>
        <v>0</v>
      </c>
      <c r="F40" s="86">
        <f t="shared" si="8"/>
        <v>0</v>
      </c>
      <c r="G40" s="86">
        <f t="shared" si="8"/>
        <v>0</v>
      </c>
      <c r="H40" s="86">
        <f t="shared" si="8"/>
        <v>0</v>
      </c>
      <c r="I40" s="86">
        <f t="shared" si="8"/>
        <v>0</v>
      </c>
      <c r="J40" s="86">
        <f t="shared" si="8"/>
        <v>0</v>
      </c>
      <c r="K40" s="86">
        <f t="shared" si="8"/>
        <v>0</v>
      </c>
      <c r="L40" s="123">
        <f t="shared" si="8"/>
        <v>0</v>
      </c>
      <c r="M40" s="104">
        <f t="shared" si="8"/>
        <v>0</v>
      </c>
    </row>
    <row r="41" spans="1:13">
      <c r="A41" s="158"/>
      <c r="B41" s="98" t="s">
        <v>120</v>
      </c>
      <c r="C41" s="89">
        <f t="shared" si="4"/>
        <v>0</v>
      </c>
      <c r="D41" s="103">
        <f t="shared" ref="D41:M41" si="9">D12-D26</f>
        <v>0</v>
      </c>
      <c r="E41" s="86">
        <f t="shared" si="9"/>
        <v>0</v>
      </c>
      <c r="F41" s="86">
        <f t="shared" si="9"/>
        <v>0</v>
      </c>
      <c r="G41" s="86">
        <f t="shared" si="9"/>
        <v>0</v>
      </c>
      <c r="H41" s="86">
        <f t="shared" si="9"/>
        <v>0</v>
      </c>
      <c r="I41" s="86">
        <f t="shared" si="9"/>
        <v>0</v>
      </c>
      <c r="J41" s="86">
        <f t="shared" si="9"/>
        <v>0</v>
      </c>
      <c r="K41" s="86">
        <f t="shared" si="9"/>
        <v>0</v>
      </c>
      <c r="L41" s="123">
        <f t="shared" si="9"/>
        <v>0</v>
      </c>
      <c r="M41" s="104">
        <f t="shared" si="9"/>
        <v>0</v>
      </c>
    </row>
    <row r="42" spans="1:13">
      <c r="A42" s="158"/>
      <c r="B42" s="99" t="s">
        <v>121</v>
      </c>
      <c r="C42" s="90">
        <f t="shared" si="4"/>
        <v>0</v>
      </c>
      <c r="D42" s="103">
        <f t="shared" ref="D42:M42" si="10">D13-D27</f>
        <v>0</v>
      </c>
      <c r="E42" s="86">
        <f t="shared" si="10"/>
        <v>0</v>
      </c>
      <c r="F42" s="86">
        <f t="shared" si="10"/>
        <v>0</v>
      </c>
      <c r="G42" s="86">
        <f t="shared" si="10"/>
        <v>0</v>
      </c>
      <c r="H42" s="86">
        <f t="shared" si="10"/>
        <v>0</v>
      </c>
      <c r="I42" s="86">
        <f t="shared" si="10"/>
        <v>0</v>
      </c>
      <c r="J42" s="86">
        <f t="shared" si="10"/>
        <v>0</v>
      </c>
      <c r="K42" s="86">
        <f t="shared" si="10"/>
        <v>0</v>
      </c>
      <c r="L42" s="123">
        <f t="shared" si="10"/>
        <v>0</v>
      </c>
      <c r="M42" s="104">
        <f t="shared" si="10"/>
        <v>0</v>
      </c>
    </row>
    <row r="43" spans="1:13" ht="15.75" thickBot="1">
      <c r="A43" s="158"/>
      <c r="B43" s="98" t="s">
        <v>233</v>
      </c>
      <c r="C43" s="89">
        <f t="shared" si="4"/>
        <v>630460.53391999996</v>
      </c>
      <c r="D43" s="103">
        <f t="shared" ref="D43:M43" si="11">D14</f>
        <v>210153.51130666665</v>
      </c>
      <c r="E43" s="86">
        <f t="shared" si="11"/>
        <v>210153.51130666665</v>
      </c>
      <c r="F43" s="86">
        <f t="shared" si="11"/>
        <v>210153.51130666665</v>
      </c>
      <c r="G43" s="86">
        <f t="shared" si="11"/>
        <v>0</v>
      </c>
      <c r="H43" s="86">
        <f t="shared" si="11"/>
        <v>0</v>
      </c>
      <c r="I43" s="86">
        <f t="shared" si="11"/>
        <v>0</v>
      </c>
      <c r="J43" s="86">
        <f t="shared" si="11"/>
        <v>0</v>
      </c>
      <c r="K43" s="86">
        <f t="shared" si="11"/>
        <v>0</v>
      </c>
      <c r="L43" s="123">
        <f t="shared" si="11"/>
        <v>0</v>
      </c>
      <c r="M43" s="104">
        <f t="shared" si="11"/>
        <v>0</v>
      </c>
    </row>
    <row r="44" spans="1:13" ht="15.75" thickBot="1">
      <c r="A44" s="159"/>
      <c r="B44" s="85" t="s">
        <v>101</v>
      </c>
      <c r="C44" s="91">
        <f>SUM(D44:M44)</f>
        <v>228933.58020713227</v>
      </c>
      <c r="D44" s="87">
        <f>SUM(D36:D43)</f>
        <v>210153.51130666665</v>
      </c>
      <c r="E44" s="79">
        <f t="shared" ref="E44:M44" si="12">SUM(E36:E42)</f>
        <v>600000</v>
      </c>
      <c r="F44" s="79">
        <f t="shared" si="12"/>
        <v>7268396.2209004629</v>
      </c>
      <c r="G44" s="79">
        <f t="shared" si="12"/>
        <v>-1121373.7359999998</v>
      </c>
      <c r="H44" s="79">
        <f t="shared" si="12"/>
        <v>-1121373.7359999998</v>
      </c>
      <c r="I44" s="79">
        <f t="shared" si="12"/>
        <v>-1121373.7359999998</v>
      </c>
      <c r="J44" s="79">
        <f t="shared" si="12"/>
        <v>-1121373.7359999998</v>
      </c>
      <c r="K44" s="79">
        <f t="shared" si="12"/>
        <v>-1121373.7359999998</v>
      </c>
      <c r="L44" s="93">
        <f t="shared" si="12"/>
        <v>-1121373.7359999998</v>
      </c>
      <c r="M44" s="92">
        <f t="shared" si="12"/>
        <v>-1121373.7359999998</v>
      </c>
    </row>
  </sheetData>
  <mergeCells count="4">
    <mergeCell ref="D5:M5"/>
    <mergeCell ref="A18:C18"/>
    <mergeCell ref="D20:M20"/>
    <mergeCell ref="A32:C32"/>
  </mergeCells>
  <pageMargins left="0.7" right="0.7" top="0.75" bottom="0.75" header="0.3" footer="0.3"/>
  <pageSetup paperSize="9" scale="36"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0">
    <tabColor rgb="FFFFFF00"/>
    <outlinePr summaryBelow="0" summaryRight="0"/>
  </sheetPr>
  <dimension ref="A1:E75"/>
  <sheetViews>
    <sheetView zoomScale="80" zoomScaleNormal="80" workbookViewId="0">
      <pane xSplit="3" ySplit="4" topLeftCell="D5" activePane="bottomRight" state="frozen"/>
      <selection activeCell="G18" sqref="G18"/>
      <selection pane="topRight" activeCell="G18" sqref="G18"/>
      <selection pane="bottomLeft" activeCell="G18" sqref="G18"/>
      <selection pane="bottomRight" activeCell="E15" sqref="E15"/>
    </sheetView>
  </sheetViews>
  <sheetFormatPr defaultColWidth="8.85546875" defaultRowHeight="15" outlineLevelRow="2"/>
  <cols>
    <col min="1" max="1" width="22.42578125" customWidth="1"/>
    <col min="2" max="2" width="24.5703125" customWidth="1"/>
    <col min="3" max="3" width="22.42578125" customWidth="1"/>
    <col min="4" max="4" width="11" customWidth="1"/>
    <col min="5" max="5" width="17.85546875" customWidth="1"/>
  </cols>
  <sheetData>
    <row r="1" spans="1:5" ht="25.35" customHeight="1" thickBot="1">
      <c r="A1" s="871" t="s">
        <v>96</v>
      </c>
      <c r="B1" s="871"/>
      <c r="C1" s="871"/>
      <c r="D1" s="872"/>
      <c r="E1" s="66" t="s">
        <v>35</v>
      </c>
    </row>
    <row r="2" spans="1:5" ht="15.75" collapsed="1" thickBot="1">
      <c r="A2" s="36" t="s">
        <v>0</v>
      </c>
      <c r="B2" s="70" t="s">
        <v>73</v>
      </c>
      <c r="C2" s="70" t="s">
        <v>72</v>
      </c>
      <c r="D2" s="70" t="s">
        <v>23</v>
      </c>
      <c r="E2" s="17"/>
    </row>
    <row r="3" spans="1:5" ht="15.75" thickBot="1">
      <c r="A3" s="873" t="s">
        <v>77</v>
      </c>
      <c r="B3" s="874"/>
      <c r="C3" s="874"/>
      <c r="D3" s="75"/>
      <c r="E3" s="72">
        <f>E4+E25</f>
        <v>15200000</v>
      </c>
    </row>
    <row r="4" spans="1:5" ht="15.75" outlineLevel="1" thickBot="1">
      <c r="A4" s="17" t="s">
        <v>103</v>
      </c>
      <c r="B4" s="17"/>
      <c r="C4" s="17"/>
      <c r="D4" s="27"/>
      <c r="E4" s="108">
        <f>SUM(E5:E24)</f>
        <v>15200000</v>
      </c>
    </row>
    <row r="5" spans="1:5" outlineLevel="2">
      <c r="A5" s="875" t="s">
        <v>78</v>
      </c>
      <c r="B5" s="876" t="s">
        <v>79</v>
      </c>
      <c r="C5" s="876">
        <v>635009</v>
      </c>
      <c r="D5" s="63" t="s">
        <v>25</v>
      </c>
      <c r="E5" s="566">
        <v>0</v>
      </c>
    </row>
    <row r="6" spans="1:5" outlineLevel="2">
      <c r="A6" s="875"/>
      <c r="B6" s="876"/>
      <c r="C6" s="876"/>
      <c r="D6" s="64" t="s">
        <v>26</v>
      </c>
      <c r="E6" s="567">
        <v>0</v>
      </c>
    </row>
    <row r="7" spans="1:5" outlineLevel="2">
      <c r="A7" s="875"/>
      <c r="B7" s="876"/>
      <c r="C7" s="876"/>
      <c r="D7" s="64" t="s">
        <v>27</v>
      </c>
      <c r="E7" s="567">
        <v>1900000</v>
      </c>
    </row>
    <row r="8" spans="1:5" outlineLevel="2">
      <c r="A8" s="875"/>
      <c r="B8" s="876"/>
      <c r="C8" s="876"/>
      <c r="D8" s="64" t="s">
        <v>28</v>
      </c>
      <c r="E8" s="567">
        <v>1900000</v>
      </c>
    </row>
    <row r="9" spans="1:5" outlineLevel="2">
      <c r="A9" s="875"/>
      <c r="B9" s="876"/>
      <c r="C9" s="876"/>
      <c r="D9" s="64" t="s">
        <v>29</v>
      </c>
      <c r="E9" s="567">
        <v>1900000</v>
      </c>
    </row>
    <row r="10" spans="1:5" outlineLevel="2">
      <c r="A10" s="875"/>
      <c r="B10" s="876"/>
      <c r="C10" s="876"/>
      <c r="D10" s="64" t="s">
        <v>30</v>
      </c>
      <c r="E10" s="567">
        <v>1900000</v>
      </c>
    </row>
    <row r="11" spans="1:5" outlineLevel="2">
      <c r="A11" s="875"/>
      <c r="B11" s="876"/>
      <c r="C11" s="876"/>
      <c r="D11" s="64" t="s">
        <v>31</v>
      </c>
      <c r="E11" s="567">
        <v>1900000</v>
      </c>
    </row>
    <row r="12" spans="1:5" outlineLevel="2">
      <c r="A12" s="875"/>
      <c r="B12" s="876"/>
      <c r="C12" s="876"/>
      <c r="D12" s="64" t="s">
        <v>32</v>
      </c>
      <c r="E12" s="567">
        <v>1900000</v>
      </c>
    </row>
    <row r="13" spans="1:5" outlineLevel="2">
      <c r="A13" s="875"/>
      <c r="B13" s="876"/>
      <c r="C13" s="876"/>
      <c r="D13" s="64" t="s">
        <v>33</v>
      </c>
      <c r="E13" s="567">
        <v>1900000</v>
      </c>
    </row>
    <row r="14" spans="1:5" ht="15.75" outlineLevel="2" thickBot="1">
      <c r="A14" s="875"/>
      <c r="B14" s="876"/>
      <c r="C14" s="876"/>
      <c r="D14" s="65" t="s">
        <v>34</v>
      </c>
      <c r="E14" s="567">
        <v>1900000</v>
      </c>
    </row>
    <row r="15" spans="1:5" outlineLevel="2">
      <c r="A15" s="875" t="s">
        <v>80</v>
      </c>
      <c r="B15" s="876" t="s">
        <v>71</v>
      </c>
      <c r="C15" s="876">
        <v>718006</v>
      </c>
      <c r="D15" s="63" t="s">
        <v>25</v>
      </c>
      <c r="E15" s="569">
        <v>0</v>
      </c>
    </row>
    <row r="16" spans="1:5" outlineLevel="2">
      <c r="A16" s="875"/>
      <c r="B16" s="876"/>
      <c r="C16" s="876"/>
      <c r="D16" s="64" t="s">
        <v>26</v>
      </c>
      <c r="E16" s="567">
        <v>0</v>
      </c>
    </row>
    <row r="17" spans="1:5" outlineLevel="2">
      <c r="A17" s="875"/>
      <c r="B17" s="876"/>
      <c r="C17" s="876"/>
      <c r="D17" s="64" t="s">
        <v>27</v>
      </c>
      <c r="E17" s="567">
        <v>0</v>
      </c>
    </row>
    <row r="18" spans="1:5" outlineLevel="2">
      <c r="A18" s="875"/>
      <c r="B18" s="876"/>
      <c r="C18" s="876"/>
      <c r="D18" s="64" t="s">
        <v>28</v>
      </c>
      <c r="E18" s="567">
        <v>0</v>
      </c>
    </row>
    <row r="19" spans="1:5" outlineLevel="2">
      <c r="A19" s="875"/>
      <c r="B19" s="876"/>
      <c r="C19" s="876"/>
      <c r="D19" s="64" t="s">
        <v>29</v>
      </c>
      <c r="E19" s="567">
        <v>0</v>
      </c>
    </row>
    <row r="20" spans="1:5" outlineLevel="2">
      <c r="A20" s="875"/>
      <c r="B20" s="876"/>
      <c r="C20" s="876"/>
      <c r="D20" s="64" t="s">
        <v>30</v>
      </c>
      <c r="E20" s="567">
        <v>0</v>
      </c>
    </row>
    <row r="21" spans="1:5" outlineLevel="2">
      <c r="A21" s="875"/>
      <c r="B21" s="876"/>
      <c r="C21" s="876"/>
      <c r="D21" s="64" t="s">
        <v>31</v>
      </c>
      <c r="E21" s="567">
        <v>0</v>
      </c>
    </row>
    <row r="22" spans="1:5" outlineLevel="2">
      <c r="A22" s="875"/>
      <c r="B22" s="876"/>
      <c r="C22" s="876"/>
      <c r="D22" s="64" t="s">
        <v>32</v>
      </c>
      <c r="E22" s="567">
        <v>0</v>
      </c>
    </row>
    <row r="23" spans="1:5" outlineLevel="2">
      <c r="A23" s="875"/>
      <c r="B23" s="876"/>
      <c r="C23" s="876"/>
      <c r="D23" s="64" t="s">
        <v>33</v>
      </c>
      <c r="E23" s="567">
        <v>0</v>
      </c>
    </row>
    <row r="24" spans="1:5" ht="15.75" outlineLevel="2" thickBot="1">
      <c r="A24" s="875"/>
      <c r="B24" s="876"/>
      <c r="C24" s="876"/>
      <c r="D24" s="65" t="s">
        <v>34</v>
      </c>
      <c r="E24" s="568">
        <v>0</v>
      </c>
    </row>
    <row r="25" spans="1:5" ht="15.75" outlineLevel="1" thickBot="1">
      <c r="A25" s="17" t="s">
        <v>104</v>
      </c>
      <c r="B25" s="17"/>
      <c r="C25" s="17"/>
      <c r="D25" s="27"/>
      <c r="E25" s="110">
        <f>SUM(E26:E75)</f>
        <v>0</v>
      </c>
    </row>
    <row r="26" spans="1:5" outlineLevel="2">
      <c r="A26" s="875" t="s">
        <v>81</v>
      </c>
      <c r="B26" s="876" t="s">
        <v>79</v>
      </c>
      <c r="C26" s="876">
        <v>635009</v>
      </c>
      <c r="D26" s="63" t="s">
        <v>25</v>
      </c>
      <c r="E26" s="569">
        <v>0</v>
      </c>
    </row>
    <row r="27" spans="1:5" outlineLevel="2">
      <c r="A27" s="875"/>
      <c r="B27" s="876"/>
      <c r="C27" s="876"/>
      <c r="D27" s="64" t="s">
        <v>26</v>
      </c>
      <c r="E27" s="570">
        <v>0</v>
      </c>
    </row>
    <row r="28" spans="1:5" outlineLevel="2">
      <c r="A28" s="875"/>
      <c r="B28" s="876"/>
      <c r="C28" s="876"/>
      <c r="D28" s="64" t="s">
        <v>27</v>
      </c>
      <c r="E28" s="570">
        <v>0</v>
      </c>
    </row>
    <row r="29" spans="1:5" outlineLevel="2">
      <c r="A29" s="875"/>
      <c r="B29" s="876"/>
      <c r="C29" s="876"/>
      <c r="D29" s="64" t="s">
        <v>28</v>
      </c>
      <c r="E29" s="570">
        <v>0</v>
      </c>
    </row>
    <row r="30" spans="1:5" outlineLevel="2">
      <c r="A30" s="875"/>
      <c r="B30" s="876"/>
      <c r="C30" s="876"/>
      <c r="D30" s="64" t="s">
        <v>29</v>
      </c>
      <c r="E30" s="570">
        <v>0</v>
      </c>
    </row>
    <row r="31" spans="1:5" outlineLevel="2">
      <c r="A31" s="875"/>
      <c r="B31" s="876"/>
      <c r="C31" s="876"/>
      <c r="D31" s="64" t="s">
        <v>30</v>
      </c>
      <c r="E31" s="570">
        <v>0</v>
      </c>
    </row>
    <row r="32" spans="1:5" outlineLevel="2">
      <c r="A32" s="875"/>
      <c r="B32" s="876"/>
      <c r="C32" s="876"/>
      <c r="D32" s="64" t="s">
        <v>31</v>
      </c>
      <c r="E32" s="570">
        <v>0</v>
      </c>
    </row>
    <row r="33" spans="1:5" outlineLevel="2">
      <c r="A33" s="875"/>
      <c r="B33" s="876"/>
      <c r="C33" s="876"/>
      <c r="D33" s="64" t="s">
        <v>32</v>
      </c>
      <c r="E33" s="570">
        <v>0</v>
      </c>
    </row>
    <row r="34" spans="1:5" outlineLevel="2">
      <c r="A34" s="875"/>
      <c r="B34" s="876"/>
      <c r="C34" s="876"/>
      <c r="D34" s="64" t="s">
        <v>33</v>
      </c>
      <c r="E34" s="570">
        <v>0</v>
      </c>
    </row>
    <row r="35" spans="1:5" ht="15.75" outlineLevel="2" thickBot="1">
      <c r="A35" s="875"/>
      <c r="B35" s="876"/>
      <c r="C35" s="876"/>
      <c r="D35" s="65" t="s">
        <v>34</v>
      </c>
      <c r="E35" s="571">
        <v>0</v>
      </c>
    </row>
    <row r="36" spans="1:5" outlineLevel="2">
      <c r="A36" s="875" t="s">
        <v>82</v>
      </c>
      <c r="B36" s="876" t="s">
        <v>79</v>
      </c>
      <c r="C36" s="876">
        <v>635009</v>
      </c>
      <c r="D36" s="63" t="s">
        <v>25</v>
      </c>
      <c r="E36" s="569">
        <v>0</v>
      </c>
    </row>
    <row r="37" spans="1:5" outlineLevel="2">
      <c r="A37" s="875"/>
      <c r="B37" s="876"/>
      <c r="C37" s="876"/>
      <c r="D37" s="64" t="s">
        <v>26</v>
      </c>
      <c r="E37" s="570">
        <v>0</v>
      </c>
    </row>
    <row r="38" spans="1:5" outlineLevel="2">
      <c r="A38" s="875"/>
      <c r="B38" s="876"/>
      <c r="C38" s="876"/>
      <c r="D38" s="64" t="s">
        <v>27</v>
      </c>
      <c r="E38" s="570">
        <v>0</v>
      </c>
    </row>
    <row r="39" spans="1:5" outlineLevel="2">
      <c r="A39" s="875"/>
      <c r="B39" s="876"/>
      <c r="C39" s="876"/>
      <c r="D39" s="64" t="s">
        <v>28</v>
      </c>
      <c r="E39" s="570">
        <v>0</v>
      </c>
    </row>
    <row r="40" spans="1:5" outlineLevel="2">
      <c r="A40" s="875"/>
      <c r="B40" s="876"/>
      <c r="C40" s="876"/>
      <c r="D40" s="64" t="s">
        <v>29</v>
      </c>
      <c r="E40" s="570">
        <v>0</v>
      </c>
    </row>
    <row r="41" spans="1:5" outlineLevel="2">
      <c r="A41" s="875"/>
      <c r="B41" s="876"/>
      <c r="C41" s="876"/>
      <c r="D41" s="64" t="s">
        <v>30</v>
      </c>
      <c r="E41" s="570">
        <v>0</v>
      </c>
    </row>
    <row r="42" spans="1:5" outlineLevel="2">
      <c r="A42" s="875"/>
      <c r="B42" s="876"/>
      <c r="C42" s="876"/>
      <c r="D42" s="64" t="s">
        <v>31</v>
      </c>
      <c r="E42" s="570">
        <v>0</v>
      </c>
    </row>
    <row r="43" spans="1:5" outlineLevel="2">
      <c r="A43" s="875"/>
      <c r="B43" s="876"/>
      <c r="C43" s="876"/>
      <c r="D43" s="64" t="s">
        <v>32</v>
      </c>
      <c r="E43" s="570">
        <v>0</v>
      </c>
    </row>
    <row r="44" spans="1:5" outlineLevel="2">
      <c r="A44" s="875"/>
      <c r="B44" s="876"/>
      <c r="C44" s="876"/>
      <c r="D44" s="64" t="s">
        <v>33</v>
      </c>
      <c r="E44" s="570">
        <v>0</v>
      </c>
    </row>
    <row r="45" spans="1:5" ht="15.75" outlineLevel="2" thickBot="1">
      <c r="A45" s="875"/>
      <c r="B45" s="876"/>
      <c r="C45" s="876"/>
      <c r="D45" s="65" t="s">
        <v>34</v>
      </c>
      <c r="E45" s="571">
        <v>0</v>
      </c>
    </row>
    <row r="46" spans="1:5" outlineLevel="2">
      <c r="A46" s="875" t="s">
        <v>83</v>
      </c>
      <c r="B46" s="876" t="s">
        <v>71</v>
      </c>
      <c r="C46" s="876">
        <v>718006</v>
      </c>
      <c r="D46" s="63" t="s">
        <v>25</v>
      </c>
      <c r="E46" s="570">
        <v>0</v>
      </c>
    </row>
    <row r="47" spans="1:5" outlineLevel="2">
      <c r="A47" s="875"/>
      <c r="B47" s="876"/>
      <c r="C47" s="876"/>
      <c r="D47" s="64" t="s">
        <v>26</v>
      </c>
      <c r="E47" s="570">
        <v>0</v>
      </c>
    </row>
    <row r="48" spans="1:5" outlineLevel="2">
      <c r="A48" s="875"/>
      <c r="B48" s="876"/>
      <c r="C48" s="876"/>
      <c r="D48" s="64" t="s">
        <v>27</v>
      </c>
      <c r="E48" s="570">
        <v>0</v>
      </c>
    </row>
    <row r="49" spans="1:5" outlineLevel="2">
      <c r="A49" s="875"/>
      <c r="B49" s="876"/>
      <c r="C49" s="876"/>
      <c r="D49" s="64" t="s">
        <v>28</v>
      </c>
      <c r="E49" s="570">
        <v>0</v>
      </c>
    </row>
    <row r="50" spans="1:5" outlineLevel="2">
      <c r="A50" s="875"/>
      <c r="B50" s="876"/>
      <c r="C50" s="876"/>
      <c r="D50" s="64" t="s">
        <v>29</v>
      </c>
      <c r="E50" s="570">
        <v>0</v>
      </c>
    </row>
    <row r="51" spans="1:5" outlineLevel="2">
      <c r="A51" s="875"/>
      <c r="B51" s="876"/>
      <c r="C51" s="876"/>
      <c r="D51" s="64" t="s">
        <v>30</v>
      </c>
      <c r="E51" s="570">
        <v>0</v>
      </c>
    </row>
    <row r="52" spans="1:5" outlineLevel="2">
      <c r="A52" s="875"/>
      <c r="B52" s="876"/>
      <c r="C52" s="876"/>
      <c r="D52" s="64" t="s">
        <v>31</v>
      </c>
      <c r="E52" s="570">
        <v>0</v>
      </c>
    </row>
    <row r="53" spans="1:5" outlineLevel="2">
      <c r="A53" s="875"/>
      <c r="B53" s="876"/>
      <c r="C53" s="876"/>
      <c r="D53" s="64" t="s">
        <v>32</v>
      </c>
      <c r="E53" s="570">
        <v>0</v>
      </c>
    </row>
    <row r="54" spans="1:5" outlineLevel="2">
      <c r="A54" s="875"/>
      <c r="B54" s="876"/>
      <c r="C54" s="876"/>
      <c r="D54" s="64" t="s">
        <v>33</v>
      </c>
      <c r="E54" s="570">
        <v>0</v>
      </c>
    </row>
    <row r="55" spans="1:5" ht="15.75" outlineLevel="2" thickBot="1">
      <c r="A55" s="875"/>
      <c r="B55" s="876"/>
      <c r="C55" s="876"/>
      <c r="D55" s="65" t="s">
        <v>34</v>
      </c>
      <c r="E55" s="570">
        <v>0</v>
      </c>
    </row>
    <row r="56" spans="1:5" outlineLevel="2">
      <c r="A56" s="875" t="s">
        <v>84</v>
      </c>
      <c r="B56" s="876" t="s">
        <v>532</v>
      </c>
      <c r="C56" s="876">
        <v>610</v>
      </c>
      <c r="D56" s="63" t="s">
        <v>25</v>
      </c>
      <c r="E56" s="569">
        <v>0</v>
      </c>
    </row>
    <row r="57" spans="1:5" outlineLevel="2">
      <c r="A57" s="875"/>
      <c r="B57" s="876"/>
      <c r="C57" s="876"/>
      <c r="D57" s="64" t="s">
        <v>26</v>
      </c>
      <c r="E57" s="570">
        <v>0</v>
      </c>
    </row>
    <row r="58" spans="1:5" outlineLevel="2">
      <c r="A58" s="875"/>
      <c r="B58" s="876"/>
      <c r="C58" s="876"/>
      <c r="D58" s="64" t="s">
        <v>27</v>
      </c>
      <c r="E58" s="570">
        <v>0</v>
      </c>
    </row>
    <row r="59" spans="1:5" outlineLevel="2">
      <c r="A59" s="875"/>
      <c r="B59" s="876"/>
      <c r="C59" s="876"/>
      <c r="D59" s="64" t="s">
        <v>28</v>
      </c>
      <c r="E59" s="570">
        <v>0</v>
      </c>
    </row>
    <row r="60" spans="1:5" outlineLevel="2">
      <c r="A60" s="875"/>
      <c r="B60" s="876"/>
      <c r="C60" s="876"/>
      <c r="D60" s="64" t="s">
        <v>29</v>
      </c>
      <c r="E60" s="570">
        <v>0</v>
      </c>
    </row>
    <row r="61" spans="1:5" outlineLevel="2">
      <c r="A61" s="875"/>
      <c r="B61" s="876"/>
      <c r="C61" s="876"/>
      <c r="D61" s="64" t="s">
        <v>30</v>
      </c>
      <c r="E61" s="570">
        <v>0</v>
      </c>
    </row>
    <row r="62" spans="1:5" outlineLevel="2">
      <c r="A62" s="875"/>
      <c r="B62" s="876"/>
      <c r="C62" s="876"/>
      <c r="D62" s="64" t="s">
        <v>31</v>
      </c>
      <c r="E62" s="570">
        <v>0</v>
      </c>
    </row>
    <row r="63" spans="1:5" outlineLevel="2">
      <c r="A63" s="875"/>
      <c r="B63" s="876"/>
      <c r="C63" s="876"/>
      <c r="D63" s="64" t="s">
        <v>32</v>
      </c>
      <c r="E63" s="570">
        <v>0</v>
      </c>
    </row>
    <row r="64" spans="1:5" outlineLevel="2">
      <c r="A64" s="875"/>
      <c r="B64" s="876"/>
      <c r="C64" s="876"/>
      <c r="D64" s="64" t="s">
        <v>33</v>
      </c>
      <c r="E64" s="570">
        <v>0</v>
      </c>
    </row>
    <row r="65" spans="1:5" ht="15.75" outlineLevel="2" thickBot="1">
      <c r="A65" s="875"/>
      <c r="B65" s="876"/>
      <c r="C65" s="876"/>
      <c r="D65" s="65" t="s">
        <v>34</v>
      </c>
      <c r="E65" s="571">
        <v>0</v>
      </c>
    </row>
    <row r="66" spans="1:5" outlineLevel="2">
      <c r="A66" s="875" t="s">
        <v>75</v>
      </c>
      <c r="B66" s="876" t="s">
        <v>76</v>
      </c>
      <c r="C66" s="876">
        <v>637040</v>
      </c>
      <c r="D66" s="63" t="s">
        <v>25</v>
      </c>
      <c r="E66" s="570">
        <v>0</v>
      </c>
    </row>
    <row r="67" spans="1:5" outlineLevel="2">
      <c r="A67" s="875"/>
      <c r="B67" s="876"/>
      <c r="C67" s="876"/>
      <c r="D67" s="64" t="s">
        <v>26</v>
      </c>
      <c r="E67" s="570">
        <v>0</v>
      </c>
    </row>
    <row r="68" spans="1:5" outlineLevel="2">
      <c r="A68" s="875"/>
      <c r="B68" s="876"/>
      <c r="C68" s="876"/>
      <c r="D68" s="64" t="s">
        <v>27</v>
      </c>
      <c r="E68" s="570">
        <v>0</v>
      </c>
    </row>
    <row r="69" spans="1:5" outlineLevel="2">
      <c r="A69" s="875"/>
      <c r="B69" s="876"/>
      <c r="C69" s="876"/>
      <c r="D69" s="64" t="s">
        <v>28</v>
      </c>
      <c r="E69" s="570">
        <v>0</v>
      </c>
    </row>
    <row r="70" spans="1:5" outlineLevel="2">
      <c r="A70" s="875"/>
      <c r="B70" s="876"/>
      <c r="C70" s="876"/>
      <c r="D70" s="64" t="s">
        <v>29</v>
      </c>
      <c r="E70" s="570">
        <v>0</v>
      </c>
    </row>
    <row r="71" spans="1:5" outlineLevel="2">
      <c r="A71" s="875"/>
      <c r="B71" s="876"/>
      <c r="C71" s="876"/>
      <c r="D71" s="64" t="s">
        <v>30</v>
      </c>
      <c r="E71" s="570">
        <v>0</v>
      </c>
    </row>
    <row r="72" spans="1:5" outlineLevel="2">
      <c r="A72" s="875"/>
      <c r="B72" s="876"/>
      <c r="C72" s="876"/>
      <c r="D72" s="64" t="s">
        <v>31</v>
      </c>
      <c r="E72" s="570">
        <v>0</v>
      </c>
    </row>
    <row r="73" spans="1:5" outlineLevel="2">
      <c r="A73" s="875"/>
      <c r="B73" s="876"/>
      <c r="C73" s="876"/>
      <c r="D73" s="64" t="s">
        <v>32</v>
      </c>
      <c r="E73" s="570">
        <v>0</v>
      </c>
    </row>
    <row r="74" spans="1:5" outlineLevel="2">
      <c r="A74" s="875"/>
      <c r="B74" s="876"/>
      <c r="C74" s="876"/>
      <c r="D74" s="64" t="s">
        <v>33</v>
      </c>
      <c r="E74" s="570">
        <v>0</v>
      </c>
    </row>
    <row r="75" spans="1:5" ht="15.75" outlineLevel="2" thickBot="1">
      <c r="A75" s="875"/>
      <c r="B75" s="876"/>
      <c r="C75" s="876"/>
      <c r="D75" s="65" t="s">
        <v>34</v>
      </c>
      <c r="E75" s="571">
        <v>0</v>
      </c>
    </row>
  </sheetData>
  <mergeCells count="23">
    <mergeCell ref="A56:A65"/>
    <mergeCell ref="B56:B65"/>
    <mergeCell ref="C56:C65"/>
    <mergeCell ref="A66:A75"/>
    <mergeCell ref="B66:B75"/>
    <mergeCell ref="C66:C75"/>
    <mergeCell ref="A36:A45"/>
    <mergeCell ref="B36:B45"/>
    <mergeCell ref="C36:C45"/>
    <mergeCell ref="A46:A55"/>
    <mergeCell ref="B46:B55"/>
    <mergeCell ref="C46:C55"/>
    <mergeCell ref="A15:A24"/>
    <mergeCell ref="B15:B24"/>
    <mergeCell ref="C15:C24"/>
    <mergeCell ref="A26:A35"/>
    <mergeCell ref="B26:B35"/>
    <mergeCell ref="C26:C35"/>
    <mergeCell ref="A1:D1"/>
    <mergeCell ref="A3:C3"/>
    <mergeCell ref="A5:A14"/>
    <mergeCell ref="B5:B14"/>
    <mergeCell ref="C5:C14"/>
  </mergeCells>
  <pageMargins left="0.7" right="0.7" top="0.75" bottom="0.75" header="0.3" footer="0.3"/>
  <pageSetup paperSize="9" scale="66"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1">
    <tabColor rgb="FFFFFF00"/>
    <outlinePr summaryBelow="0" summaryRight="0"/>
  </sheetPr>
  <dimension ref="A1:E53"/>
  <sheetViews>
    <sheetView view="pageBreakPreview" zoomScale="70" zoomScaleNormal="85" zoomScaleSheetLayoutView="70" workbookViewId="0">
      <selection activeCell="N28" sqref="N28:Q32"/>
    </sheetView>
  </sheetViews>
  <sheetFormatPr defaultColWidth="8.85546875" defaultRowHeight="15" outlineLevelRow="1"/>
  <cols>
    <col min="1" max="1" width="22.42578125" customWidth="1"/>
    <col min="2" max="2" width="23.42578125" customWidth="1"/>
    <col min="3" max="3" width="22.42578125" customWidth="1"/>
    <col min="5" max="5" width="17.85546875" customWidth="1"/>
  </cols>
  <sheetData>
    <row r="1" spans="1:5" ht="25.35" customHeight="1" thickBot="1">
      <c r="A1" s="871" t="s">
        <v>95</v>
      </c>
      <c r="B1" s="871"/>
      <c r="C1" s="871"/>
      <c r="D1" s="872"/>
      <c r="E1" s="66" t="s">
        <v>35</v>
      </c>
    </row>
    <row r="2" spans="1:5" ht="15.75" thickBot="1">
      <c r="A2" s="36" t="s">
        <v>0</v>
      </c>
      <c r="B2" s="70" t="s">
        <v>73</v>
      </c>
      <c r="C2" s="70" t="s">
        <v>72</v>
      </c>
      <c r="D2" s="70" t="s">
        <v>23</v>
      </c>
      <c r="E2" s="17"/>
    </row>
    <row r="3" spans="1:5" ht="15.75" thickBot="1">
      <c r="A3" s="877" t="s">
        <v>86</v>
      </c>
      <c r="B3" s="877"/>
      <c r="C3" s="877"/>
      <c r="D3" s="71"/>
      <c r="E3" s="72">
        <f>SUM(E4:E53)</f>
        <v>0</v>
      </c>
    </row>
    <row r="4" spans="1:5" outlineLevel="1">
      <c r="A4" s="875" t="s">
        <v>91</v>
      </c>
      <c r="B4" s="876" t="s">
        <v>79</v>
      </c>
      <c r="C4" s="876">
        <v>635002</v>
      </c>
      <c r="D4" s="63" t="s">
        <v>25</v>
      </c>
      <c r="E4" s="569">
        <v>0</v>
      </c>
    </row>
    <row r="5" spans="1:5" outlineLevel="1">
      <c r="A5" s="875"/>
      <c r="B5" s="876"/>
      <c r="C5" s="876"/>
      <c r="D5" s="64" t="s">
        <v>26</v>
      </c>
      <c r="E5" s="570">
        <v>0</v>
      </c>
    </row>
    <row r="6" spans="1:5" outlineLevel="1">
      <c r="A6" s="875"/>
      <c r="B6" s="876"/>
      <c r="C6" s="876"/>
      <c r="D6" s="64" t="s">
        <v>27</v>
      </c>
      <c r="E6" s="570">
        <v>0</v>
      </c>
    </row>
    <row r="7" spans="1:5" outlineLevel="1">
      <c r="A7" s="875"/>
      <c r="B7" s="876"/>
      <c r="C7" s="876"/>
      <c r="D7" s="64" t="s">
        <v>28</v>
      </c>
      <c r="E7" s="570">
        <v>0</v>
      </c>
    </row>
    <row r="8" spans="1:5" outlineLevel="1">
      <c r="A8" s="875"/>
      <c r="B8" s="876"/>
      <c r="C8" s="876"/>
      <c r="D8" s="64" t="s">
        <v>29</v>
      </c>
      <c r="E8" s="570">
        <v>0</v>
      </c>
    </row>
    <row r="9" spans="1:5" outlineLevel="1">
      <c r="A9" s="875"/>
      <c r="B9" s="876"/>
      <c r="C9" s="876"/>
      <c r="D9" s="64" t="s">
        <v>30</v>
      </c>
      <c r="E9" s="570">
        <v>0</v>
      </c>
    </row>
    <row r="10" spans="1:5" outlineLevel="1">
      <c r="A10" s="875"/>
      <c r="B10" s="876"/>
      <c r="C10" s="876"/>
      <c r="D10" s="64" t="s">
        <v>31</v>
      </c>
      <c r="E10" s="570">
        <v>0</v>
      </c>
    </row>
    <row r="11" spans="1:5" outlineLevel="1">
      <c r="A11" s="875"/>
      <c r="B11" s="876"/>
      <c r="C11" s="876"/>
      <c r="D11" s="64" t="s">
        <v>32</v>
      </c>
      <c r="E11" s="570">
        <v>0</v>
      </c>
    </row>
    <row r="12" spans="1:5" outlineLevel="1">
      <c r="A12" s="875"/>
      <c r="B12" s="876"/>
      <c r="C12" s="876"/>
      <c r="D12" s="64" t="s">
        <v>33</v>
      </c>
      <c r="E12" s="570">
        <v>0</v>
      </c>
    </row>
    <row r="13" spans="1:5" ht="15.75" outlineLevel="1" thickBot="1">
      <c r="A13" s="875"/>
      <c r="B13" s="876"/>
      <c r="C13" s="876"/>
      <c r="D13" s="65" t="s">
        <v>34</v>
      </c>
      <c r="E13" s="571">
        <v>0</v>
      </c>
    </row>
    <row r="14" spans="1:5" outlineLevel="1">
      <c r="A14" s="875" t="s">
        <v>92</v>
      </c>
      <c r="B14" s="875" t="s">
        <v>90</v>
      </c>
      <c r="C14" s="876">
        <v>718002</v>
      </c>
      <c r="D14" s="63" t="s">
        <v>25</v>
      </c>
      <c r="E14" s="570">
        <v>0</v>
      </c>
    </row>
    <row r="15" spans="1:5" outlineLevel="1">
      <c r="A15" s="875"/>
      <c r="B15" s="876"/>
      <c r="C15" s="876"/>
      <c r="D15" s="64" t="s">
        <v>26</v>
      </c>
      <c r="E15" s="570">
        <v>0</v>
      </c>
    </row>
    <row r="16" spans="1:5" outlineLevel="1">
      <c r="A16" s="875"/>
      <c r="B16" s="876"/>
      <c r="C16" s="876"/>
      <c r="D16" s="64" t="s">
        <v>27</v>
      </c>
      <c r="E16" s="570">
        <v>0</v>
      </c>
    </row>
    <row r="17" spans="1:5" outlineLevel="1">
      <c r="A17" s="875"/>
      <c r="B17" s="876"/>
      <c r="C17" s="876"/>
      <c r="D17" s="64" t="s">
        <v>28</v>
      </c>
      <c r="E17" s="570">
        <v>0</v>
      </c>
    </row>
    <row r="18" spans="1:5" outlineLevel="1">
      <c r="A18" s="875"/>
      <c r="B18" s="876"/>
      <c r="C18" s="876"/>
      <c r="D18" s="64" t="s">
        <v>29</v>
      </c>
      <c r="E18" s="570">
        <v>0</v>
      </c>
    </row>
    <row r="19" spans="1:5" outlineLevel="1">
      <c r="A19" s="875"/>
      <c r="B19" s="876"/>
      <c r="C19" s="876"/>
      <c r="D19" s="64" t="s">
        <v>30</v>
      </c>
      <c r="E19" s="570">
        <v>0</v>
      </c>
    </row>
    <row r="20" spans="1:5" outlineLevel="1">
      <c r="A20" s="875"/>
      <c r="B20" s="876"/>
      <c r="C20" s="876"/>
      <c r="D20" s="64" t="s">
        <v>31</v>
      </c>
      <c r="E20" s="570">
        <v>0</v>
      </c>
    </row>
    <row r="21" spans="1:5" outlineLevel="1">
      <c r="A21" s="875"/>
      <c r="B21" s="876"/>
      <c r="C21" s="876"/>
      <c r="D21" s="64" t="s">
        <v>32</v>
      </c>
      <c r="E21" s="570">
        <v>0</v>
      </c>
    </row>
    <row r="22" spans="1:5" outlineLevel="1">
      <c r="A22" s="875"/>
      <c r="B22" s="876"/>
      <c r="C22" s="876"/>
      <c r="D22" s="64" t="s">
        <v>33</v>
      </c>
      <c r="E22" s="570">
        <v>0</v>
      </c>
    </row>
    <row r="23" spans="1:5" ht="15.75" outlineLevel="1" thickBot="1">
      <c r="A23" s="875"/>
      <c r="B23" s="876"/>
      <c r="C23" s="876"/>
      <c r="D23" s="65" t="s">
        <v>34</v>
      </c>
      <c r="E23" s="571">
        <v>0</v>
      </c>
    </row>
    <row r="24" spans="1:5" outlineLevel="1">
      <c r="A24" s="875" t="s">
        <v>93</v>
      </c>
      <c r="B24" s="876"/>
      <c r="C24" s="876"/>
      <c r="D24" s="63" t="s">
        <v>25</v>
      </c>
      <c r="E24" s="570">
        <v>0</v>
      </c>
    </row>
    <row r="25" spans="1:5" outlineLevel="1">
      <c r="A25" s="875"/>
      <c r="B25" s="876"/>
      <c r="C25" s="876"/>
      <c r="D25" s="64" t="s">
        <v>26</v>
      </c>
      <c r="E25" s="570">
        <v>0</v>
      </c>
    </row>
    <row r="26" spans="1:5" outlineLevel="1">
      <c r="A26" s="875"/>
      <c r="B26" s="876"/>
      <c r="C26" s="876"/>
      <c r="D26" s="64" t="s">
        <v>27</v>
      </c>
      <c r="E26" s="570">
        <v>0</v>
      </c>
    </row>
    <row r="27" spans="1:5" outlineLevel="1">
      <c r="A27" s="875"/>
      <c r="B27" s="876"/>
      <c r="C27" s="876"/>
      <c r="D27" s="64" t="s">
        <v>28</v>
      </c>
      <c r="E27" s="570">
        <v>0</v>
      </c>
    </row>
    <row r="28" spans="1:5" outlineLevel="1">
      <c r="A28" s="875"/>
      <c r="B28" s="876"/>
      <c r="C28" s="876"/>
      <c r="D28" s="64" t="s">
        <v>29</v>
      </c>
      <c r="E28" s="570">
        <v>0</v>
      </c>
    </row>
    <row r="29" spans="1:5" outlineLevel="1">
      <c r="A29" s="875"/>
      <c r="B29" s="876"/>
      <c r="C29" s="876"/>
      <c r="D29" s="64" t="s">
        <v>30</v>
      </c>
      <c r="E29" s="570">
        <v>0</v>
      </c>
    </row>
    <row r="30" spans="1:5" outlineLevel="1">
      <c r="A30" s="875"/>
      <c r="B30" s="876"/>
      <c r="C30" s="876"/>
      <c r="D30" s="64" t="s">
        <v>31</v>
      </c>
      <c r="E30" s="570">
        <v>0</v>
      </c>
    </row>
    <row r="31" spans="1:5" outlineLevel="1">
      <c r="A31" s="875"/>
      <c r="B31" s="876"/>
      <c r="C31" s="876"/>
      <c r="D31" s="64" t="s">
        <v>32</v>
      </c>
      <c r="E31" s="570">
        <v>0</v>
      </c>
    </row>
    <row r="32" spans="1:5" outlineLevel="1">
      <c r="A32" s="875"/>
      <c r="B32" s="876"/>
      <c r="C32" s="876"/>
      <c r="D32" s="64" t="s">
        <v>33</v>
      </c>
      <c r="E32" s="570">
        <v>0</v>
      </c>
    </row>
    <row r="33" spans="1:5" ht="15.75" outlineLevel="1" thickBot="1">
      <c r="A33" s="875"/>
      <c r="B33" s="876"/>
      <c r="C33" s="876"/>
      <c r="D33" s="65" t="s">
        <v>34</v>
      </c>
      <c r="E33" s="571">
        <v>0</v>
      </c>
    </row>
    <row r="34" spans="1:5" outlineLevel="1">
      <c r="A34" s="875" t="s">
        <v>94</v>
      </c>
      <c r="B34" s="876" t="s">
        <v>532</v>
      </c>
      <c r="C34" s="876">
        <v>610</v>
      </c>
      <c r="D34" s="63" t="s">
        <v>25</v>
      </c>
      <c r="E34" s="570">
        <v>0</v>
      </c>
    </row>
    <row r="35" spans="1:5" outlineLevel="1">
      <c r="A35" s="875"/>
      <c r="B35" s="876"/>
      <c r="C35" s="876"/>
      <c r="D35" s="64" t="s">
        <v>26</v>
      </c>
      <c r="E35" s="570">
        <v>0</v>
      </c>
    </row>
    <row r="36" spans="1:5" outlineLevel="1">
      <c r="A36" s="875"/>
      <c r="B36" s="876"/>
      <c r="C36" s="876"/>
      <c r="D36" s="64" t="s">
        <v>27</v>
      </c>
      <c r="E36" s="570">
        <v>0</v>
      </c>
    </row>
    <row r="37" spans="1:5" outlineLevel="1">
      <c r="A37" s="875"/>
      <c r="B37" s="876"/>
      <c r="C37" s="876"/>
      <c r="D37" s="64" t="s">
        <v>28</v>
      </c>
      <c r="E37" s="570">
        <v>0</v>
      </c>
    </row>
    <row r="38" spans="1:5" outlineLevel="1">
      <c r="A38" s="875"/>
      <c r="B38" s="876"/>
      <c r="C38" s="876"/>
      <c r="D38" s="64" t="s">
        <v>29</v>
      </c>
      <c r="E38" s="570">
        <v>0</v>
      </c>
    </row>
    <row r="39" spans="1:5" outlineLevel="1">
      <c r="A39" s="875"/>
      <c r="B39" s="876"/>
      <c r="C39" s="876"/>
      <c r="D39" s="64" t="s">
        <v>30</v>
      </c>
      <c r="E39" s="570">
        <v>0</v>
      </c>
    </row>
    <row r="40" spans="1:5" outlineLevel="1">
      <c r="A40" s="875"/>
      <c r="B40" s="876"/>
      <c r="C40" s="876"/>
      <c r="D40" s="64" t="s">
        <v>31</v>
      </c>
      <c r="E40" s="570">
        <v>0</v>
      </c>
    </row>
    <row r="41" spans="1:5" outlineLevel="1">
      <c r="A41" s="875"/>
      <c r="B41" s="876"/>
      <c r="C41" s="876"/>
      <c r="D41" s="64" t="s">
        <v>32</v>
      </c>
      <c r="E41" s="570">
        <v>0</v>
      </c>
    </row>
    <row r="42" spans="1:5" outlineLevel="1">
      <c r="A42" s="875"/>
      <c r="B42" s="876"/>
      <c r="C42" s="876"/>
      <c r="D42" s="64" t="s">
        <v>33</v>
      </c>
      <c r="E42" s="570">
        <v>0</v>
      </c>
    </row>
    <row r="43" spans="1:5" ht="15.75" outlineLevel="1" thickBot="1">
      <c r="A43" s="875"/>
      <c r="B43" s="876"/>
      <c r="C43" s="876"/>
      <c r="D43" s="65" t="s">
        <v>34</v>
      </c>
      <c r="E43" s="571">
        <v>0</v>
      </c>
    </row>
    <row r="44" spans="1:5" outlineLevel="1">
      <c r="A44" s="875" t="s">
        <v>89</v>
      </c>
      <c r="B44" s="876" t="s">
        <v>76</v>
      </c>
      <c r="C44" s="876">
        <v>637040</v>
      </c>
      <c r="D44" s="63" t="s">
        <v>25</v>
      </c>
      <c r="E44" s="570">
        <v>0</v>
      </c>
    </row>
    <row r="45" spans="1:5" outlineLevel="1">
      <c r="A45" s="875"/>
      <c r="B45" s="876"/>
      <c r="C45" s="876"/>
      <c r="D45" s="64" t="s">
        <v>26</v>
      </c>
      <c r="E45" s="570">
        <v>0</v>
      </c>
    </row>
    <row r="46" spans="1:5" outlineLevel="1">
      <c r="A46" s="875"/>
      <c r="B46" s="876"/>
      <c r="C46" s="876"/>
      <c r="D46" s="64" t="s">
        <v>27</v>
      </c>
      <c r="E46" s="570">
        <v>0</v>
      </c>
    </row>
    <row r="47" spans="1:5" outlineLevel="1">
      <c r="A47" s="875"/>
      <c r="B47" s="876"/>
      <c r="C47" s="876"/>
      <c r="D47" s="64" t="s">
        <v>28</v>
      </c>
      <c r="E47" s="570">
        <v>0</v>
      </c>
    </row>
    <row r="48" spans="1:5" outlineLevel="1">
      <c r="A48" s="875"/>
      <c r="B48" s="876"/>
      <c r="C48" s="876"/>
      <c r="D48" s="64" t="s">
        <v>29</v>
      </c>
      <c r="E48" s="570">
        <v>0</v>
      </c>
    </row>
    <row r="49" spans="1:5" outlineLevel="1">
      <c r="A49" s="875"/>
      <c r="B49" s="876"/>
      <c r="C49" s="876"/>
      <c r="D49" s="64" t="s">
        <v>30</v>
      </c>
      <c r="E49" s="570">
        <v>0</v>
      </c>
    </row>
    <row r="50" spans="1:5" outlineLevel="1">
      <c r="A50" s="875"/>
      <c r="B50" s="876"/>
      <c r="C50" s="876"/>
      <c r="D50" s="64" t="s">
        <v>31</v>
      </c>
      <c r="E50" s="570">
        <v>0</v>
      </c>
    </row>
    <row r="51" spans="1:5" outlineLevel="1">
      <c r="A51" s="875"/>
      <c r="B51" s="876"/>
      <c r="C51" s="876"/>
      <c r="D51" s="64" t="s">
        <v>32</v>
      </c>
      <c r="E51" s="570">
        <v>0</v>
      </c>
    </row>
    <row r="52" spans="1:5" outlineLevel="1">
      <c r="A52" s="875"/>
      <c r="B52" s="876"/>
      <c r="C52" s="876"/>
      <c r="D52" s="64" t="s">
        <v>33</v>
      </c>
      <c r="E52" s="570">
        <v>0</v>
      </c>
    </row>
    <row r="53" spans="1:5" ht="15.75" outlineLevel="1" thickBot="1">
      <c r="A53" s="875"/>
      <c r="B53" s="876"/>
      <c r="C53" s="876"/>
      <c r="D53" s="65" t="s">
        <v>34</v>
      </c>
      <c r="E53" s="571">
        <v>0</v>
      </c>
    </row>
  </sheetData>
  <mergeCells count="17">
    <mergeCell ref="A34:A43"/>
    <mergeCell ref="B34:B43"/>
    <mergeCell ref="C34:C43"/>
    <mergeCell ref="A44:A53"/>
    <mergeCell ref="B44:B53"/>
    <mergeCell ref="C44:C53"/>
    <mergeCell ref="A14:A23"/>
    <mergeCell ref="B14:B23"/>
    <mergeCell ref="C14:C23"/>
    <mergeCell ref="A24:A33"/>
    <mergeCell ref="B24:B33"/>
    <mergeCell ref="C24:C33"/>
    <mergeCell ref="A1:D1"/>
    <mergeCell ref="A3:C3"/>
    <mergeCell ref="A4:A13"/>
    <mergeCell ref="B4:B13"/>
    <mergeCell ref="C4:C13"/>
  </mergeCells>
  <pageMargins left="0.7" right="0.7" top="0.75" bottom="0.75" header="0.3" footer="0.3"/>
  <pageSetup paperSize="9" scale="92" orientation="portrait"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12">
    <tabColor rgb="FFFFFF00"/>
    <outlinePr summaryBelow="0" summaryRight="0"/>
  </sheetPr>
  <dimension ref="A1:AA191"/>
  <sheetViews>
    <sheetView zoomScaleNormal="70" workbookViewId="0">
      <pane xSplit="3" ySplit="5" topLeftCell="D95" activePane="bottomRight" state="frozen"/>
      <selection activeCell="G18" sqref="G18"/>
      <selection pane="topRight" activeCell="G18" sqref="G18"/>
      <selection pane="bottomLeft" activeCell="G18" sqref="G18"/>
      <selection pane="bottomRight" activeCell="E101" sqref="E101"/>
    </sheetView>
  </sheetViews>
  <sheetFormatPr defaultColWidth="8.85546875" defaultRowHeight="15" outlineLevelRow="2" outlineLevelCol="1"/>
  <cols>
    <col min="1" max="1" width="22.42578125" customWidth="1"/>
    <col min="2" max="2" width="23.42578125" customWidth="1"/>
    <col min="3" max="3" width="22.42578125" customWidth="1"/>
    <col min="5" max="5" width="17.85546875" customWidth="1"/>
    <col min="6" max="26" width="18" customWidth="1" outlineLevel="1"/>
  </cols>
  <sheetData>
    <row r="1" spans="1:26" ht="26.25">
      <c r="A1" s="881"/>
      <c r="B1" s="881"/>
      <c r="C1" s="881"/>
      <c r="D1" s="881"/>
      <c r="F1" s="878" t="s">
        <v>294</v>
      </c>
      <c r="G1" s="878"/>
      <c r="H1" s="878"/>
      <c r="I1" s="878"/>
      <c r="J1" s="878"/>
      <c r="K1" s="878"/>
      <c r="L1" s="878"/>
      <c r="M1" s="878"/>
      <c r="N1" s="878"/>
      <c r="O1" s="878"/>
      <c r="P1" s="878"/>
      <c r="Q1" s="878"/>
      <c r="R1" s="878"/>
      <c r="S1" s="878"/>
      <c r="T1" s="878"/>
      <c r="U1" s="878"/>
      <c r="V1" s="878"/>
      <c r="W1" s="878"/>
      <c r="X1" s="878"/>
      <c r="Y1" s="878"/>
      <c r="Z1" s="878"/>
    </row>
    <row r="2" spans="1:26" ht="35.25" customHeight="1" thickBot="1">
      <c r="A2" s="871" t="s">
        <v>96</v>
      </c>
      <c r="B2" s="871"/>
      <c r="C2" s="871"/>
      <c r="D2" s="872"/>
      <c r="E2" s="66" t="s">
        <v>35</v>
      </c>
      <c r="F2" s="572" t="str">
        <f>MODULY_CBA!$B3</f>
        <v>Portál eNRI DOP</v>
      </c>
      <c r="G2" s="572" t="str">
        <f>MODULY_CBA!$B4</f>
        <v xml:space="preserve">Intranet </v>
      </c>
      <c r="H2" s="572" t="str">
        <f>MODULY_CBA!$B5</f>
        <v>API Gateway eNRI</v>
      </c>
      <c r="I2" s="572" t="str">
        <f>MODULY_CBA!$B6</f>
        <v>Transformačný modul</v>
      </c>
      <c r="J2" s="572" t="str">
        <f>MODULY_CBA!$B7</f>
        <v>Modul GIS</v>
      </c>
      <c r="K2" s="572" t="str">
        <f>MODULY_CBA!$B8</f>
        <v>Správa dopravných grafikonov</v>
      </c>
      <c r="L2" s="572" t="str">
        <f>MODULY_CBA!$B9</f>
        <v>Agendový modul bezpečných a chránených parkovacích miest pre nákladné a úžitkové vozidlá</v>
      </c>
      <c r="M2" s="572" t="str">
        <f>MODULY_CBA!$B10</f>
        <v>Rezervačný a plánovací modul pre vybrané agendy</v>
      </c>
      <c r="N2" s="572" t="str">
        <f>MODULY_CBA!$B11</f>
        <v>Modul optimalizácie osobnej verejnej dopravy a rezervácie kapacít</v>
      </c>
      <c r="O2" s="572" t="str">
        <f>MODULY_CBA!$B12</f>
        <v>Agendový modul licencovania hromadnej dopravy</v>
      </c>
      <c r="P2" s="572" t="str">
        <f>MODULY_CBA!$B13</f>
        <v>Správa licencovaných dopravných prostriedkov vo verejnej osobnej doprave</v>
      </c>
      <c r="Q2" s="572" t="str">
        <f>MODULY_CBA!$B14</f>
        <v>Agendový modul dopravných povolení</v>
      </c>
      <c r="R2" s="572" t="str">
        <f>MODULY_CBA!$B15</f>
        <v>Žurnál a log server</v>
      </c>
      <c r="S2" s="572" t="str">
        <f>MODULY_CBA!$B16</f>
        <v>Objektové úložisko dopravných informácii</v>
      </c>
      <c r="T2" s="572" t="str">
        <f>MODULY_CBA!$B17</f>
        <v>Monitoring</v>
      </c>
      <c r="U2" s="572" t="str">
        <f>MODULY_CBA!$B18</f>
        <v>IAM</v>
      </c>
      <c r="V2" s="572" t="str">
        <f>MODULY_CBA!$B19</f>
        <v>DMS</v>
      </c>
      <c r="W2" s="572" t="str">
        <f>MODULY_CBA!$B20</f>
        <v>CMS</v>
      </c>
      <c r="X2" s="572" t="str">
        <f>MODULY_CBA!$B21</f>
        <v>Správa registratúry</v>
      </c>
      <c r="Y2" s="572">
        <f>MODULY_CBA!$B22</f>
        <v>0</v>
      </c>
      <c r="Z2" s="572">
        <f>MODULY_CBA!$B23</f>
        <v>0</v>
      </c>
    </row>
    <row r="3" spans="1:26" ht="15.75" thickBot="1">
      <c r="A3" s="36" t="s">
        <v>0</v>
      </c>
      <c r="B3" s="70" t="s">
        <v>73</v>
      </c>
      <c r="C3" s="70" t="s">
        <v>72</v>
      </c>
      <c r="D3" s="70" t="s">
        <v>23</v>
      </c>
      <c r="E3" s="17"/>
      <c r="F3" s="17"/>
      <c r="G3" s="17"/>
      <c r="H3" s="17"/>
      <c r="I3" s="17"/>
      <c r="J3" s="17"/>
      <c r="K3" s="17"/>
      <c r="L3" s="17"/>
      <c r="M3" s="17"/>
      <c r="N3" s="17"/>
      <c r="O3" s="17"/>
      <c r="P3" s="17"/>
      <c r="Q3" s="17"/>
      <c r="R3" s="17"/>
      <c r="S3" s="17"/>
      <c r="T3" s="17"/>
      <c r="U3" s="17"/>
      <c r="V3" s="17"/>
      <c r="W3" s="17"/>
      <c r="X3" s="17"/>
      <c r="Y3" s="17"/>
      <c r="Z3" s="17"/>
    </row>
    <row r="4" spans="1:26" ht="15.75" thickBot="1">
      <c r="A4" s="879" t="s">
        <v>114</v>
      </c>
      <c r="B4" s="880"/>
      <c r="C4" s="880"/>
      <c r="D4" s="74"/>
      <c r="E4" s="72">
        <f t="shared" ref="E4:F4" si="0">E5+E36</f>
        <v>9006579.0559999999</v>
      </c>
      <c r="F4" s="73">
        <f t="shared" si="0"/>
        <v>539015.41873667506</v>
      </c>
      <c r="G4" s="73">
        <f t="shared" ref="G4:Z4" si="1">G5+G36</f>
        <v>1817130.7198580599</v>
      </c>
      <c r="H4" s="73">
        <f t="shared" si="1"/>
        <v>2396515.9569367468</v>
      </c>
      <c r="I4" s="73">
        <f t="shared" si="1"/>
        <v>357120.45178391639</v>
      </c>
      <c r="J4" s="73">
        <f t="shared" si="1"/>
        <v>1071967.6719082582</v>
      </c>
      <c r="K4" s="73">
        <f t="shared" si="1"/>
        <v>300733.01202856109</v>
      </c>
      <c r="L4" s="73">
        <f t="shared" si="1"/>
        <v>99435.915267508113</v>
      </c>
      <c r="M4" s="73">
        <f t="shared" si="1"/>
        <v>84884.31791128742</v>
      </c>
      <c r="N4" s="73">
        <f t="shared" si="1"/>
        <v>247983.47161226111</v>
      </c>
      <c r="O4" s="73">
        <f t="shared" si="1"/>
        <v>295276.16301997838</v>
      </c>
      <c r="P4" s="73">
        <f t="shared" si="1"/>
        <v>67301.137772520742</v>
      </c>
      <c r="Q4" s="73">
        <f t="shared" si="1"/>
        <v>15157.913912729899</v>
      </c>
      <c r="R4" s="73">
        <f t="shared" si="1"/>
        <v>119444.36163231157</v>
      </c>
      <c r="S4" s="73">
        <f t="shared" si="1"/>
        <v>81852.735128741435</v>
      </c>
      <c r="T4" s="73">
        <f t="shared" si="1"/>
        <v>244951.88882971511</v>
      </c>
      <c r="U4" s="73">
        <f t="shared" si="1"/>
        <v>190989.71530039667</v>
      </c>
      <c r="V4" s="73">
        <f t="shared" si="1"/>
        <v>164918.10337050125</v>
      </c>
      <c r="W4" s="73">
        <f t="shared" si="1"/>
        <v>363789.93390551745</v>
      </c>
      <c r="X4" s="73">
        <f t="shared" si="1"/>
        <v>548110.167084313</v>
      </c>
      <c r="Y4" s="73">
        <f t="shared" si="1"/>
        <v>0</v>
      </c>
      <c r="Z4" s="73">
        <f t="shared" si="1"/>
        <v>0</v>
      </c>
    </row>
    <row r="5" spans="1:26" ht="15.75" outlineLevel="1" collapsed="1" thickBot="1">
      <c r="A5" s="17" t="s">
        <v>103</v>
      </c>
      <c r="B5" s="17"/>
      <c r="C5" s="17"/>
      <c r="D5" s="27"/>
      <c r="E5" s="72">
        <f t="shared" ref="E5:F5" si="2">SUM(E6:E35)</f>
        <v>600000</v>
      </c>
      <c r="F5" s="73">
        <f t="shared" si="2"/>
        <v>0</v>
      </c>
      <c r="G5" s="73">
        <f t="shared" ref="G5:Z5" si="3">SUM(G6:G35)</f>
        <v>0</v>
      </c>
      <c r="H5" s="73">
        <f t="shared" si="3"/>
        <v>600000</v>
      </c>
      <c r="I5" s="73">
        <f t="shared" si="3"/>
        <v>0</v>
      </c>
      <c r="J5" s="73">
        <f t="shared" si="3"/>
        <v>0</v>
      </c>
      <c r="K5" s="73">
        <f t="shared" si="3"/>
        <v>0</v>
      </c>
      <c r="L5" s="73">
        <f t="shared" si="3"/>
        <v>0</v>
      </c>
      <c r="M5" s="73">
        <f t="shared" si="3"/>
        <v>0</v>
      </c>
      <c r="N5" s="73">
        <f t="shared" si="3"/>
        <v>0</v>
      </c>
      <c r="O5" s="73">
        <f t="shared" si="3"/>
        <v>0</v>
      </c>
      <c r="P5" s="73">
        <f t="shared" si="3"/>
        <v>0</v>
      </c>
      <c r="Q5" s="73">
        <f t="shared" si="3"/>
        <v>0</v>
      </c>
      <c r="R5" s="73">
        <f t="shared" si="3"/>
        <v>0</v>
      </c>
      <c r="S5" s="73">
        <f t="shared" si="3"/>
        <v>0</v>
      </c>
      <c r="T5" s="73">
        <f t="shared" si="3"/>
        <v>0</v>
      </c>
      <c r="U5" s="73">
        <f t="shared" si="3"/>
        <v>0</v>
      </c>
      <c r="V5" s="73">
        <f t="shared" si="3"/>
        <v>0</v>
      </c>
      <c r="W5" s="73">
        <f t="shared" si="3"/>
        <v>0</v>
      </c>
      <c r="X5" s="73">
        <f t="shared" si="3"/>
        <v>0</v>
      </c>
      <c r="Y5" s="73">
        <f t="shared" si="3"/>
        <v>0</v>
      </c>
      <c r="Z5" s="73">
        <f t="shared" si="3"/>
        <v>0</v>
      </c>
    </row>
    <row r="6" spans="1:26" hidden="1" outlineLevel="2">
      <c r="A6" s="875" t="s">
        <v>70</v>
      </c>
      <c r="B6" s="876" t="s">
        <v>71</v>
      </c>
      <c r="C6" s="876">
        <v>711003</v>
      </c>
      <c r="D6" s="63">
        <v>1</v>
      </c>
      <c r="E6" s="60">
        <f>SUM(F6:Z6)</f>
        <v>0</v>
      </c>
      <c r="F6" s="575">
        <f>IFERROR(SUMIFS('Rozpočet - HW a licencie'!$I$3:$I$102,'Rozpočet - HW a licencie'!$A$3:$A$102,'TCO TO BE- SW'!F$2,'Rozpočet - HW a licencie'!$C$3:$C$102,"SW",'Rozpočet - HW a licencie'!$G$3:$G$102,'TCO TO BE- SW'!$D6,'Rozpočet - HW a licencie'!$D$3:$D$102,$B$6),)</f>
        <v>0</v>
      </c>
      <c r="G6" s="575">
        <f>IFERROR(SUMIFS('Rozpočet - HW a licencie'!$I$3:$I$102,'Rozpočet - HW a licencie'!$A$3:$A$102,'TCO TO BE- SW'!G$2,'Rozpočet - HW a licencie'!$C$3:$C$102,"SW",'Rozpočet - HW a licencie'!$G$3:$G$102,'TCO TO BE- SW'!$D6,'Rozpočet - HW a licencie'!$D$3:$D$102,$B$6),)</f>
        <v>0</v>
      </c>
      <c r="H6" s="575">
        <f>IFERROR(SUMIFS('Rozpočet - HW a licencie'!$I$3:$I$102,'Rozpočet - HW a licencie'!$A$3:$A$102,'TCO TO BE- SW'!H$2,'Rozpočet - HW a licencie'!$C$3:$C$102,"SW",'Rozpočet - HW a licencie'!$G$3:$G$102,'TCO TO BE- SW'!$D6,'Rozpočet - HW a licencie'!$D$3:$D$102,$B$6),)</f>
        <v>0</v>
      </c>
      <c r="I6" s="575">
        <f>IFERROR(SUMIFS('Rozpočet - HW a licencie'!$I$3:$I$102,'Rozpočet - HW a licencie'!$A$3:$A$102,'TCO TO BE- SW'!I$2,'Rozpočet - HW a licencie'!$C$3:$C$102,"SW",'Rozpočet - HW a licencie'!$G$3:$G$102,'TCO TO BE- SW'!$D6,'Rozpočet - HW a licencie'!$D$3:$D$102,$B$6),)</f>
        <v>0</v>
      </c>
      <c r="J6" s="575">
        <f>IFERROR(SUMIFS('Rozpočet - HW a licencie'!$I$3:$I$102,'Rozpočet - HW a licencie'!$A$3:$A$102,'TCO TO BE- SW'!J$2,'Rozpočet - HW a licencie'!$C$3:$C$102,"SW",'Rozpočet - HW a licencie'!$G$3:$G$102,'TCO TO BE- SW'!$D6,'Rozpočet - HW a licencie'!$D$3:$D$102,$B$6),)</f>
        <v>0</v>
      </c>
      <c r="K6" s="575">
        <f>IFERROR(SUMIFS('Rozpočet - HW a licencie'!$I$3:$I$102,'Rozpočet - HW a licencie'!$A$3:$A$102,'TCO TO BE- SW'!K$2,'Rozpočet - HW a licencie'!$C$3:$C$102,"SW",'Rozpočet - HW a licencie'!$G$3:$G$102,'TCO TO BE- SW'!$D6,'Rozpočet - HW a licencie'!$D$3:$D$102,$B$6),)</f>
        <v>0</v>
      </c>
      <c r="L6" s="575">
        <f>IFERROR(SUMIFS('Rozpočet - HW a licencie'!$I$3:$I$102,'Rozpočet - HW a licencie'!$A$3:$A$102,'TCO TO BE- SW'!L$2,'Rozpočet - HW a licencie'!$C$3:$C$102,"SW",'Rozpočet - HW a licencie'!$G$3:$G$102,'TCO TO BE- SW'!$D6,'Rozpočet - HW a licencie'!$D$3:$D$102,$B$6),)</f>
        <v>0</v>
      </c>
      <c r="M6" s="575">
        <f>IFERROR(SUMIFS('Rozpočet - HW a licencie'!$I$3:$I$102,'Rozpočet - HW a licencie'!$A$3:$A$102,'TCO TO BE- SW'!M$2,'Rozpočet - HW a licencie'!$C$3:$C$102,"SW",'Rozpočet - HW a licencie'!$G$3:$G$102,'TCO TO BE- SW'!$D6,'Rozpočet - HW a licencie'!$D$3:$D$102,$B$6),)</f>
        <v>0</v>
      </c>
      <c r="N6" s="575">
        <f>IFERROR(SUMIFS('Rozpočet - HW a licencie'!$I$3:$I$102,'Rozpočet - HW a licencie'!$A$3:$A$102,'TCO TO BE- SW'!N$2,'Rozpočet - HW a licencie'!$C$3:$C$102,"SW",'Rozpočet - HW a licencie'!$G$3:$G$102,'TCO TO BE- SW'!$D6,'Rozpočet - HW a licencie'!$D$3:$D$102,$B$6),)</f>
        <v>0</v>
      </c>
      <c r="O6" s="575">
        <f>IFERROR(SUMIFS('Rozpočet - HW a licencie'!$I$3:$I$102,'Rozpočet - HW a licencie'!$A$3:$A$102,'TCO TO BE- SW'!O$2,'Rozpočet - HW a licencie'!$C$3:$C$102,"SW",'Rozpočet - HW a licencie'!$G$3:$G$102,'TCO TO BE- SW'!$D6,'Rozpočet - HW a licencie'!$D$3:$D$102,$B$6),)</f>
        <v>0</v>
      </c>
      <c r="P6" s="575">
        <f>IFERROR(SUMIFS('Rozpočet - HW a licencie'!$I$3:$I$102,'Rozpočet - HW a licencie'!$A$3:$A$102,'TCO TO BE- SW'!P$2,'Rozpočet - HW a licencie'!$C$3:$C$102,"SW",'Rozpočet - HW a licencie'!$G$3:$G$102,'TCO TO BE- SW'!$D6,'Rozpočet - HW a licencie'!$D$3:$D$102,$B$6),)</f>
        <v>0</v>
      </c>
      <c r="Q6" s="575">
        <f>IFERROR(SUMIFS('Rozpočet - HW a licencie'!$I$3:$I$102,'Rozpočet - HW a licencie'!$A$3:$A$102,'TCO TO BE- SW'!Q$2,'Rozpočet - HW a licencie'!$C$3:$C$102,"SW",'Rozpočet - HW a licencie'!$G$3:$G$102,'TCO TO BE- SW'!$D6,'Rozpočet - HW a licencie'!$D$3:$D$102,$B$6),)</f>
        <v>0</v>
      </c>
      <c r="R6" s="575">
        <f>IFERROR(SUMIFS('Rozpočet - HW a licencie'!$I$3:$I$102,'Rozpočet - HW a licencie'!$A$3:$A$102,'TCO TO BE- SW'!R$2,'Rozpočet - HW a licencie'!$C$3:$C$102,"SW",'Rozpočet - HW a licencie'!$G$3:$G$102,'TCO TO BE- SW'!$D6,'Rozpočet - HW a licencie'!$D$3:$D$102,$B$6),)</f>
        <v>0</v>
      </c>
      <c r="S6" s="575">
        <f>IFERROR(SUMIFS('Rozpočet - HW a licencie'!$I$3:$I$102,'Rozpočet - HW a licencie'!$A$3:$A$102,'TCO TO BE- SW'!S$2,'Rozpočet - HW a licencie'!$C$3:$C$102,"SW",'Rozpočet - HW a licencie'!$G$3:$G$102,'TCO TO BE- SW'!$D6,'Rozpočet - HW a licencie'!$D$3:$D$102,$B$6),)</f>
        <v>0</v>
      </c>
      <c r="T6" s="575">
        <f>IFERROR(SUMIFS('Rozpočet - HW a licencie'!$I$3:$I$102,'Rozpočet - HW a licencie'!$A$3:$A$102,'TCO TO BE- SW'!T$2,'Rozpočet - HW a licencie'!$C$3:$C$102,"SW",'Rozpočet - HW a licencie'!$G$3:$G$102,'TCO TO BE- SW'!$D6,'Rozpočet - HW a licencie'!$D$3:$D$102,$B$6),)</f>
        <v>0</v>
      </c>
      <c r="U6" s="575">
        <f>IFERROR(SUMIFS('Rozpočet - HW a licencie'!$I$3:$I$102,'Rozpočet - HW a licencie'!$A$3:$A$102,'TCO TO BE- SW'!U$2,'Rozpočet - HW a licencie'!$C$3:$C$102,"SW",'Rozpočet - HW a licencie'!$G$3:$G$102,'TCO TO BE- SW'!$D6,'Rozpočet - HW a licencie'!$D$3:$D$102,$B$6),)</f>
        <v>0</v>
      </c>
      <c r="V6" s="575">
        <f>IFERROR(SUMIFS('Rozpočet - HW a licencie'!$I$3:$I$102,'Rozpočet - HW a licencie'!$A$3:$A$102,'TCO TO BE- SW'!V$2,'Rozpočet - HW a licencie'!$C$3:$C$102,"SW",'Rozpočet - HW a licencie'!$G$3:$G$102,'TCO TO BE- SW'!$D6,'Rozpočet - HW a licencie'!$D$3:$D$102,$B$6),)</f>
        <v>0</v>
      </c>
      <c r="W6" s="575">
        <f>IFERROR(SUMIFS('Rozpočet - HW a licencie'!$I$3:$I$102,'Rozpočet - HW a licencie'!$A$3:$A$102,'TCO TO BE- SW'!W$2,'Rozpočet - HW a licencie'!$C$3:$C$102,"SW",'Rozpočet - HW a licencie'!$G$3:$G$102,'TCO TO BE- SW'!$D6,'Rozpočet - HW a licencie'!$D$3:$D$102,$B$6),)</f>
        <v>0</v>
      </c>
      <c r="X6" s="575">
        <f>IFERROR(SUMIFS('Rozpočet - HW a licencie'!$I$3:$I$102,'Rozpočet - HW a licencie'!$A$3:$A$102,'TCO TO BE- SW'!X$2,'Rozpočet - HW a licencie'!$C$3:$C$102,"SW",'Rozpočet - HW a licencie'!$G$3:$G$102,'TCO TO BE- SW'!$D6,'Rozpočet - HW a licencie'!$D$3:$D$102,$B$6),)</f>
        <v>0</v>
      </c>
      <c r="Y6" s="575">
        <f>IFERROR(SUMIFS('Rozpočet - HW a licencie'!$I$3:$I$102,'Rozpočet - HW a licencie'!$A$3:$A$102,'TCO TO BE- SW'!Y$2,'Rozpočet - HW a licencie'!$C$3:$C$102,"SW",'Rozpočet - HW a licencie'!$G$3:$G$102,'TCO TO BE- SW'!$D6,'Rozpočet - HW a licencie'!$D$3:$D$102,$B$6),)</f>
        <v>0</v>
      </c>
      <c r="Z6" s="575">
        <f>IFERROR(SUMIFS('Rozpočet - HW a licencie'!$I$3:$I$102,'Rozpočet - HW a licencie'!$A$3:$A$102,'TCO TO BE- SW'!Z$2,'Rozpočet - HW a licencie'!$C$3:$C$102,"SW",'Rozpočet - HW a licencie'!$G$3:$G$102,'TCO TO BE- SW'!$D6,'Rozpočet - HW a licencie'!$D$3:$D$102,$B$6),)</f>
        <v>0</v>
      </c>
    </row>
    <row r="7" spans="1:26" hidden="1" outlineLevel="2">
      <c r="A7" s="875"/>
      <c r="B7" s="876"/>
      <c r="C7" s="876"/>
      <c r="D7" s="64">
        <v>2</v>
      </c>
      <c r="E7" s="61">
        <f t="shared" ref="E7:E35" si="4">SUM(F7:Z7)</f>
        <v>600000</v>
      </c>
      <c r="F7" s="576">
        <f>IFERROR(SUMIFS('Rozpočet - HW a licencie'!$I$3:$I$102,'Rozpočet - HW a licencie'!$A$3:$A$102,'TCO TO BE- SW'!F$2,'Rozpočet - HW a licencie'!$C$3:$C$102,"SW",'Rozpočet - HW a licencie'!$G$3:$G$102,'TCO TO BE- SW'!$D7,'Rozpočet - HW a licencie'!$D$3:$D$102,$B$6),)</f>
        <v>0</v>
      </c>
      <c r="G7" s="576">
        <f>IFERROR(SUMIFS('Rozpočet - HW a licencie'!$I$3:$I$102,'Rozpočet - HW a licencie'!$A$3:$A$102,'TCO TO BE- SW'!G$2,'Rozpočet - HW a licencie'!$C$3:$C$102,"SW",'Rozpočet - HW a licencie'!$G$3:$G$102,'TCO TO BE- SW'!$D7,'Rozpočet - HW a licencie'!$D$3:$D$102,$B$6),)</f>
        <v>0</v>
      </c>
      <c r="H7" s="576">
        <f>IFERROR(SUMIFS('Rozpočet - HW a licencie'!$I$3:$I$102,'Rozpočet - HW a licencie'!$A$3:$A$102,'TCO TO BE- SW'!H$2,'Rozpočet - HW a licencie'!$C$3:$C$102,"SW",'Rozpočet - HW a licencie'!$G$3:$G$102,'TCO TO BE- SW'!$D7,'Rozpočet - HW a licencie'!$D$3:$D$102,$B$6),)</f>
        <v>600000</v>
      </c>
      <c r="I7" s="576">
        <f>IFERROR(SUMIFS('Rozpočet - HW a licencie'!$I$3:$I$102,'Rozpočet - HW a licencie'!$A$3:$A$102,'TCO TO BE- SW'!I$2,'Rozpočet - HW a licencie'!$C$3:$C$102,"SW",'Rozpočet - HW a licencie'!$G$3:$G$102,'TCO TO BE- SW'!$D7,'Rozpočet - HW a licencie'!$D$3:$D$102,$B$6),)</f>
        <v>0</v>
      </c>
      <c r="J7" s="576">
        <f>IFERROR(SUMIFS('Rozpočet - HW a licencie'!$I$3:$I$102,'Rozpočet - HW a licencie'!$A$3:$A$102,'TCO TO BE- SW'!J$2,'Rozpočet - HW a licencie'!$C$3:$C$102,"SW",'Rozpočet - HW a licencie'!$G$3:$G$102,'TCO TO BE- SW'!$D7,'Rozpočet - HW a licencie'!$D$3:$D$102,$B$6),)</f>
        <v>0</v>
      </c>
      <c r="K7" s="576">
        <f>IFERROR(SUMIFS('Rozpočet - HW a licencie'!$I$3:$I$102,'Rozpočet - HW a licencie'!$A$3:$A$102,'TCO TO BE- SW'!K$2,'Rozpočet - HW a licencie'!$C$3:$C$102,"SW",'Rozpočet - HW a licencie'!$G$3:$G$102,'TCO TO BE- SW'!$D7,'Rozpočet - HW a licencie'!$D$3:$D$102,$B$6),)</f>
        <v>0</v>
      </c>
      <c r="L7" s="576">
        <f>IFERROR(SUMIFS('Rozpočet - HW a licencie'!$I$3:$I$102,'Rozpočet - HW a licencie'!$A$3:$A$102,'TCO TO BE- SW'!L$2,'Rozpočet - HW a licencie'!$C$3:$C$102,"SW",'Rozpočet - HW a licencie'!$G$3:$G$102,'TCO TO BE- SW'!$D7,'Rozpočet - HW a licencie'!$D$3:$D$102,$B$6),)</f>
        <v>0</v>
      </c>
      <c r="M7" s="576">
        <f>IFERROR(SUMIFS('Rozpočet - HW a licencie'!$I$3:$I$102,'Rozpočet - HW a licencie'!$A$3:$A$102,'TCO TO BE- SW'!M$2,'Rozpočet - HW a licencie'!$C$3:$C$102,"SW",'Rozpočet - HW a licencie'!$G$3:$G$102,'TCO TO BE- SW'!$D7,'Rozpočet - HW a licencie'!$D$3:$D$102,$B$6),)</f>
        <v>0</v>
      </c>
      <c r="N7" s="576">
        <f>IFERROR(SUMIFS('Rozpočet - HW a licencie'!$I$3:$I$102,'Rozpočet - HW a licencie'!$A$3:$A$102,'TCO TO BE- SW'!N$2,'Rozpočet - HW a licencie'!$C$3:$C$102,"SW",'Rozpočet - HW a licencie'!$G$3:$G$102,'TCO TO BE- SW'!$D7,'Rozpočet - HW a licencie'!$D$3:$D$102,$B$6),)</f>
        <v>0</v>
      </c>
      <c r="O7" s="576">
        <f>IFERROR(SUMIFS('Rozpočet - HW a licencie'!$I$3:$I$102,'Rozpočet - HW a licencie'!$A$3:$A$102,'TCO TO BE- SW'!O$2,'Rozpočet - HW a licencie'!$C$3:$C$102,"SW",'Rozpočet - HW a licencie'!$G$3:$G$102,'TCO TO BE- SW'!$D7,'Rozpočet - HW a licencie'!$D$3:$D$102,$B$6),)</f>
        <v>0</v>
      </c>
      <c r="P7" s="576">
        <f>IFERROR(SUMIFS('Rozpočet - HW a licencie'!$I$3:$I$102,'Rozpočet - HW a licencie'!$A$3:$A$102,'TCO TO BE- SW'!P$2,'Rozpočet - HW a licencie'!$C$3:$C$102,"SW",'Rozpočet - HW a licencie'!$G$3:$G$102,'TCO TO BE- SW'!$D7,'Rozpočet - HW a licencie'!$D$3:$D$102,$B$6),)</f>
        <v>0</v>
      </c>
      <c r="Q7" s="576">
        <f>IFERROR(SUMIFS('Rozpočet - HW a licencie'!$I$3:$I$102,'Rozpočet - HW a licencie'!$A$3:$A$102,'TCO TO BE- SW'!Q$2,'Rozpočet - HW a licencie'!$C$3:$C$102,"SW",'Rozpočet - HW a licencie'!$G$3:$G$102,'TCO TO BE- SW'!$D7,'Rozpočet - HW a licencie'!$D$3:$D$102,$B$6),)</f>
        <v>0</v>
      </c>
      <c r="R7" s="576">
        <f>IFERROR(SUMIFS('Rozpočet - HW a licencie'!$I$3:$I$102,'Rozpočet - HW a licencie'!$A$3:$A$102,'TCO TO BE- SW'!R$2,'Rozpočet - HW a licencie'!$C$3:$C$102,"SW",'Rozpočet - HW a licencie'!$G$3:$G$102,'TCO TO BE- SW'!$D7,'Rozpočet - HW a licencie'!$D$3:$D$102,$B$6),)</f>
        <v>0</v>
      </c>
      <c r="S7" s="576">
        <f>IFERROR(SUMIFS('Rozpočet - HW a licencie'!$I$3:$I$102,'Rozpočet - HW a licencie'!$A$3:$A$102,'TCO TO BE- SW'!S$2,'Rozpočet - HW a licencie'!$C$3:$C$102,"SW",'Rozpočet - HW a licencie'!$G$3:$G$102,'TCO TO BE- SW'!$D7,'Rozpočet - HW a licencie'!$D$3:$D$102,$B$6),)</f>
        <v>0</v>
      </c>
      <c r="T7" s="576">
        <f>IFERROR(SUMIFS('Rozpočet - HW a licencie'!$I$3:$I$102,'Rozpočet - HW a licencie'!$A$3:$A$102,'TCO TO BE- SW'!T$2,'Rozpočet - HW a licencie'!$C$3:$C$102,"SW",'Rozpočet - HW a licencie'!$G$3:$G$102,'TCO TO BE- SW'!$D7,'Rozpočet - HW a licencie'!$D$3:$D$102,$B$6),)</f>
        <v>0</v>
      </c>
      <c r="U7" s="576">
        <f>IFERROR(SUMIFS('Rozpočet - HW a licencie'!$I$3:$I$102,'Rozpočet - HW a licencie'!$A$3:$A$102,'TCO TO BE- SW'!U$2,'Rozpočet - HW a licencie'!$C$3:$C$102,"SW",'Rozpočet - HW a licencie'!$G$3:$G$102,'TCO TO BE- SW'!$D7,'Rozpočet - HW a licencie'!$D$3:$D$102,$B$6),)</f>
        <v>0</v>
      </c>
      <c r="V7" s="576">
        <f>IFERROR(SUMIFS('Rozpočet - HW a licencie'!$I$3:$I$102,'Rozpočet - HW a licencie'!$A$3:$A$102,'TCO TO BE- SW'!V$2,'Rozpočet - HW a licencie'!$C$3:$C$102,"SW",'Rozpočet - HW a licencie'!$G$3:$G$102,'TCO TO BE- SW'!$D7,'Rozpočet - HW a licencie'!$D$3:$D$102,$B$6),)</f>
        <v>0</v>
      </c>
      <c r="W7" s="576">
        <f>IFERROR(SUMIFS('Rozpočet - HW a licencie'!$I$3:$I$102,'Rozpočet - HW a licencie'!$A$3:$A$102,'TCO TO BE- SW'!W$2,'Rozpočet - HW a licencie'!$C$3:$C$102,"SW",'Rozpočet - HW a licencie'!$G$3:$G$102,'TCO TO BE- SW'!$D7,'Rozpočet - HW a licencie'!$D$3:$D$102,$B$6),)</f>
        <v>0</v>
      </c>
      <c r="X7" s="576">
        <f>IFERROR(SUMIFS('Rozpočet - HW a licencie'!$I$3:$I$102,'Rozpočet - HW a licencie'!$A$3:$A$102,'TCO TO BE- SW'!X$2,'Rozpočet - HW a licencie'!$C$3:$C$102,"SW",'Rozpočet - HW a licencie'!$G$3:$G$102,'TCO TO BE- SW'!$D7,'Rozpočet - HW a licencie'!$D$3:$D$102,$B$6),)</f>
        <v>0</v>
      </c>
      <c r="Y7" s="576">
        <f>IFERROR(SUMIFS('Rozpočet - HW a licencie'!$I$3:$I$102,'Rozpočet - HW a licencie'!$A$3:$A$102,'TCO TO BE- SW'!Y$2,'Rozpočet - HW a licencie'!$C$3:$C$102,"SW",'Rozpočet - HW a licencie'!$G$3:$G$102,'TCO TO BE- SW'!$D7,'Rozpočet - HW a licencie'!$D$3:$D$102,$B$6),)</f>
        <v>0</v>
      </c>
      <c r="Z7" s="576">
        <f>IFERROR(SUMIFS('Rozpočet - HW a licencie'!$I$3:$I$102,'Rozpočet - HW a licencie'!$A$3:$A$102,'TCO TO BE- SW'!Z$2,'Rozpočet - HW a licencie'!$C$3:$C$102,"SW",'Rozpočet - HW a licencie'!$G$3:$G$102,'TCO TO BE- SW'!$D7,'Rozpočet - HW a licencie'!$D$3:$D$102,$B$6),)</f>
        <v>0</v>
      </c>
    </row>
    <row r="8" spans="1:26" hidden="1" outlineLevel="2">
      <c r="A8" s="875"/>
      <c r="B8" s="876"/>
      <c r="C8" s="876"/>
      <c r="D8" s="64">
        <v>3</v>
      </c>
      <c r="E8" s="61">
        <f t="shared" si="4"/>
        <v>0</v>
      </c>
      <c r="F8" s="576">
        <f>IFERROR(SUMIFS('Rozpočet - HW a licencie'!$I$3:$I$102,'Rozpočet - HW a licencie'!$A$3:$A$102,'TCO TO BE- SW'!F$2,'Rozpočet - HW a licencie'!$C$3:$C$102,"SW",'Rozpočet - HW a licencie'!$G$3:$G$102,'TCO TO BE- SW'!$D8,'Rozpočet - HW a licencie'!$D$3:$D$102,$B$6),)</f>
        <v>0</v>
      </c>
      <c r="G8" s="576">
        <f>IFERROR(SUMIFS('Rozpočet - HW a licencie'!$I$3:$I$102,'Rozpočet - HW a licencie'!$A$3:$A$102,'TCO TO BE- SW'!G$2,'Rozpočet - HW a licencie'!$C$3:$C$102,"SW",'Rozpočet - HW a licencie'!$G$3:$G$102,'TCO TO BE- SW'!$D8,'Rozpočet - HW a licencie'!$D$3:$D$102,$B$6),)</f>
        <v>0</v>
      </c>
      <c r="H8" s="576">
        <f>IFERROR(SUMIFS('Rozpočet - HW a licencie'!$I$3:$I$102,'Rozpočet - HW a licencie'!$A$3:$A$102,'TCO TO BE- SW'!H$2,'Rozpočet - HW a licencie'!$C$3:$C$102,"SW",'Rozpočet - HW a licencie'!$G$3:$G$102,'TCO TO BE- SW'!$D8,'Rozpočet - HW a licencie'!$D$3:$D$102,$B$6),)</f>
        <v>0</v>
      </c>
      <c r="I8" s="576">
        <f>IFERROR(SUMIFS('Rozpočet - HW a licencie'!$I$3:$I$102,'Rozpočet - HW a licencie'!$A$3:$A$102,'TCO TO BE- SW'!I$2,'Rozpočet - HW a licencie'!$C$3:$C$102,"SW",'Rozpočet - HW a licencie'!$G$3:$G$102,'TCO TO BE- SW'!$D8,'Rozpočet - HW a licencie'!$D$3:$D$102,$B$6),)</f>
        <v>0</v>
      </c>
      <c r="J8" s="576">
        <f>IFERROR(SUMIFS('Rozpočet - HW a licencie'!$I$3:$I$102,'Rozpočet - HW a licencie'!$A$3:$A$102,'TCO TO BE- SW'!J$2,'Rozpočet - HW a licencie'!$C$3:$C$102,"SW",'Rozpočet - HW a licencie'!$G$3:$G$102,'TCO TO BE- SW'!$D8,'Rozpočet - HW a licencie'!$D$3:$D$102,$B$6),)</f>
        <v>0</v>
      </c>
      <c r="K8" s="576">
        <f>IFERROR(SUMIFS('Rozpočet - HW a licencie'!$I$3:$I$102,'Rozpočet - HW a licencie'!$A$3:$A$102,'TCO TO BE- SW'!K$2,'Rozpočet - HW a licencie'!$C$3:$C$102,"SW",'Rozpočet - HW a licencie'!$G$3:$G$102,'TCO TO BE- SW'!$D8,'Rozpočet - HW a licencie'!$D$3:$D$102,$B$6),)</f>
        <v>0</v>
      </c>
      <c r="L8" s="576">
        <f>IFERROR(SUMIFS('Rozpočet - HW a licencie'!$I$3:$I$102,'Rozpočet - HW a licencie'!$A$3:$A$102,'TCO TO BE- SW'!L$2,'Rozpočet - HW a licencie'!$C$3:$C$102,"SW",'Rozpočet - HW a licencie'!$G$3:$G$102,'TCO TO BE- SW'!$D8,'Rozpočet - HW a licencie'!$D$3:$D$102,$B$6),)</f>
        <v>0</v>
      </c>
      <c r="M8" s="576">
        <f>IFERROR(SUMIFS('Rozpočet - HW a licencie'!$I$3:$I$102,'Rozpočet - HW a licencie'!$A$3:$A$102,'TCO TO BE- SW'!M$2,'Rozpočet - HW a licencie'!$C$3:$C$102,"SW",'Rozpočet - HW a licencie'!$G$3:$G$102,'TCO TO BE- SW'!$D8,'Rozpočet - HW a licencie'!$D$3:$D$102,$B$6),)</f>
        <v>0</v>
      </c>
      <c r="N8" s="576">
        <f>IFERROR(SUMIFS('Rozpočet - HW a licencie'!$I$3:$I$102,'Rozpočet - HW a licencie'!$A$3:$A$102,'TCO TO BE- SW'!N$2,'Rozpočet - HW a licencie'!$C$3:$C$102,"SW",'Rozpočet - HW a licencie'!$G$3:$G$102,'TCO TO BE- SW'!$D8,'Rozpočet - HW a licencie'!$D$3:$D$102,$B$6),)</f>
        <v>0</v>
      </c>
      <c r="O8" s="576">
        <f>IFERROR(SUMIFS('Rozpočet - HW a licencie'!$I$3:$I$102,'Rozpočet - HW a licencie'!$A$3:$A$102,'TCO TO BE- SW'!O$2,'Rozpočet - HW a licencie'!$C$3:$C$102,"SW",'Rozpočet - HW a licencie'!$G$3:$G$102,'TCO TO BE- SW'!$D8,'Rozpočet - HW a licencie'!$D$3:$D$102,$B$6),)</f>
        <v>0</v>
      </c>
      <c r="P8" s="576">
        <f>IFERROR(SUMIFS('Rozpočet - HW a licencie'!$I$3:$I$102,'Rozpočet - HW a licencie'!$A$3:$A$102,'TCO TO BE- SW'!P$2,'Rozpočet - HW a licencie'!$C$3:$C$102,"SW",'Rozpočet - HW a licencie'!$G$3:$G$102,'TCO TO BE- SW'!$D8,'Rozpočet - HW a licencie'!$D$3:$D$102,$B$6),)</f>
        <v>0</v>
      </c>
      <c r="Q8" s="576">
        <f>IFERROR(SUMIFS('Rozpočet - HW a licencie'!$I$3:$I$102,'Rozpočet - HW a licencie'!$A$3:$A$102,'TCO TO BE- SW'!Q$2,'Rozpočet - HW a licencie'!$C$3:$C$102,"SW",'Rozpočet - HW a licencie'!$G$3:$G$102,'TCO TO BE- SW'!$D8,'Rozpočet - HW a licencie'!$D$3:$D$102,$B$6),)</f>
        <v>0</v>
      </c>
      <c r="R8" s="576">
        <f>IFERROR(SUMIFS('Rozpočet - HW a licencie'!$I$3:$I$102,'Rozpočet - HW a licencie'!$A$3:$A$102,'TCO TO BE- SW'!R$2,'Rozpočet - HW a licencie'!$C$3:$C$102,"SW",'Rozpočet - HW a licencie'!$G$3:$G$102,'TCO TO BE- SW'!$D8,'Rozpočet - HW a licencie'!$D$3:$D$102,$B$6),)</f>
        <v>0</v>
      </c>
      <c r="S8" s="576">
        <f>IFERROR(SUMIFS('Rozpočet - HW a licencie'!$I$3:$I$102,'Rozpočet - HW a licencie'!$A$3:$A$102,'TCO TO BE- SW'!S$2,'Rozpočet - HW a licencie'!$C$3:$C$102,"SW",'Rozpočet - HW a licencie'!$G$3:$G$102,'TCO TO BE- SW'!$D8,'Rozpočet - HW a licencie'!$D$3:$D$102,$B$6),)</f>
        <v>0</v>
      </c>
      <c r="T8" s="576">
        <f>IFERROR(SUMIFS('Rozpočet - HW a licencie'!$I$3:$I$102,'Rozpočet - HW a licencie'!$A$3:$A$102,'TCO TO BE- SW'!T$2,'Rozpočet - HW a licencie'!$C$3:$C$102,"SW",'Rozpočet - HW a licencie'!$G$3:$G$102,'TCO TO BE- SW'!$D8,'Rozpočet - HW a licencie'!$D$3:$D$102,$B$6),)</f>
        <v>0</v>
      </c>
      <c r="U8" s="576">
        <f>IFERROR(SUMIFS('Rozpočet - HW a licencie'!$I$3:$I$102,'Rozpočet - HW a licencie'!$A$3:$A$102,'TCO TO BE- SW'!U$2,'Rozpočet - HW a licencie'!$C$3:$C$102,"SW",'Rozpočet - HW a licencie'!$G$3:$G$102,'TCO TO BE- SW'!$D8,'Rozpočet - HW a licencie'!$D$3:$D$102,$B$6),)</f>
        <v>0</v>
      </c>
      <c r="V8" s="576">
        <f>IFERROR(SUMIFS('Rozpočet - HW a licencie'!$I$3:$I$102,'Rozpočet - HW a licencie'!$A$3:$A$102,'TCO TO BE- SW'!V$2,'Rozpočet - HW a licencie'!$C$3:$C$102,"SW",'Rozpočet - HW a licencie'!$G$3:$G$102,'TCO TO BE- SW'!$D8,'Rozpočet - HW a licencie'!$D$3:$D$102,$B$6),)</f>
        <v>0</v>
      </c>
      <c r="W8" s="576">
        <f>IFERROR(SUMIFS('Rozpočet - HW a licencie'!$I$3:$I$102,'Rozpočet - HW a licencie'!$A$3:$A$102,'TCO TO BE- SW'!W$2,'Rozpočet - HW a licencie'!$C$3:$C$102,"SW",'Rozpočet - HW a licencie'!$G$3:$G$102,'TCO TO BE- SW'!$D8,'Rozpočet - HW a licencie'!$D$3:$D$102,$B$6),)</f>
        <v>0</v>
      </c>
      <c r="X8" s="576">
        <f>IFERROR(SUMIFS('Rozpočet - HW a licencie'!$I$3:$I$102,'Rozpočet - HW a licencie'!$A$3:$A$102,'TCO TO BE- SW'!X$2,'Rozpočet - HW a licencie'!$C$3:$C$102,"SW",'Rozpočet - HW a licencie'!$G$3:$G$102,'TCO TO BE- SW'!$D8,'Rozpočet - HW a licencie'!$D$3:$D$102,$B$6),)</f>
        <v>0</v>
      </c>
      <c r="Y8" s="576">
        <f>IFERROR(SUMIFS('Rozpočet - HW a licencie'!$I$3:$I$102,'Rozpočet - HW a licencie'!$A$3:$A$102,'TCO TO BE- SW'!Y$2,'Rozpočet - HW a licencie'!$C$3:$C$102,"SW",'Rozpočet - HW a licencie'!$G$3:$G$102,'TCO TO BE- SW'!$D8,'Rozpočet - HW a licencie'!$D$3:$D$102,$B$6),)</f>
        <v>0</v>
      </c>
      <c r="Z8" s="576">
        <f>IFERROR(SUMIFS('Rozpočet - HW a licencie'!$I$3:$I$102,'Rozpočet - HW a licencie'!$A$3:$A$102,'TCO TO BE- SW'!Z$2,'Rozpočet - HW a licencie'!$C$3:$C$102,"SW",'Rozpočet - HW a licencie'!$G$3:$G$102,'TCO TO BE- SW'!$D8,'Rozpočet - HW a licencie'!$D$3:$D$102,$B$6),)</f>
        <v>0</v>
      </c>
    </row>
    <row r="9" spans="1:26" hidden="1" outlineLevel="2">
      <c r="A9" s="875"/>
      <c r="B9" s="876"/>
      <c r="C9" s="876"/>
      <c r="D9" s="64">
        <v>4</v>
      </c>
      <c r="E9" s="61">
        <f t="shared" si="4"/>
        <v>0</v>
      </c>
      <c r="F9" s="576">
        <f>IFERROR(SUMIFS('Rozpočet - HW a licencie'!$I$3:$I$102,'Rozpočet - HW a licencie'!$A$3:$A$102,'TCO TO BE- SW'!F$2,'Rozpočet - HW a licencie'!$C$3:$C$102,"SW",'Rozpočet - HW a licencie'!$G$3:$G$102,'TCO TO BE- SW'!$D9,'Rozpočet - HW a licencie'!$D$3:$D$102,$B$6),)</f>
        <v>0</v>
      </c>
      <c r="G9" s="576">
        <f>IFERROR(SUMIFS('Rozpočet - HW a licencie'!$I$3:$I$102,'Rozpočet - HW a licencie'!$A$3:$A$102,'TCO TO BE- SW'!G$2,'Rozpočet - HW a licencie'!$C$3:$C$102,"SW",'Rozpočet - HW a licencie'!$G$3:$G$102,'TCO TO BE- SW'!$D9,'Rozpočet - HW a licencie'!$D$3:$D$102,$B$6),)</f>
        <v>0</v>
      </c>
      <c r="H9" s="576">
        <f>IFERROR(SUMIFS('Rozpočet - HW a licencie'!$I$3:$I$102,'Rozpočet - HW a licencie'!$A$3:$A$102,'TCO TO BE- SW'!H$2,'Rozpočet - HW a licencie'!$C$3:$C$102,"SW",'Rozpočet - HW a licencie'!$G$3:$G$102,'TCO TO BE- SW'!$D9,'Rozpočet - HW a licencie'!$D$3:$D$102,$B$6),)</f>
        <v>0</v>
      </c>
      <c r="I9" s="576">
        <f>IFERROR(SUMIFS('Rozpočet - HW a licencie'!$I$3:$I$102,'Rozpočet - HW a licencie'!$A$3:$A$102,'TCO TO BE- SW'!I$2,'Rozpočet - HW a licencie'!$C$3:$C$102,"SW",'Rozpočet - HW a licencie'!$G$3:$G$102,'TCO TO BE- SW'!$D9,'Rozpočet - HW a licencie'!$D$3:$D$102,$B$6),)</f>
        <v>0</v>
      </c>
      <c r="J9" s="576">
        <f>IFERROR(SUMIFS('Rozpočet - HW a licencie'!$I$3:$I$102,'Rozpočet - HW a licencie'!$A$3:$A$102,'TCO TO BE- SW'!J$2,'Rozpočet - HW a licencie'!$C$3:$C$102,"SW",'Rozpočet - HW a licencie'!$G$3:$G$102,'TCO TO BE- SW'!$D9,'Rozpočet - HW a licencie'!$D$3:$D$102,$B$6),)</f>
        <v>0</v>
      </c>
      <c r="K9" s="576">
        <f>IFERROR(SUMIFS('Rozpočet - HW a licencie'!$I$3:$I$102,'Rozpočet - HW a licencie'!$A$3:$A$102,'TCO TO BE- SW'!K$2,'Rozpočet - HW a licencie'!$C$3:$C$102,"SW",'Rozpočet - HW a licencie'!$G$3:$G$102,'TCO TO BE- SW'!$D9,'Rozpočet - HW a licencie'!$D$3:$D$102,$B$6),)</f>
        <v>0</v>
      </c>
      <c r="L9" s="576">
        <f>IFERROR(SUMIFS('Rozpočet - HW a licencie'!$I$3:$I$102,'Rozpočet - HW a licencie'!$A$3:$A$102,'TCO TO BE- SW'!L$2,'Rozpočet - HW a licencie'!$C$3:$C$102,"SW",'Rozpočet - HW a licencie'!$G$3:$G$102,'TCO TO BE- SW'!$D9,'Rozpočet - HW a licencie'!$D$3:$D$102,$B$6),)</f>
        <v>0</v>
      </c>
      <c r="M9" s="576">
        <f>IFERROR(SUMIFS('Rozpočet - HW a licencie'!$I$3:$I$102,'Rozpočet - HW a licencie'!$A$3:$A$102,'TCO TO BE- SW'!M$2,'Rozpočet - HW a licencie'!$C$3:$C$102,"SW",'Rozpočet - HW a licencie'!$G$3:$G$102,'TCO TO BE- SW'!$D9,'Rozpočet - HW a licencie'!$D$3:$D$102,$B$6),)</f>
        <v>0</v>
      </c>
      <c r="N9" s="576">
        <f>IFERROR(SUMIFS('Rozpočet - HW a licencie'!$I$3:$I$102,'Rozpočet - HW a licencie'!$A$3:$A$102,'TCO TO BE- SW'!N$2,'Rozpočet - HW a licencie'!$C$3:$C$102,"SW",'Rozpočet - HW a licencie'!$G$3:$G$102,'TCO TO BE- SW'!$D9,'Rozpočet - HW a licencie'!$D$3:$D$102,$B$6),)</f>
        <v>0</v>
      </c>
      <c r="O9" s="576">
        <f>IFERROR(SUMIFS('Rozpočet - HW a licencie'!$I$3:$I$102,'Rozpočet - HW a licencie'!$A$3:$A$102,'TCO TO BE- SW'!O$2,'Rozpočet - HW a licencie'!$C$3:$C$102,"SW",'Rozpočet - HW a licencie'!$G$3:$G$102,'TCO TO BE- SW'!$D9,'Rozpočet - HW a licencie'!$D$3:$D$102,$B$6),)</f>
        <v>0</v>
      </c>
      <c r="P9" s="576">
        <f>IFERROR(SUMIFS('Rozpočet - HW a licencie'!$I$3:$I$102,'Rozpočet - HW a licencie'!$A$3:$A$102,'TCO TO BE- SW'!P$2,'Rozpočet - HW a licencie'!$C$3:$C$102,"SW",'Rozpočet - HW a licencie'!$G$3:$G$102,'TCO TO BE- SW'!$D9,'Rozpočet - HW a licencie'!$D$3:$D$102,$B$6),)</f>
        <v>0</v>
      </c>
      <c r="Q9" s="576">
        <f>IFERROR(SUMIFS('Rozpočet - HW a licencie'!$I$3:$I$102,'Rozpočet - HW a licencie'!$A$3:$A$102,'TCO TO BE- SW'!Q$2,'Rozpočet - HW a licencie'!$C$3:$C$102,"SW",'Rozpočet - HW a licencie'!$G$3:$G$102,'TCO TO BE- SW'!$D9,'Rozpočet - HW a licencie'!$D$3:$D$102,$B$6),)</f>
        <v>0</v>
      </c>
      <c r="R9" s="576">
        <f>IFERROR(SUMIFS('Rozpočet - HW a licencie'!$I$3:$I$102,'Rozpočet - HW a licencie'!$A$3:$A$102,'TCO TO BE- SW'!R$2,'Rozpočet - HW a licencie'!$C$3:$C$102,"SW",'Rozpočet - HW a licencie'!$G$3:$G$102,'TCO TO BE- SW'!$D9,'Rozpočet - HW a licencie'!$D$3:$D$102,$B$6),)</f>
        <v>0</v>
      </c>
      <c r="S9" s="576">
        <f>IFERROR(SUMIFS('Rozpočet - HW a licencie'!$I$3:$I$102,'Rozpočet - HW a licencie'!$A$3:$A$102,'TCO TO BE- SW'!S$2,'Rozpočet - HW a licencie'!$C$3:$C$102,"SW",'Rozpočet - HW a licencie'!$G$3:$G$102,'TCO TO BE- SW'!$D9,'Rozpočet - HW a licencie'!$D$3:$D$102,$B$6),)</f>
        <v>0</v>
      </c>
      <c r="T9" s="576">
        <f>IFERROR(SUMIFS('Rozpočet - HW a licencie'!$I$3:$I$102,'Rozpočet - HW a licencie'!$A$3:$A$102,'TCO TO BE- SW'!T$2,'Rozpočet - HW a licencie'!$C$3:$C$102,"SW",'Rozpočet - HW a licencie'!$G$3:$G$102,'TCO TO BE- SW'!$D9,'Rozpočet - HW a licencie'!$D$3:$D$102,$B$6),)</f>
        <v>0</v>
      </c>
      <c r="U9" s="576">
        <f>IFERROR(SUMIFS('Rozpočet - HW a licencie'!$I$3:$I$102,'Rozpočet - HW a licencie'!$A$3:$A$102,'TCO TO BE- SW'!U$2,'Rozpočet - HW a licencie'!$C$3:$C$102,"SW",'Rozpočet - HW a licencie'!$G$3:$G$102,'TCO TO BE- SW'!$D9,'Rozpočet - HW a licencie'!$D$3:$D$102,$B$6),)</f>
        <v>0</v>
      </c>
      <c r="V9" s="576">
        <f>IFERROR(SUMIFS('Rozpočet - HW a licencie'!$I$3:$I$102,'Rozpočet - HW a licencie'!$A$3:$A$102,'TCO TO BE- SW'!V$2,'Rozpočet - HW a licencie'!$C$3:$C$102,"SW",'Rozpočet - HW a licencie'!$G$3:$G$102,'TCO TO BE- SW'!$D9,'Rozpočet - HW a licencie'!$D$3:$D$102,$B$6),)</f>
        <v>0</v>
      </c>
      <c r="W9" s="576">
        <f>IFERROR(SUMIFS('Rozpočet - HW a licencie'!$I$3:$I$102,'Rozpočet - HW a licencie'!$A$3:$A$102,'TCO TO BE- SW'!W$2,'Rozpočet - HW a licencie'!$C$3:$C$102,"SW",'Rozpočet - HW a licencie'!$G$3:$G$102,'TCO TO BE- SW'!$D9,'Rozpočet - HW a licencie'!$D$3:$D$102,$B$6),)</f>
        <v>0</v>
      </c>
      <c r="X9" s="576">
        <f>IFERROR(SUMIFS('Rozpočet - HW a licencie'!$I$3:$I$102,'Rozpočet - HW a licencie'!$A$3:$A$102,'TCO TO BE- SW'!X$2,'Rozpočet - HW a licencie'!$C$3:$C$102,"SW",'Rozpočet - HW a licencie'!$G$3:$G$102,'TCO TO BE- SW'!$D9,'Rozpočet - HW a licencie'!$D$3:$D$102,$B$6),)</f>
        <v>0</v>
      </c>
      <c r="Y9" s="576">
        <f>IFERROR(SUMIFS('Rozpočet - HW a licencie'!$I$3:$I$102,'Rozpočet - HW a licencie'!$A$3:$A$102,'TCO TO BE- SW'!Y$2,'Rozpočet - HW a licencie'!$C$3:$C$102,"SW",'Rozpočet - HW a licencie'!$G$3:$G$102,'TCO TO BE- SW'!$D9,'Rozpočet - HW a licencie'!$D$3:$D$102,$B$6),)</f>
        <v>0</v>
      </c>
      <c r="Z9" s="576">
        <f>IFERROR(SUMIFS('Rozpočet - HW a licencie'!$I$3:$I$102,'Rozpočet - HW a licencie'!$A$3:$A$102,'TCO TO BE- SW'!Z$2,'Rozpočet - HW a licencie'!$C$3:$C$102,"SW",'Rozpočet - HW a licencie'!$G$3:$G$102,'TCO TO BE- SW'!$D9,'Rozpočet - HW a licencie'!$D$3:$D$102,$B$6),)</f>
        <v>0</v>
      </c>
    </row>
    <row r="10" spans="1:26" hidden="1" outlineLevel="2">
      <c r="A10" s="875"/>
      <c r="B10" s="876"/>
      <c r="C10" s="876"/>
      <c r="D10" s="64">
        <v>5</v>
      </c>
      <c r="E10" s="61">
        <f t="shared" si="4"/>
        <v>0</v>
      </c>
      <c r="F10" s="576">
        <f>IFERROR(SUMIFS('Rozpočet - HW a licencie'!$I$3:$I$102,'Rozpočet - HW a licencie'!$A$3:$A$102,'TCO TO BE- SW'!F$2,'Rozpočet - HW a licencie'!$C$3:$C$102,"SW",'Rozpočet - HW a licencie'!$G$3:$G$102,'TCO TO BE- SW'!$D10,'Rozpočet - HW a licencie'!$D$3:$D$102,$B$6),)</f>
        <v>0</v>
      </c>
      <c r="G10" s="576">
        <f>IFERROR(SUMIFS('Rozpočet - HW a licencie'!$I$3:$I$102,'Rozpočet - HW a licencie'!$A$3:$A$102,'TCO TO BE- SW'!G$2,'Rozpočet - HW a licencie'!$C$3:$C$102,"SW",'Rozpočet - HW a licencie'!$G$3:$G$102,'TCO TO BE- SW'!$D10,'Rozpočet - HW a licencie'!$D$3:$D$102,$B$6),)</f>
        <v>0</v>
      </c>
      <c r="H10" s="576">
        <f>IFERROR(SUMIFS('Rozpočet - HW a licencie'!$I$3:$I$102,'Rozpočet - HW a licencie'!$A$3:$A$102,'TCO TO BE- SW'!H$2,'Rozpočet - HW a licencie'!$C$3:$C$102,"SW",'Rozpočet - HW a licencie'!$G$3:$G$102,'TCO TO BE- SW'!$D10,'Rozpočet - HW a licencie'!$D$3:$D$102,$B$6),)</f>
        <v>0</v>
      </c>
      <c r="I10" s="576">
        <f>IFERROR(SUMIFS('Rozpočet - HW a licencie'!$I$3:$I$102,'Rozpočet - HW a licencie'!$A$3:$A$102,'TCO TO BE- SW'!I$2,'Rozpočet - HW a licencie'!$C$3:$C$102,"SW",'Rozpočet - HW a licencie'!$G$3:$G$102,'TCO TO BE- SW'!$D10,'Rozpočet - HW a licencie'!$D$3:$D$102,$B$6),)</f>
        <v>0</v>
      </c>
      <c r="J10" s="576">
        <f>IFERROR(SUMIFS('Rozpočet - HW a licencie'!$I$3:$I$102,'Rozpočet - HW a licencie'!$A$3:$A$102,'TCO TO BE- SW'!J$2,'Rozpočet - HW a licencie'!$C$3:$C$102,"SW",'Rozpočet - HW a licencie'!$G$3:$G$102,'TCO TO BE- SW'!$D10,'Rozpočet - HW a licencie'!$D$3:$D$102,$B$6),)</f>
        <v>0</v>
      </c>
      <c r="K10" s="576">
        <f>IFERROR(SUMIFS('Rozpočet - HW a licencie'!$I$3:$I$102,'Rozpočet - HW a licencie'!$A$3:$A$102,'TCO TO BE- SW'!K$2,'Rozpočet - HW a licencie'!$C$3:$C$102,"SW",'Rozpočet - HW a licencie'!$G$3:$G$102,'TCO TO BE- SW'!$D10,'Rozpočet - HW a licencie'!$D$3:$D$102,$B$6),)</f>
        <v>0</v>
      </c>
      <c r="L10" s="576">
        <f>IFERROR(SUMIFS('Rozpočet - HW a licencie'!$I$3:$I$102,'Rozpočet - HW a licencie'!$A$3:$A$102,'TCO TO BE- SW'!L$2,'Rozpočet - HW a licencie'!$C$3:$C$102,"SW",'Rozpočet - HW a licencie'!$G$3:$G$102,'TCO TO BE- SW'!$D10,'Rozpočet - HW a licencie'!$D$3:$D$102,$B$6),)</f>
        <v>0</v>
      </c>
      <c r="M10" s="576">
        <f>IFERROR(SUMIFS('Rozpočet - HW a licencie'!$I$3:$I$102,'Rozpočet - HW a licencie'!$A$3:$A$102,'TCO TO BE- SW'!M$2,'Rozpočet - HW a licencie'!$C$3:$C$102,"SW",'Rozpočet - HW a licencie'!$G$3:$G$102,'TCO TO BE- SW'!$D10,'Rozpočet - HW a licencie'!$D$3:$D$102,$B$6),)</f>
        <v>0</v>
      </c>
      <c r="N10" s="576">
        <f>IFERROR(SUMIFS('Rozpočet - HW a licencie'!$I$3:$I$102,'Rozpočet - HW a licencie'!$A$3:$A$102,'TCO TO BE- SW'!N$2,'Rozpočet - HW a licencie'!$C$3:$C$102,"SW",'Rozpočet - HW a licencie'!$G$3:$G$102,'TCO TO BE- SW'!$D10,'Rozpočet - HW a licencie'!$D$3:$D$102,$B$6),)</f>
        <v>0</v>
      </c>
      <c r="O10" s="576">
        <f>IFERROR(SUMIFS('Rozpočet - HW a licencie'!$I$3:$I$102,'Rozpočet - HW a licencie'!$A$3:$A$102,'TCO TO BE- SW'!O$2,'Rozpočet - HW a licencie'!$C$3:$C$102,"SW",'Rozpočet - HW a licencie'!$G$3:$G$102,'TCO TO BE- SW'!$D10,'Rozpočet - HW a licencie'!$D$3:$D$102,$B$6),)</f>
        <v>0</v>
      </c>
      <c r="P10" s="576">
        <f>IFERROR(SUMIFS('Rozpočet - HW a licencie'!$I$3:$I$102,'Rozpočet - HW a licencie'!$A$3:$A$102,'TCO TO BE- SW'!P$2,'Rozpočet - HW a licencie'!$C$3:$C$102,"SW",'Rozpočet - HW a licencie'!$G$3:$G$102,'TCO TO BE- SW'!$D10,'Rozpočet - HW a licencie'!$D$3:$D$102,$B$6),)</f>
        <v>0</v>
      </c>
      <c r="Q10" s="576">
        <f>IFERROR(SUMIFS('Rozpočet - HW a licencie'!$I$3:$I$102,'Rozpočet - HW a licencie'!$A$3:$A$102,'TCO TO BE- SW'!Q$2,'Rozpočet - HW a licencie'!$C$3:$C$102,"SW",'Rozpočet - HW a licencie'!$G$3:$G$102,'TCO TO BE- SW'!$D10,'Rozpočet - HW a licencie'!$D$3:$D$102,$B$6),)</f>
        <v>0</v>
      </c>
      <c r="R10" s="576">
        <f>IFERROR(SUMIFS('Rozpočet - HW a licencie'!$I$3:$I$102,'Rozpočet - HW a licencie'!$A$3:$A$102,'TCO TO BE- SW'!R$2,'Rozpočet - HW a licencie'!$C$3:$C$102,"SW",'Rozpočet - HW a licencie'!$G$3:$G$102,'TCO TO BE- SW'!$D10,'Rozpočet - HW a licencie'!$D$3:$D$102,$B$6),)</f>
        <v>0</v>
      </c>
      <c r="S10" s="576">
        <f>IFERROR(SUMIFS('Rozpočet - HW a licencie'!$I$3:$I$102,'Rozpočet - HW a licencie'!$A$3:$A$102,'TCO TO BE- SW'!S$2,'Rozpočet - HW a licencie'!$C$3:$C$102,"SW",'Rozpočet - HW a licencie'!$G$3:$G$102,'TCO TO BE- SW'!$D10,'Rozpočet - HW a licencie'!$D$3:$D$102,$B$6),)</f>
        <v>0</v>
      </c>
      <c r="T10" s="576">
        <f>IFERROR(SUMIFS('Rozpočet - HW a licencie'!$I$3:$I$102,'Rozpočet - HW a licencie'!$A$3:$A$102,'TCO TO BE- SW'!T$2,'Rozpočet - HW a licencie'!$C$3:$C$102,"SW",'Rozpočet - HW a licencie'!$G$3:$G$102,'TCO TO BE- SW'!$D10,'Rozpočet - HW a licencie'!$D$3:$D$102,$B$6),)</f>
        <v>0</v>
      </c>
      <c r="U10" s="576">
        <f>IFERROR(SUMIFS('Rozpočet - HW a licencie'!$I$3:$I$102,'Rozpočet - HW a licencie'!$A$3:$A$102,'TCO TO BE- SW'!U$2,'Rozpočet - HW a licencie'!$C$3:$C$102,"SW",'Rozpočet - HW a licencie'!$G$3:$G$102,'TCO TO BE- SW'!$D10,'Rozpočet - HW a licencie'!$D$3:$D$102,$B$6),)</f>
        <v>0</v>
      </c>
      <c r="V10" s="576">
        <f>IFERROR(SUMIFS('Rozpočet - HW a licencie'!$I$3:$I$102,'Rozpočet - HW a licencie'!$A$3:$A$102,'TCO TO BE- SW'!V$2,'Rozpočet - HW a licencie'!$C$3:$C$102,"SW",'Rozpočet - HW a licencie'!$G$3:$G$102,'TCO TO BE- SW'!$D10,'Rozpočet - HW a licencie'!$D$3:$D$102,$B$6),)</f>
        <v>0</v>
      </c>
      <c r="W10" s="576">
        <f>IFERROR(SUMIFS('Rozpočet - HW a licencie'!$I$3:$I$102,'Rozpočet - HW a licencie'!$A$3:$A$102,'TCO TO BE- SW'!W$2,'Rozpočet - HW a licencie'!$C$3:$C$102,"SW",'Rozpočet - HW a licencie'!$G$3:$G$102,'TCO TO BE- SW'!$D10,'Rozpočet - HW a licencie'!$D$3:$D$102,$B$6),)</f>
        <v>0</v>
      </c>
      <c r="X10" s="576">
        <f>IFERROR(SUMIFS('Rozpočet - HW a licencie'!$I$3:$I$102,'Rozpočet - HW a licencie'!$A$3:$A$102,'TCO TO BE- SW'!X$2,'Rozpočet - HW a licencie'!$C$3:$C$102,"SW",'Rozpočet - HW a licencie'!$G$3:$G$102,'TCO TO BE- SW'!$D10,'Rozpočet - HW a licencie'!$D$3:$D$102,$B$6),)</f>
        <v>0</v>
      </c>
      <c r="Y10" s="576">
        <f>IFERROR(SUMIFS('Rozpočet - HW a licencie'!$I$3:$I$102,'Rozpočet - HW a licencie'!$A$3:$A$102,'TCO TO BE- SW'!Y$2,'Rozpočet - HW a licencie'!$C$3:$C$102,"SW",'Rozpočet - HW a licencie'!$G$3:$G$102,'TCO TO BE- SW'!$D10,'Rozpočet - HW a licencie'!$D$3:$D$102,$B$6),)</f>
        <v>0</v>
      </c>
      <c r="Z10" s="576">
        <f>IFERROR(SUMIFS('Rozpočet - HW a licencie'!$I$3:$I$102,'Rozpočet - HW a licencie'!$A$3:$A$102,'TCO TO BE- SW'!Z$2,'Rozpočet - HW a licencie'!$C$3:$C$102,"SW",'Rozpočet - HW a licencie'!$G$3:$G$102,'TCO TO BE- SW'!$D10,'Rozpočet - HW a licencie'!$D$3:$D$102,$B$6),)</f>
        <v>0</v>
      </c>
    </row>
    <row r="11" spans="1:26" hidden="1" outlineLevel="2">
      <c r="A11" s="875"/>
      <c r="B11" s="876"/>
      <c r="C11" s="876"/>
      <c r="D11" s="64">
        <v>6</v>
      </c>
      <c r="E11" s="61">
        <f t="shared" si="4"/>
        <v>0</v>
      </c>
      <c r="F11" s="576">
        <f>IFERROR(SUMIFS('Rozpočet - HW a licencie'!$I$3:$I$102,'Rozpočet - HW a licencie'!$A$3:$A$102,'TCO TO BE- SW'!F$2,'Rozpočet - HW a licencie'!$C$3:$C$102,"SW",'Rozpočet - HW a licencie'!$G$3:$G$102,'TCO TO BE- SW'!$D11,'Rozpočet - HW a licencie'!$D$3:$D$102,$B$6),)</f>
        <v>0</v>
      </c>
      <c r="G11" s="576">
        <f>IFERROR(SUMIFS('Rozpočet - HW a licencie'!$I$3:$I$102,'Rozpočet - HW a licencie'!$A$3:$A$102,'TCO TO BE- SW'!G$2,'Rozpočet - HW a licencie'!$C$3:$C$102,"SW",'Rozpočet - HW a licencie'!$G$3:$G$102,'TCO TO BE- SW'!$D11,'Rozpočet - HW a licencie'!$D$3:$D$102,$B$6),)</f>
        <v>0</v>
      </c>
      <c r="H11" s="576">
        <f>IFERROR(SUMIFS('Rozpočet - HW a licencie'!$I$3:$I$102,'Rozpočet - HW a licencie'!$A$3:$A$102,'TCO TO BE- SW'!H$2,'Rozpočet - HW a licencie'!$C$3:$C$102,"SW",'Rozpočet - HW a licencie'!$G$3:$G$102,'TCO TO BE- SW'!$D11,'Rozpočet - HW a licencie'!$D$3:$D$102,$B$6),)</f>
        <v>0</v>
      </c>
      <c r="I11" s="576">
        <f>IFERROR(SUMIFS('Rozpočet - HW a licencie'!$I$3:$I$102,'Rozpočet - HW a licencie'!$A$3:$A$102,'TCO TO BE- SW'!I$2,'Rozpočet - HW a licencie'!$C$3:$C$102,"SW",'Rozpočet - HW a licencie'!$G$3:$G$102,'TCO TO BE- SW'!$D11,'Rozpočet - HW a licencie'!$D$3:$D$102,$B$6),)</f>
        <v>0</v>
      </c>
      <c r="J11" s="576">
        <f>IFERROR(SUMIFS('Rozpočet - HW a licencie'!$I$3:$I$102,'Rozpočet - HW a licencie'!$A$3:$A$102,'TCO TO BE- SW'!J$2,'Rozpočet - HW a licencie'!$C$3:$C$102,"SW",'Rozpočet - HW a licencie'!$G$3:$G$102,'TCO TO BE- SW'!$D11,'Rozpočet - HW a licencie'!$D$3:$D$102,$B$6),)</f>
        <v>0</v>
      </c>
      <c r="K11" s="576">
        <f>IFERROR(SUMIFS('Rozpočet - HW a licencie'!$I$3:$I$102,'Rozpočet - HW a licencie'!$A$3:$A$102,'TCO TO BE- SW'!K$2,'Rozpočet - HW a licencie'!$C$3:$C$102,"SW",'Rozpočet - HW a licencie'!$G$3:$G$102,'TCO TO BE- SW'!$D11,'Rozpočet - HW a licencie'!$D$3:$D$102,$B$6),)</f>
        <v>0</v>
      </c>
      <c r="L11" s="576">
        <f>IFERROR(SUMIFS('Rozpočet - HW a licencie'!$I$3:$I$102,'Rozpočet - HW a licencie'!$A$3:$A$102,'TCO TO BE- SW'!L$2,'Rozpočet - HW a licencie'!$C$3:$C$102,"SW",'Rozpočet - HW a licencie'!$G$3:$G$102,'TCO TO BE- SW'!$D11,'Rozpočet - HW a licencie'!$D$3:$D$102,$B$6),)</f>
        <v>0</v>
      </c>
      <c r="M11" s="576">
        <f>IFERROR(SUMIFS('Rozpočet - HW a licencie'!$I$3:$I$102,'Rozpočet - HW a licencie'!$A$3:$A$102,'TCO TO BE- SW'!M$2,'Rozpočet - HW a licencie'!$C$3:$C$102,"SW",'Rozpočet - HW a licencie'!$G$3:$G$102,'TCO TO BE- SW'!$D11,'Rozpočet - HW a licencie'!$D$3:$D$102,$B$6),)</f>
        <v>0</v>
      </c>
      <c r="N11" s="576">
        <f>IFERROR(SUMIFS('Rozpočet - HW a licencie'!$I$3:$I$102,'Rozpočet - HW a licencie'!$A$3:$A$102,'TCO TO BE- SW'!N$2,'Rozpočet - HW a licencie'!$C$3:$C$102,"SW",'Rozpočet - HW a licencie'!$G$3:$G$102,'TCO TO BE- SW'!$D11,'Rozpočet - HW a licencie'!$D$3:$D$102,$B$6),)</f>
        <v>0</v>
      </c>
      <c r="O11" s="576">
        <f>IFERROR(SUMIFS('Rozpočet - HW a licencie'!$I$3:$I$102,'Rozpočet - HW a licencie'!$A$3:$A$102,'TCO TO BE- SW'!O$2,'Rozpočet - HW a licencie'!$C$3:$C$102,"SW",'Rozpočet - HW a licencie'!$G$3:$G$102,'TCO TO BE- SW'!$D11,'Rozpočet - HW a licencie'!$D$3:$D$102,$B$6),)</f>
        <v>0</v>
      </c>
      <c r="P11" s="576">
        <f>IFERROR(SUMIFS('Rozpočet - HW a licencie'!$I$3:$I$102,'Rozpočet - HW a licencie'!$A$3:$A$102,'TCO TO BE- SW'!P$2,'Rozpočet - HW a licencie'!$C$3:$C$102,"SW",'Rozpočet - HW a licencie'!$G$3:$G$102,'TCO TO BE- SW'!$D11,'Rozpočet - HW a licencie'!$D$3:$D$102,$B$6),)</f>
        <v>0</v>
      </c>
      <c r="Q11" s="576">
        <f>IFERROR(SUMIFS('Rozpočet - HW a licencie'!$I$3:$I$102,'Rozpočet - HW a licencie'!$A$3:$A$102,'TCO TO BE- SW'!Q$2,'Rozpočet - HW a licencie'!$C$3:$C$102,"SW",'Rozpočet - HW a licencie'!$G$3:$G$102,'TCO TO BE- SW'!$D11,'Rozpočet - HW a licencie'!$D$3:$D$102,$B$6),)</f>
        <v>0</v>
      </c>
      <c r="R11" s="576">
        <f>IFERROR(SUMIFS('Rozpočet - HW a licencie'!$I$3:$I$102,'Rozpočet - HW a licencie'!$A$3:$A$102,'TCO TO BE- SW'!R$2,'Rozpočet - HW a licencie'!$C$3:$C$102,"SW",'Rozpočet - HW a licencie'!$G$3:$G$102,'TCO TO BE- SW'!$D11,'Rozpočet - HW a licencie'!$D$3:$D$102,$B$6),)</f>
        <v>0</v>
      </c>
      <c r="S11" s="576">
        <f>IFERROR(SUMIFS('Rozpočet - HW a licencie'!$I$3:$I$102,'Rozpočet - HW a licencie'!$A$3:$A$102,'TCO TO BE- SW'!S$2,'Rozpočet - HW a licencie'!$C$3:$C$102,"SW",'Rozpočet - HW a licencie'!$G$3:$G$102,'TCO TO BE- SW'!$D11,'Rozpočet - HW a licencie'!$D$3:$D$102,$B$6),)</f>
        <v>0</v>
      </c>
      <c r="T11" s="576">
        <f>IFERROR(SUMIFS('Rozpočet - HW a licencie'!$I$3:$I$102,'Rozpočet - HW a licencie'!$A$3:$A$102,'TCO TO BE- SW'!T$2,'Rozpočet - HW a licencie'!$C$3:$C$102,"SW",'Rozpočet - HW a licencie'!$G$3:$G$102,'TCO TO BE- SW'!$D11,'Rozpočet - HW a licencie'!$D$3:$D$102,$B$6),)</f>
        <v>0</v>
      </c>
      <c r="U11" s="576">
        <f>IFERROR(SUMIFS('Rozpočet - HW a licencie'!$I$3:$I$102,'Rozpočet - HW a licencie'!$A$3:$A$102,'TCO TO BE- SW'!U$2,'Rozpočet - HW a licencie'!$C$3:$C$102,"SW",'Rozpočet - HW a licencie'!$G$3:$G$102,'TCO TO BE- SW'!$D11,'Rozpočet - HW a licencie'!$D$3:$D$102,$B$6),)</f>
        <v>0</v>
      </c>
      <c r="V11" s="576">
        <f>IFERROR(SUMIFS('Rozpočet - HW a licencie'!$I$3:$I$102,'Rozpočet - HW a licencie'!$A$3:$A$102,'TCO TO BE- SW'!V$2,'Rozpočet - HW a licencie'!$C$3:$C$102,"SW",'Rozpočet - HW a licencie'!$G$3:$G$102,'TCO TO BE- SW'!$D11,'Rozpočet - HW a licencie'!$D$3:$D$102,$B$6),)</f>
        <v>0</v>
      </c>
      <c r="W11" s="576">
        <f>IFERROR(SUMIFS('Rozpočet - HW a licencie'!$I$3:$I$102,'Rozpočet - HW a licencie'!$A$3:$A$102,'TCO TO BE- SW'!W$2,'Rozpočet - HW a licencie'!$C$3:$C$102,"SW",'Rozpočet - HW a licencie'!$G$3:$G$102,'TCO TO BE- SW'!$D11,'Rozpočet - HW a licencie'!$D$3:$D$102,$B$6),)</f>
        <v>0</v>
      </c>
      <c r="X11" s="576">
        <f>IFERROR(SUMIFS('Rozpočet - HW a licencie'!$I$3:$I$102,'Rozpočet - HW a licencie'!$A$3:$A$102,'TCO TO BE- SW'!X$2,'Rozpočet - HW a licencie'!$C$3:$C$102,"SW",'Rozpočet - HW a licencie'!$G$3:$G$102,'TCO TO BE- SW'!$D11,'Rozpočet - HW a licencie'!$D$3:$D$102,$B$6),)</f>
        <v>0</v>
      </c>
      <c r="Y11" s="576">
        <f>IFERROR(SUMIFS('Rozpočet - HW a licencie'!$I$3:$I$102,'Rozpočet - HW a licencie'!$A$3:$A$102,'TCO TO BE- SW'!Y$2,'Rozpočet - HW a licencie'!$C$3:$C$102,"SW",'Rozpočet - HW a licencie'!$G$3:$G$102,'TCO TO BE- SW'!$D11,'Rozpočet - HW a licencie'!$D$3:$D$102,$B$6),)</f>
        <v>0</v>
      </c>
      <c r="Z11" s="576">
        <f>IFERROR(SUMIFS('Rozpočet - HW a licencie'!$I$3:$I$102,'Rozpočet - HW a licencie'!$A$3:$A$102,'TCO TO BE- SW'!Z$2,'Rozpočet - HW a licencie'!$C$3:$C$102,"SW",'Rozpočet - HW a licencie'!$G$3:$G$102,'TCO TO BE- SW'!$D11,'Rozpočet - HW a licencie'!$D$3:$D$102,$B$6),)</f>
        <v>0</v>
      </c>
    </row>
    <row r="12" spans="1:26" hidden="1" outlineLevel="2">
      <c r="A12" s="875"/>
      <c r="B12" s="876"/>
      <c r="C12" s="876"/>
      <c r="D12" s="64">
        <v>7</v>
      </c>
      <c r="E12" s="61">
        <f t="shared" si="4"/>
        <v>0</v>
      </c>
      <c r="F12" s="576">
        <f>IFERROR(SUMIFS('Rozpočet - HW a licencie'!$I$3:$I$102,'Rozpočet - HW a licencie'!$A$3:$A$102,'TCO TO BE- SW'!F$2,'Rozpočet - HW a licencie'!$C$3:$C$102,"SW",'Rozpočet - HW a licencie'!$G$3:$G$102,'TCO TO BE- SW'!$D12,'Rozpočet - HW a licencie'!$D$3:$D$102,$B$6),)</f>
        <v>0</v>
      </c>
      <c r="G12" s="576">
        <f>IFERROR(SUMIFS('Rozpočet - HW a licencie'!$I$3:$I$102,'Rozpočet - HW a licencie'!$A$3:$A$102,'TCO TO BE- SW'!G$2,'Rozpočet - HW a licencie'!$C$3:$C$102,"SW",'Rozpočet - HW a licencie'!$G$3:$G$102,'TCO TO BE- SW'!$D12,'Rozpočet - HW a licencie'!$D$3:$D$102,$B$6),)</f>
        <v>0</v>
      </c>
      <c r="H12" s="576">
        <f>IFERROR(SUMIFS('Rozpočet - HW a licencie'!$I$3:$I$102,'Rozpočet - HW a licencie'!$A$3:$A$102,'TCO TO BE- SW'!H$2,'Rozpočet - HW a licencie'!$C$3:$C$102,"SW",'Rozpočet - HW a licencie'!$G$3:$G$102,'TCO TO BE- SW'!$D12,'Rozpočet - HW a licencie'!$D$3:$D$102,$B$6),)</f>
        <v>0</v>
      </c>
      <c r="I12" s="576">
        <f>IFERROR(SUMIFS('Rozpočet - HW a licencie'!$I$3:$I$102,'Rozpočet - HW a licencie'!$A$3:$A$102,'TCO TO BE- SW'!I$2,'Rozpočet - HW a licencie'!$C$3:$C$102,"SW",'Rozpočet - HW a licencie'!$G$3:$G$102,'TCO TO BE- SW'!$D12,'Rozpočet - HW a licencie'!$D$3:$D$102,$B$6),)</f>
        <v>0</v>
      </c>
      <c r="J12" s="576">
        <f>IFERROR(SUMIFS('Rozpočet - HW a licencie'!$I$3:$I$102,'Rozpočet - HW a licencie'!$A$3:$A$102,'TCO TO BE- SW'!J$2,'Rozpočet - HW a licencie'!$C$3:$C$102,"SW",'Rozpočet - HW a licencie'!$G$3:$G$102,'TCO TO BE- SW'!$D12,'Rozpočet - HW a licencie'!$D$3:$D$102,$B$6),)</f>
        <v>0</v>
      </c>
      <c r="K12" s="576">
        <f>IFERROR(SUMIFS('Rozpočet - HW a licencie'!$I$3:$I$102,'Rozpočet - HW a licencie'!$A$3:$A$102,'TCO TO BE- SW'!K$2,'Rozpočet - HW a licencie'!$C$3:$C$102,"SW",'Rozpočet - HW a licencie'!$G$3:$G$102,'TCO TO BE- SW'!$D12,'Rozpočet - HW a licencie'!$D$3:$D$102,$B$6),)</f>
        <v>0</v>
      </c>
      <c r="L12" s="576">
        <f>IFERROR(SUMIFS('Rozpočet - HW a licencie'!$I$3:$I$102,'Rozpočet - HW a licencie'!$A$3:$A$102,'TCO TO BE- SW'!L$2,'Rozpočet - HW a licencie'!$C$3:$C$102,"SW",'Rozpočet - HW a licencie'!$G$3:$G$102,'TCO TO BE- SW'!$D12,'Rozpočet - HW a licencie'!$D$3:$D$102,$B$6),)</f>
        <v>0</v>
      </c>
      <c r="M12" s="576">
        <f>IFERROR(SUMIFS('Rozpočet - HW a licencie'!$I$3:$I$102,'Rozpočet - HW a licencie'!$A$3:$A$102,'TCO TO BE- SW'!M$2,'Rozpočet - HW a licencie'!$C$3:$C$102,"SW",'Rozpočet - HW a licencie'!$G$3:$G$102,'TCO TO BE- SW'!$D12,'Rozpočet - HW a licencie'!$D$3:$D$102,$B$6),)</f>
        <v>0</v>
      </c>
      <c r="N12" s="576">
        <f>IFERROR(SUMIFS('Rozpočet - HW a licencie'!$I$3:$I$102,'Rozpočet - HW a licencie'!$A$3:$A$102,'TCO TO BE- SW'!N$2,'Rozpočet - HW a licencie'!$C$3:$C$102,"SW",'Rozpočet - HW a licencie'!$G$3:$G$102,'TCO TO BE- SW'!$D12,'Rozpočet - HW a licencie'!$D$3:$D$102,$B$6),)</f>
        <v>0</v>
      </c>
      <c r="O12" s="576">
        <f>IFERROR(SUMIFS('Rozpočet - HW a licencie'!$I$3:$I$102,'Rozpočet - HW a licencie'!$A$3:$A$102,'TCO TO BE- SW'!O$2,'Rozpočet - HW a licencie'!$C$3:$C$102,"SW",'Rozpočet - HW a licencie'!$G$3:$G$102,'TCO TO BE- SW'!$D12,'Rozpočet - HW a licencie'!$D$3:$D$102,$B$6),)</f>
        <v>0</v>
      </c>
      <c r="P12" s="576">
        <f>IFERROR(SUMIFS('Rozpočet - HW a licencie'!$I$3:$I$102,'Rozpočet - HW a licencie'!$A$3:$A$102,'TCO TO BE- SW'!P$2,'Rozpočet - HW a licencie'!$C$3:$C$102,"SW",'Rozpočet - HW a licencie'!$G$3:$G$102,'TCO TO BE- SW'!$D12,'Rozpočet - HW a licencie'!$D$3:$D$102,$B$6),)</f>
        <v>0</v>
      </c>
      <c r="Q12" s="576">
        <f>IFERROR(SUMIFS('Rozpočet - HW a licencie'!$I$3:$I$102,'Rozpočet - HW a licencie'!$A$3:$A$102,'TCO TO BE- SW'!Q$2,'Rozpočet - HW a licencie'!$C$3:$C$102,"SW",'Rozpočet - HW a licencie'!$G$3:$G$102,'TCO TO BE- SW'!$D12,'Rozpočet - HW a licencie'!$D$3:$D$102,$B$6),)</f>
        <v>0</v>
      </c>
      <c r="R12" s="576">
        <f>IFERROR(SUMIFS('Rozpočet - HW a licencie'!$I$3:$I$102,'Rozpočet - HW a licencie'!$A$3:$A$102,'TCO TO BE- SW'!R$2,'Rozpočet - HW a licencie'!$C$3:$C$102,"SW",'Rozpočet - HW a licencie'!$G$3:$G$102,'TCO TO BE- SW'!$D12,'Rozpočet - HW a licencie'!$D$3:$D$102,$B$6),)</f>
        <v>0</v>
      </c>
      <c r="S12" s="576">
        <f>IFERROR(SUMIFS('Rozpočet - HW a licencie'!$I$3:$I$102,'Rozpočet - HW a licencie'!$A$3:$A$102,'TCO TO BE- SW'!S$2,'Rozpočet - HW a licencie'!$C$3:$C$102,"SW",'Rozpočet - HW a licencie'!$G$3:$G$102,'TCO TO BE- SW'!$D12,'Rozpočet - HW a licencie'!$D$3:$D$102,$B$6),)</f>
        <v>0</v>
      </c>
      <c r="T12" s="576">
        <f>IFERROR(SUMIFS('Rozpočet - HW a licencie'!$I$3:$I$102,'Rozpočet - HW a licencie'!$A$3:$A$102,'TCO TO BE- SW'!T$2,'Rozpočet - HW a licencie'!$C$3:$C$102,"SW",'Rozpočet - HW a licencie'!$G$3:$G$102,'TCO TO BE- SW'!$D12,'Rozpočet - HW a licencie'!$D$3:$D$102,$B$6),)</f>
        <v>0</v>
      </c>
      <c r="U12" s="576">
        <f>IFERROR(SUMIFS('Rozpočet - HW a licencie'!$I$3:$I$102,'Rozpočet - HW a licencie'!$A$3:$A$102,'TCO TO BE- SW'!U$2,'Rozpočet - HW a licencie'!$C$3:$C$102,"SW",'Rozpočet - HW a licencie'!$G$3:$G$102,'TCO TO BE- SW'!$D12,'Rozpočet - HW a licencie'!$D$3:$D$102,$B$6),)</f>
        <v>0</v>
      </c>
      <c r="V12" s="576">
        <f>IFERROR(SUMIFS('Rozpočet - HW a licencie'!$I$3:$I$102,'Rozpočet - HW a licencie'!$A$3:$A$102,'TCO TO BE- SW'!V$2,'Rozpočet - HW a licencie'!$C$3:$C$102,"SW",'Rozpočet - HW a licencie'!$G$3:$G$102,'TCO TO BE- SW'!$D12,'Rozpočet - HW a licencie'!$D$3:$D$102,$B$6),)</f>
        <v>0</v>
      </c>
      <c r="W12" s="576">
        <f>IFERROR(SUMIFS('Rozpočet - HW a licencie'!$I$3:$I$102,'Rozpočet - HW a licencie'!$A$3:$A$102,'TCO TO BE- SW'!W$2,'Rozpočet - HW a licencie'!$C$3:$C$102,"SW",'Rozpočet - HW a licencie'!$G$3:$G$102,'TCO TO BE- SW'!$D12,'Rozpočet - HW a licencie'!$D$3:$D$102,$B$6),)</f>
        <v>0</v>
      </c>
      <c r="X12" s="576">
        <f>IFERROR(SUMIFS('Rozpočet - HW a licencie'!$I$3:$I$102,'Rozpočet - HW a licencie'!$A$3:$A$102,'TCO TO BE- SW'!X$2,'Rozpočet - HW a licencie'!$C$3:$C$102,"SW",'Rozpočet - HW a licencie'!$G$3:$G$102,'TCO TO BE- SW'!$D12,'Rozpočet - HW a licencie'!$D$3:$D$102,$B$6),)</f>
        <v>0</v>
      </c>
      <c r="Y12" s="576">
        <f>IFERROR(SUMIFS('Rozpočet - HW a licencie'!$I$3:$I$102,'Rozpočet - HW a licencie'!$A$3:$A$102,'TCO TO BE- SW'!Y$2,'Rozpočet - HW a licencie'!$C$3:$C$102,"SW",'Rozpočet - HW a licencie'!$G$3:$G$102,'TCO TO BE- SW'!$D12,'Rozpočet - HW a licencie'!$D$3:$D$102,$B$6),)</f>
        <v>0</v>
      </c>
      <c r="Z12" s="576">
        <f>IFERROR(SUMIFS('Rozpočet - HW a licencie'!$I$3:$I$102,'Rozpočet - HW a licencie'!$A$3:$A$102,'TCO TO BE- SW'!Z$2,'Rozpočet - HW a licencie'!$C$3:$C$102,"SW",'Rozpočet - HW a licencie'!$G$3:$G$102,'TCO TO BE- SW'!$D12,'Rozpočet - HW a licencie'!$D$3:$D$102,$B$6),)</f>
        <v>0</v>
      </c>
    </row>
    <row r="13" spans="1:26" hidden="1" outlineLevel="2">
      <c r="A13" s="875"/>
      <c r="B13" s="876"/>
      <c r="C13" s="876"/>
      <c r="D13" s="64">
        <v>8</v>
      </c>
      <c r="E13" s="61">
        <f t="shared" si="4"/>
        <v>0</v>
      </c>
      <c r="F13" s="576">
        <f>IFERROR(SUMIFS('Rozpočet - HW a licencie'!$I$3:$I$102,'Rozpočet - HW a licencie'!$A$3:$A$102,'TCO TO BE- SW'!F$2,'Rozpočet - HW a licencie'!$C$3:$C$102,"SW",'Rozpočet - HW a licencie'!$G$3:$G$102,'TCO TO BE- SW'!$D13,'Rozpočet - HW a licencie'!$D$3:$D$102,$B$6),)</f>
        <v>0</v>
      </c>
      <c r="G13" s="576">
        <f>IFERROR(SUMIFS('Rozpočet - HW a licencie'!$I$3:$I$102,'Rozpočet - HW a licencie'!$A$3:$A$102,'TCO TO BE- SW'!G$2,'Rozpočet - HW a licencie'!$C$3:$C$102,"SW",'Rozpočet - HW a licencie'!$G$3:$G$102,'TCO TO BE- SW'!$D13,'Rozpočet - HW a licencie'!$D$3:$D$102,$B$6),)</f>
        <v>0</v>
      </c>
      <c r="H13" s="576">
        <f>IFERROR(SUMIFS('Rozpočet - HW a licencie'!$I$3:$I$102,'Rozpočet - HW a licencie'!$A$3:$A$102,'TCO TO BE- SW'!H$2,'Rozpočet - HW a licencie'!$C$3:$C$102,"SW",'Rozpočet - HW a licencie'!$G$3:$G$102,'TCO TO BE- SW'!$D13,'Rozpočet - HW a licencie'!$D$3:$D$102,$B$6),)</f>
        <v>0</v>
      </c>
      <c r="I13" s="576">
        <f>IFERROR(SUMIFS('Rozpočet - HW a licencie'!$I$3:$I$102,'Rozpočet - HW a licencie'!$A$3:$A$102,'TCO TO BE- SW'!I$2,'Rozpočet - HW a licencie'!$C$3:$C$102,"SW",'Rozpočet - HW a licencie'!$G$3:$G$102,'TCO TO BE- SW'!$D13,'Rozpočet - HW a licencie'!$D$3:$D$102,$B$6),)</f>
        <v>0</v>
      </c>
      <c r="J13" s="576">
        <f>IFERROR(SUMIFS('Rozpočet - HW a licencie'!$I$3:$I$102,'Rozpočet - HW a licencie'!$A$3:$A$102,'TCO TO BE- SW'!J$2,'Rozpočet - HW a licencie'!$C$3:$C$102,"SW",'Rozpočet - HW a licencie'!$G$3:$G$102,'TCO TO BE- SW'!$D13,'Rozpočet - HW a licencie'!$D$3:$D$102,$B$6),)</f>
        <v>0</v>
      </c>
      <c r="K13" s="576">
        <f>IFERROR(SUMIFS('Rozpočet - HW a licencie'!$I$3:$I$102,'Rozpočet - HW a licencie'!$A$3:$A$102,'TCO TO BE- SW'!K$2,'Rozpočet - HW a licencie'!$C$3:$C$102,"SW",'Rozpočet - HW a licencie'!$G$3:$G$102,'TCO TO BE- SW'!$D13,'Rozpočet - HW a licencie'!$D$3:$D$102,$B$6),)</f>
        <v>0</v>
      </c>
      <c r="L13" s="576">
        <f>IFERROR(SUMIFS('Rozpočet - HW a licencie'!$I$3:$I$102,'Rozpočet - HW a licencie'!$A$3:$A$102,'TCO TO BE- SW'!L$2,'Rozpočet - HW a licencie'!$C$3:$C$102,"SW",'Rozpočet - HW a licencie'!$G$3:$G$102,'TCO TO BE- SW'!$D13,'Rozpočet - HW a licencie'!$D$3:$D$102,$B$6),)</f>
        <v>0</v>
      </c>
      <c r="M13" s="576">
        <f>IFERROR(SUMIFS('Rozpočet - HW a licencie'!$I$3:$I$102,'Rozpočet - HW a licencie'!$A$3:$A$102,'TCO TO BE- SW'!M$2,'Rozpočet - HW a licencie'!$C$3:$C$102,"SW",'Rozpočet - HW a licencie'!$G$3:$G$102,'TCO TO BE- SW'!$D13,'Rozpočet - HW a licencie'!$D$3:$D$102,$B$6),)</f>
        <v>0</v>
      </c>
      <c r="N13" s="576">
        <f>IFERROR(SUMIFS('Rozpočet - HW a licencie'!$I$3:$I$102,'Rozpočet - HW a licencie'!$A$3:$A$102,'TCO TO BE- SW'!N$2,'Rozpočet - HW a licencie'!$C$3:$C$102,"SW",'Rozpočet - HW a licencie'!$G$3:$G$102,'TCO TO BE- SW'!$D13,'Rozpočet - HW a licencie'!$D$3:$D$102,$B$6),)</f>
        <v>0</v>
      </c>
      <c r="O13" s="576">
        <f>IFERROR(SUMIFS('Rozpočet - HW a licencie'!$I$3:$I$102,'Rozpočet - HW a licencie'!$A$3:$A$102,'TCO TO BE- SW'!O$2,'Rozpočet - HW a licencie'!$C$3:$C$102,"SW",'Rozpočet - HW a licencie'!$G$3:$G$102,'TCO TO BE- SW'!$D13,'Rozpočet - HW a licencie'!$D$3:$D$102,$B$6),)</f>
        <v>0</v>
      </c>
      <c r="P13" s="576">
        <f>IFERROR(SUMIFS('Rozpočet - HW a licencie'!$I$3:$I$102,'Rozpočet - HW a licencie'!$A$3:$A$102,'TCO TO BE- SW'!P$2,'Rozpočet - HW a licencie'!$C$3:$C$102,"SW",'Rozpočet - HW a licencie'!$G$3:$G$102,'TCO TO BE- SW'!$D13,'Rozpočet - HW a licencie'!$D$3:$D$102,$B$6),)</f>
        <v>0</v>
      </c>
      <c r="Q13" s="576">
        <f>IFERROR(SUMIFS('Rozpočet - HW a licencie'!$I$3:$I$102,'Rozpočet - HW a licencie'!$A$3:$A$102,'TCO TO BE- SW'!Q$2,'Rozpočet - HW a licencie'!$C$3:$C$102,"SW",'Rozpočet - HW a licencie'!$G$3:$G$102,'TCO TO BE- SW'!$D13,'Rozpočet - HW a licencie'!$D$3:$D$102,$B$6),)</f>
        <v>0</v>
      </c>
      <c r="R13" s="576">
        <f>IFERROR(SUMIFS('Rozpočet - HW a licencie'!$I$3:$I$102,'Rozpočet - HW a licencie'!$A$3:$A$102,'TCO TO BE- SW'!R$2,'Rozpočet - HW a licencie'!$C$3:$C$102,"SW",'Rozpočet - HW a licencie'!$G$3:$G$102,'TCO TO BE- SW'!$D13,'Rozpočet - HW a licencie'!$D$3:$D$102,$B$6),)</f>
        <v>0</v>
      </c>
      <c r="S13" s="576">
        <f>IFERROR(SUMIFS('Rozpočet - HW a licencie'!$I$3:$I$102,'Rozpočet - HW a licencie'!$A$3:$A$102,'TCO TO BE- SW'!S$2,'Rozpočet - HW a licencie'!$C$3:$C$102,"SW",'Rozpočet - HW a licencie'!$G$3:$G$102,'TCO TO BE- SW'!$D13,'Rozpočet - HW a licencie'!$D$3:$D$102,$B$6),)</f>
        <v>0</v>
      </c>
      <c r="T13" s="576">
        <f>IFERROR(SUMIFS('Rozpočet - HW a licencie'!$I$3:$I$102,'Rozpočet - HW a licencie'!$A$3:$A$102,'TCO TO BE- SW'!T$2,'Rozpočet - HW a licencie'!$C$3:$C$102,"SW",'Rozpočet - HW a licencie'!$G$3:$G$102,'TCO TO BE- SW'!$D13,'Rozpočet - HW a licencie'!$D$3:$D$102,$B$6),)</f>
        <v>0</v>
      </c>
      <c r="U13" s="576">
        <f>IFERROR(SUMIFS('Rozpočet - HW a licencie'!$I$3:$I$102,'Rozpočet - HW a licencie'!$A$3:$A$102,'TCO TO BE- SW'!U$2,'Rozpočet - HW a licencie'!$C$3:$C$102,"SW",'Rozpočet - HW a licencie'!$G$3:$G$102,'TCO TO BE- SW'!$D13,'Rozpočet - HW a licencie'!$D$3:$D$102,$B$6),)</f>
        <v>0</v>
      </c>
      <c r="V13" s="576">
        <f>IFERROR(SUMIFS('Rozpočet - HW a licencie'!$I$3:$I$102,'Rozpočet - HW a licencie'!$A$3:$A$102,'TCO TO BE- SW'!V$2,'Rozpočet - HW a licencie'!$C$3:$C$102,"SW",'Rozpočet - HW a licencie'!$G$3:$G$102,'TCO TO BE- SW'!$D13,'Rozpočet - HW a licencie'!$D$3:$D$102,$B$6),)</f>
        <v>0</v>
      </c>
      <c r="W13" s="576">
        <f>IFERROR(SUMIFS('Rozpočet - HW a licencie'!$I$3:$I$102,'Rozpočet - HW a licencie'!$A$3:$A$102,'TCO TO BE- SW'!W$2,'Rozpočet - HW a licencie'!$C$3:$C$102,"SW",'Rozpočet - HW a licencie'!$G$3:$G$102,'TCO TO BE- SW'!$D13,'Rozpočet - HW a licencie'!$D$3:$D$102,$B$6),)</f>
        <v>0</v>
      </c>
      <c r="X13" s="576">
        <f>IFERROR(SUMIFS('Rozpočet - HW a licencie'!$I$3:$I$102,'Rozpočet - HW a licencie'!$A$3:$A$102,'TCO TO BE- SW'!X$2,'Rozpočet - HW a licencie'!$C$3:$C$102,"SW",'Rozpočet - HW a licencie'!$G$3:$G$102,'TCO TO BE- SW'!$D13,'Rozpočet - HW a licencie'!$D$3:$D$102,$B$6),)</f>
        <v>0</v>
      </c>
      <c r="Y13" s="576">
        <f>IFERROR(SUMIFS('Rozpočet - HW a licencie'!$I$3:$I$102,'Rozpočet - HW a licencie'!$A$3:$A$102,'TCO TO BE- SW'!Y$2,'Rozpočet - HW a licencie'!$C$3:$C$102,"SW",'Rozpočet - HW a licencie'!$G$3:$G$102,'TCO TO BE- SW'!$D13,'Rozpočet - HW a licencie'!$D$3:$D$102,$B$6),)</f>
        <v>0</v>
      </c>
      <c r="Z13" s="576">
        <f>IFERROR(SUMIFS('Rozpočet - HW a licencie'!$I$3:$I$102,'Rozpočet - HW a licencie'!$A$3:$A$102,'TCO TO BE- SW'!Z$2,'Rozpočet - HW a licencie'!$C$3:$C$102,"SW",'Rozpočet - HW a licencie'!$G$3:$G$102,'TCO TO BE- SW'!$D13,'Rozpočet - HW a licencie'!$D$3:$D$102,$B$6),)</f>
        <v>0</v>
      </c>
    </row>
    <row r="14" spans="1:26" hidden="1" outlineLevel="2">
      <c r="A14" s="875"/>
      <c r="B14" s="876"/>
      <c r="C14" s="876"/>
      <c r="D14" s="64">
        <v>9</v>
      </c>
      <c r="E14" s="61">
        <f t="shared" si="4"/>
        <v>0</v>
      </c>
      <c r="F14" s="576">
        <f>IFERROR(SUMIFS('Rozpočet - HW a licencie'!$I$3:$I$102,'Rozpočet - HW a licencie'!$A$3:$A$102,'TCO TO BE- SW'!F$2,'Rozpočet - HW a licencie'!$C$3:$C$102,"SW",'Rozpočet - HW a licencie'!$G$3:$G$102,'TCO TO BE- SW'!$D14,'Rozpočet - HW a licencie'!$D$3:$D$102,$B$6),)</f>
        <v>0</v>
      </c>
      <c r="G14" s="576">
        <f>IFERROR(SUMIFS('Rozpočet - HW a licencie'!$I$3:$I$102,'Rozpočet - HW a licencie'!$A$3:$A$102,'TCO TO BE- SW'!G$2,'Rozpočet - HW a licencie'!$C$3:$C$102,"SW",'Rozpočet - HW a licencie'!$G$3:$G$102,'TCO TO BE- SW'!$D14,'Rozpočet - HW a licencie'!$D$3:$D$102,$B$6),)</f>
        <v>0</v>
      </c>
      <c r="H14" s="576">
        <f>IFERROR(SUMIFS('Rozpočet - HW a licencie'!$I$3:$I$102,'Rozpočet - HW a licencie'!$A$3:$A$102,'TCO TO BE- SW'!H$2,'Rozpočet - HW a licencie'!$C$3:$C$102,"SW",'Rozpočet - HW a licencie'!$G$3:$G$102,'TCO TO BE- SW'!$D14,'Rozpočet - HW a licencie'!$D$3:$D$102,$B$6),)</f>
        <v>0</v>
      </c>
      <c r="I14" s="576">
        <f>IFERROR(SUMIFS('Rozpočet - HW a licencie'!$I$3:$I$102,'Rozpočet - HW a licencie'!$A$3:$A$102,'TCO TO BE- SW'!I$2,'Rozpočet - HW a licencie'!$C$3:$C$102,"SW",'Rozpočet - HW a licencie'!$G$3:$G$102,'TCO TO BE- SW'!$D14,'Rozpočet - HW a licencie'!$D$3:$D$102,$B$6),)</f>
        <v>0</v>
      </c>
      <c r="J14" s="576">
        <f>IFERROR(SUMIFS('Rozpočet - HW a licencie'!$I$3:$I$102,'Rozpočet - HW a licencie'!$A$3:$A$102,'TCO TO BE- SW'!J$2,'Rozpočet - HW a licencie'!$C$3:$C$102,"SW",'Rozpočet - HW a licencie'!$G$3:$G$102,'TCO TO BE- SW'!$D14,'Rozpočet - HW a licencie'!$D$3:$D$102,$B$6),)</f>
        <v>0</v>
      </c>
      <c r="K14" s="576">
        <f>IFERROR(SUMIFS('Rozpočet - HW a licencie'!$I$3:$I$102,'Rozpočet - HW a licencie'!$A$3:$A$102,'TCO TO BE- SW'!K$2,'Rozpočet - HW a licencie'!$C$3:$C$102,"SW",'Rozpočet - HW a licencie'!$G$3:$G$102,'TCO TO BE- SW'!$D14,'Rozpočet - HW a licencie'!$D$3:$D$102,$B$6),)</f>
        <v>0</v>
      </c>
      <c r="L14" s="576">
        <f>IFERROR(SUMIFS('Rozpočet - HW a licencie'!$I$3:$I$102,'Rozpočet - HW a licencie'!$A$3:$A$102,'TCO TO BE- SW'!L$2,'Rozpočet - HW a licencie'!$C$3:$C$102,"SW",'Rozpočet - HW a licencie'!$G$3:$G$102,'TCO TO BE- SW'!$D14,'Rozpočet - HW a licencie'!$D$3:$D$102,$B$6),)</f>
        <v>0</v>
      </c>
      <c r="M14" s="576">
        <f>IFERROR(SUMIFS('Rozpočet - HW a licencie'!$I$3:$I$102,'Rozpočet - HW a licencie'!$A$3:$A$102,'TCO TO BE- SW'!M$2,'Rozpočet - HW a licencie'!$C$3:$C$102,"SW",'Rozpočet - HW a licencie'!$G$3:$G$102,'TCO TO BE- SW'!$D14,'Rozpočet - HW a licencie'!$D$3:$D$102,$B$6),)</f>
        <v>0</v>
      </c>
      <c r="N14" s="576">
        <f>IFERROR(SUMIFS('Rozpočet - HW a licencie'!$I$3:$I$102,'Rozpočet - HW a licencie'!$A$3:$A$102,'TCO TO BE- SW'!N$2,'Rozpočet - HW a licencie'!$C$3:$C$102,"SW",'Rozpočet - HW a licencie'!$G$3:$G$102,'TCO TO BE- SW'!$D14,'Rozpočet - HW a licencie'!$D$3:$D$102,$B$6),)</f>
        <v>0</v>
      </c>
      <c r="O14" s="576">
        <f>IFERROR(SUMIFS('Rozpočet - HW a licencie'!$I$3:$I$102,'Rozpočet - HW a licencie'!$A$3:$A$102,'TCO TO BE- SW'!O$2,'Rozpočet - HW a licencie'!$C$3:$C$102,"SW",'Rozpočet - HW a licencie'!$G$3:$G$102,'TCO TO BE- SW'!$D14,'Rozpočet - HW a licencie'!$D$3:$D$102,$B$6),)</f>
        <v>0</v>
      </c>
      <c r="P14" s="576">
        <f>IFERROR(SUMIFS('Rozpočet - HW a licencie'!$I$3:$I$102,'Rozpočet - HW a licencie'!$A$3:$A$102,'TCO TO BE- SW'!P$2,'Rozpočet - HW a licencie'!$C$3:$C$102,"SW",'Rozpočet - HW a licencie'!$G$3:$G$102,'TCO TO BE- SW'!$D14,'Rozpočet - HW a licencie'!$D$3:$D$102,$B$6),)</f>
        <v>0</v>
      </c>
      <c r="Q14" s="576">
        <f>IFERROR(SUMIFS('Rozpočet - HW a licencie'!$I$3:$I$102,'Rozpočet - HW a licencie'!$A$3:$A$102,'TCO TO BE- SW'!Q$2,'Rozpočet - HW a licencie'!$C$3:$C$102,"SW",'Rozpočet - HW a licencie'!$G$3:$G$102,'TCO TO BE- SW'!$D14,'Rozpočet - HW a licencie'!$D$3:$D$102,$B$6),)</f>
        <v>0</v>
      </c>
      <c r="R14" s="576">
        <f>IFERROR(SUMIFS('Rozpočet - HW a licencie'!$I$3:$I$102,'Rozpočet - HW a licencie'!$A$3:$A$102,'TCO TO BE- SW'!R$2,'Rozpočet - HW a licencie'!$C$3:$C$102,"SW",'Rozpočet - HW a licencie'!$G$3:$G$102,'TCO TO BE- SW'!$D14,'Rozpočet - HW a licencie'!$D$3:$D$102,$B$6),)</f>
        <v>0</v>
      </c>
      <c r="S14" s="576">
        <f>IFERROR(SUMIFS('Rozpočet - HW a licencie'!$I$3:$I$102,'Rozpočet - HW a licencie'!$A$3:$A$102,'TCO TO BE- SW'!S$2,'Rozpočet - HW a licencie'!$C$3:$C$102,"SW",'Rozpočet - HW a licencie'!$G$3:$G$102,'TCO TO BE- SW'!$D14,'Rozpočet - HW a licencie'!$D$3:$D$102,$B$6),)</f>
        <v>0</v>
      </c>
      <c r="T14" s="576">
        <f>IFERROR(SUMIFS('Rozpočet - HW a licencie'!$I$3:$I$102,'Rozpočet - HW a licencie'!$A$3:$A$102,'TCO TO BE- SW'!T$2,'Rozpočet - HW a licencie'!$C$3:$C$102,"SW",'Rozpočet - HW a licencie'!$G$3:$G$102,'TCO TO BE- SW'!$D14,'Rozpočet - HW a licencie'!$D$3:$D$102,$B$6),)</f>
        <v>0</v>
      </c>
      <c r="U14" s="576">
        <f>IFERROR(SUMIFS('Rozpočet - HW a licencie'!$I$3:$I$102,'Rozpočet - HW a licencie'!$A$3:$A$102,'TCO TO BE- SW'!U$2,'Rozpočet - HW a licencie'!$C$3:$C$102,"SW",'Rozpočet - HW a licencie'!$G$3:$G$102,'TCO TO BE- SW'!$D14,'Rozpočet - HW a licencie'!$D$3:$D$102,$B$6),)</f>
        <v>0</v>
      </c>
      <c r="V14" s="576">
        <f>IFERROR(SUMIFS('Rozpočet - HW a licencie'!$I$3:$I$102,'Rozpočet - HW a licencie'!$A$3:$A$102,'TCO TO BE- SW'!V$2,'Rozpočet - HW a licencie'!$C$3:$C$102,"SW",'Rozpočet - HW a licencie'!$G$3:$G$102,'TCO TO BE- SW'!$D14,'Rozpočet - HW a licencie'!$D$3:$D$102,$B$6),)</f>
        <v>0</v>
      </c>
      <c r="W14" s="576">
        <f>IFERROR(SUMIFS('Rozpočet - HW a licencie'!$I$3:$I$102,'Rozpočet - HW a licencie'!$A$3:$A$102,'TCO TO BE- SW'!W$2,'Rozpočet - HW a licencie'!$C$3:$C$102,"SW",'Rozpočet - HW a licencie'!$G$3:$G$102,'TCO TO BE- SW'!$D14,'Rozpočet - HW a licencie'!$D$3:$D$102,$B$6),)</f>
        <v>0</v>
      </c>
      <c r="X14" s="576">
        <f>IFERROR(SUMIFS('Rozpočet - HW a licencie'!$I$3:$I$102,'Rozpočet - HW a licencie'!$A$3:$A$102,'TCO TO BE- SW'!X$2,'Rozpočet - HW a licencie'!$C$3:$C$102,"SW",'Rozpočet - HW a licencie'!$G$3:$G$102,'TCO TO BE- SW'!$D14,'Rozpočet - HW a licencie'!$D$3:$D$102,$B$6),)</f>
        <v>0</v>
      </c>
      <c r="Y14" s="576">
        <f>IFERROR(SUMIFS('Rozpočet - HW a licencie'!$I$3:$I$102,'Rozpočet - HW a licencie'!$A$3:$A$102,'TCO TO BE- SW'!Y$2,'Rozpočet - HW a licencie'!$C$3:$C$102,"SW",'Rozpočet - HW a licencie'!$G$3:$G$102,'TCO TO BE- SW'!$D14,'Rozpočet - HW a licencie'!$D$3:$D$102,$B$6),)</f>
        <v>0</v>
      </c>
      <c r="Z14" s="576">
        <f>IFERROR(SUMIFS('Rozpočet - HW a licencie'!$I$3:$I$102,'Rozpočet - HW a licencie'!$A$3:$A$102,'TCO TO BE- SW'!Z$2,'Rozpočet - HW a licencie'!$C$3:$C$102,"SW",'Rozpočet - HW a licencie'!$G$3:$G$102,'TCO TO BE- SW'!$D14,'Rozpočet - HW a licencie'!$D$3:$D$102,$B$6),)</f>
        <v>0</v>
      </c>
    </row>
    <row r="15" spans="1:26" ht="15.75" hidden="1" outlineLevel="2" thickBot="1">
      <c r="A15" s="875"/>
      <c r="B15" s="876"/>
      <c r="C15" s="876"/>
      <c r="D15" s="65">
        <v>10</v>
      </c>
      <c r="E15" s="61">
        <f t="shared" si="4"/>
        <v>0</v>
      </c>
      <c r="F15" s="577">
        <f>IFERROR(SUMIFS('Rozpočet - HW a licencie'!$I$3:$I$102,'Rozpočet - HW a licencie'!$A$3:$A$102,'TCO TO BE- SW'!F$2,'Rozpočet - HW a licencie'!$C$3:$C$102,"SW",'Rozpočet - HW a licencie'!$G$3:$G$102,'TCO TO BE- SW'!$D15,'Rozpočet - HW a licencie'!$D$3:$D$102,$B$6),)</f>
        <v>0</v>
      </c>
      <c r="G15" s="577">
        <f>IFERROR(SUMIFS('Rozpočet - HW a licencie'!$I$3:$I$102,'Rozpočet - HW a licencie'!$A$3:$A$102,'TCO TO BE- SW'!G$2,'Rozpočet - HW a licencie'!$C$3:$C$102,"SW",'Rozpočet - HW a licencie'!$G$3:$G$102,'TCO TO BE- SW'!$D15,'Rozpočet - HW a licencie'!$D$3:$D$102,$B$6),)</f>
        <v>0</v>
      </c>
      <c r="H15" s="577">
        <f>IFERROR(SUMIFS('Rozpočet - HW a licencie'!$I$3:$I$102,'Rozpočet - HW a licencie'!$A$3:$A$102,'TCO TO BE- SW'!H$2,'Rozpočet - HW a licencie'!$C$3:$C$102,"SW",'Rozpočet - HW a licencie'!$G$3:$G$102,'TCO TO BE- SW'!$D15,'Rozpočet - HW a licencie'!$D$3:$D$102,$B$6),)</f>
        <v>0</v>
      </c>
      <c r="I15" s="577">
        <f>IFERROR(SUMIFS('Rozpočet - HW a licencie'!$I$3:$I$102,'Rozpočet - HW a licencie'!$A$3:$A$102,'TCO TO BE- SW'!I$2,'Rozpočet - HW a licencie'!$C$3:$C$102,"SW",'Rozpočet - HW a licencie'!$G$3:$G$102,'TCO TO BE- SW'!$D15,'Rozpočet - HW a licencie'!$D$3:$D$102,$B$6),)</f>
        <v>0</v>
      </c>
      <c r="J15" s="577">
        <f>IFERROR(SUMIFS('Rozpočet - HW a licencie'!$I$3:$I$102,'Rozpočet - HW a licencie'!$A$3:$A$102,'TCO TO BE- SW'!J$2,'Rozpočet - HW a licencie'!$C$3:$C$102,"SW",'Rozpočet - HW a licencie'!$G$3:$G$102,'TCO TO BE- SW'!$D15,'Rozpočet - HW a licencie'!$D$3:$D$102,$B$6),)</f>
        <v>0</v>
      </c>
      <c r="K15" s="577">
        <f>IFERROR(SUMIFS('Rozpočet - HW a licencie'!$I$3:$I$102,'Rozpočet - HW a licencie'!$A$3:$A$102,'TCO TO BE- SW'!K$2,'Rozpočet - HW a licencie'!$C$3:$C$102,"SW",'Rozpočet - HW a licencie'!$G$3:$G$102,'TCO TO BE- SW'!$D15,'Rozpočet - HW a licencie'!$D$3:$D$102,$B$6),)</f>
        <v>0</v>
      </c>
      <c r="L15" s="577">
        <f>IFERROR(SUMIFS('Rozpočet - HW a licencie'!$I$3:$I$102,'Rozpočet - HW a licencie'!$A$3:$A$102,'TCO TO BE- SW'!L$2,'Rozpočet - HW a licencie'!$C$3:$C$102,"SW",'Rozpočet - HW a licencie'!$G$3:$G$102,'TCO TO BE- SW'!$D15,'Rozpočet - HW a licencie'!$D$3:$D$102,$B$6),)</f>
        <v>0</v>
      </c>
      <c r="M15" s="577">
        <f>IFERROR(SUMIFS('Rozpočet - HW a licencie'!$I$3:$I$102,'Rozpočet - HW a licencie'!$A$3:$A$102,'TCO TO BE- SW'!M$2,'Rozpočet - HW a licencie'!$C$3:$C$102,"SW",'Rozpočet - HW a licencie'!$G$3:$G$102,'TCO TO BE- SW'!$D15,'Rozpočet - HW a licencie'!$D$3:$D$102,$B$6),)</f>
        <v>0</v>
      </c>
      <c r="N15" s="577">
        <f>IFERROR(SUMIFS('Rozpočet - HW a licencie'!$I$3:$I$102,'Rozpočet - HW a licencie'!$A$3:$A$102,'TCO TO BE- SW'!N$2,'Rozpočet - HW a licencie'!$C$3:$C$102,"SW",'Rozpočet - HW a licencie'!$G$3:$G$102,'TCO TO BE- SW'!$D15,'Rozpočet - HW a licencie'!$D$3:$D$102,$B$6),)</f>
        <v>0</v>
      </c>
      <c r="O15" s="577">
        <f>IFERROR(SUMIFS('Rozpočet - HW a licencie'!$I$3:$I$102,'Rozpočet - HW a licencie'!$A$3:$A$102,'TCO TO BE- SW'!O$2,'Rozpočet - HW a licencie'!$C$3:$C$102,"SW",'Rozpočet - HW a licencie'!$G$3:$G$102,'TCO TO BE- SW'!$D15,'Rozpočet - HW a licencie'!$D$3:$D$102,$B$6),)</f>
        <v>0</v>
      </c>
      <c r="P15" s="577">
        <f>IFERROR(SUMIFS('Rozpočet - HW a licencie'!$I$3:$I$102,'Rozpočet - HW a licencie'!$A$3:$A$102,'TCO TO BE- SW'!P$2,'Rozpočet - HW a licencie'!$C$3:$C$102,"SW",'Rozpočet - HW a licencie'!$G$3:$G$102,'TCO TO BE- SW'!$D15,'Rozpočet - HW a licencie'!$D$3:$D$102,$B$6),)</f>
        <v>0</v>
      </c>
      <c r="Q15" s="577">
        <f>IFERROR(SUMIFS('Rozpočet - HW a licencie'!$I$3:$I$102,'Rozpočet - HW a licencie'!$A$3:$A$102,'TCO TO BE- SW'!Q$2,'Rozpočet - HW a licencie'!$C$3:$C$102,"SW",'Rozpočet - HW a licencie'!$G$3:$G$102,'TCO TO BE- SW'!$D15,'Rozpočet - HW a licencie'!$D$3:$D$102,$B$6),)</f>
        <v>0</v>
      </c>
      <c r="R15" s="577">
        <f>IFERROR(SUMIFS('Rozpočet - HW a licencie'!$I$3:$I$102,'Rozpočet - HW a licencie'!$A$3:$A$102,'TCO TO BE- SW'!R$2,'Rozpočet - HW a licencie'!$C$3:$C$102,"SW",'Rozpočet - HW a licencie'!$G$3:$G$102,'TCO TO BE- SW'!$D15,'Rozpočet - HW a licencie'!$D$3:$D$102,$B$6),)</f>
        <v>0</v>
      </c>
      <c r="S15" s="577">
        <f>IFERROR(SUMIFS('Rozpočet - HW a licencie'!$I$3:$I$102,'Rozpočet - HW a licencie'!$A$3:$A$102,'TCO TO BE- SW'!S$2,'Rozpočet - HW a licencie'!$C$3:$C$102,"SW",'Rozpočet - HW a licencie'!$G$3:$G$102,'TCO TO BE- SW'!$D15,'Rozpočet - HW a licencie'!$D$3:$D$102,$B$6),)</f>
        <v>0</v>
      </c>
      <c r="T15" s="577">
        <f>IFERROR(SUMIFS('Rozpočet - HW a licencie'!$I$3:$I$102,'Rozpočet - HW a licencie'!$A$3:$A$102,'TCO TO BE- SW'!T$2,'Rozpočet - HW a licencie'!$C$3:$C$102,"SW",'Rozpočet - HW a licencie'!$G$3:$G$102,'TCO TO BE- SW'!$D15,'Rozpočet - HW a licencie'!$D$3:$D$102,$B$6),)</f>
        <v>0</v>
      </c>
      <c r="U15" s="577">
        <f>IFERROR(SUMIFS('Rozpočet - HW a licencie'!$I$3:$I$102,'Rozpočet - HW a licencie'!$A$3:$A$102,'TCO TO BE- SW'!U$2,'Rozpočet - HW a licencie'!$C$3:$C$102,"SW",'Rozpočet - HW a licencie'!$G$3:$G$102,'TCO TO BE- SW'!$D15,'Rozpočet - HW a licencie'!$D$3:$D$102,$B$6),)</f>
        <v>0</v>
      </c>
      <c r="V15" s="577">
        <f>IFERROR(SUMIFS('Rozpočet - HW a licencie'!$I$3:$I$102,'Rozpočet - HW a licencie'!$A$3:$A$102,'TCO TO BE- SW'!V$2,'Rozpočet - HW a licencie'!$C$3:$C$102,"SW",'Rozpočet - HW a licencie'!$G$3:$G$102,'TCO TO BE- SW'!$D15,'Rozpočet - HW a licencie'!$D$3:$D$102,$B$6),)</f>
        <v>0</v>
      </c>
      <c r="W15" s="577">
        <f>IFERROR(SUMIFS('Rozpočet - HW a licencie'!$I$3:$I$102,'Rozpočet - HW a licencie'!$A$3:$A$102,'TCO TO BE- SW'!W$2,'Rozpočet - HW a licencie'!$C$3:$C$102,"SW",'Rozpočet - HW a licencie'!$G$3:$G$102,'TCO TO BE- SW'!$D15,'Rozpočet - HW a licencie'!$D$3:$D$102,$B$6),)</f>
        <v>0</v>
      </c>
      <c r="X15" s="577">
        <f>IFERROR(SUMIFS('Rozpočet - HW a licencie'!$I$3:$I$102,'Rozpočet - HW a licencie'!$A$3:$A$102,'TCO TO BE- SW'!X$2,'Rozpočet - HW a licencie'!$C$3:$C$102,"SW",'Rozpočet - HW a licencie'!$G$3:$G$102,'TCO TO BE- SW'!$D15,'Rozpočet - HW a licencie'!$D$3:$D$102,$B$6),)</f>
        <v>0</v>
      </c>
      <c r="Y15" s="577">
        <f>IFERROR(SUMIFS('Rozpočet - HW a licencie'!$I$3:$I$102,'Rozpočet - HW a licencie'!$A$3:$A$102,'TCO TO BE- SW'!Y$2,'Rozpočet - HW a licencie'!$C$3:$C$102,"SW",'Rozpočet - HW a licencie'!$G$3:$G$102,'TCO TO BE- SW'!$D15,'Rozpočet - HW a licencie'!$D$3:$D$102,$B$6),)</f>
        <v>0</v>
      </c>
      <c r="Z15" s="577">
        <f>IFERROR(SUMIFS('Rozpočet - HW a licencie'!$I$3:$I$102,'Rozpočet - HW a licencie'!$A$3:$A$102,'TCO TO BE- SW'!Z$2,'Rozpočet - HW a licencie'!$C$3:$C$102,"SW",'Rozpočet - HW a licencie'!$G$3:$G$102,'TCO TO BE- SW'!$D15,'Rozpočet - HW a licencie'!$D$3:$D$102,$B$6),)</f>
        <v>0</v>
      </c>
    </row>
    <row r="16" spans="1:26" hidden="1" outlineLevel="2">
      <c r="A16" s="875" t="s">
        <v>303</v>
      </c>
      <c r="B16" s="876" t="s">
        <v>532</v>
      </c>
      <c r="C16" s="876">
        <v>610</v>
      </c>
      <c r="D16" s="63">
        <v>1</v>
      </c>
      <c r="E16" s="60">
        <f t="shared" si="4"/>
        <v>0</v>
      </c>
      <c r="F16" s="578">
        <v>0</v>
      </c>
      <c r="G16" s="578">
        <v>0</v>
      </c>
      <c r="H16" s="578">
        <v>0</v>
      </c>
      <c r="I16" s="578">
        <v>0</v>
      </c>
      <c r="J16" s="578">
        <v>0</v>
      </c>
      <c r="K16" s="578">
        <v>0</v>
      </c>
      <c r="L16" s="578">
        <v>0</v>
      </c>
      <c r="M16" s="578">
        <v>0</v>
      </c>
      <c r="N16" s="578">
        <v>0</v>
      </c>
      <c r="O16" s="578">
        <v>0</v>
      </c>
      <c r="P16" s="578">
        <v>0</v>
      </c>
      <c r="Q16" s="578">
        <v>0</v>
      </c>
      <c r="R16" s="578">
        <v>0</v>
      </c>
      <c r="S16" s="578">
        <v>0</v>
      </c>
      <c r="T16" s="578">
        <v>0</v>
      </c>
      <c r="U16" s="578">
        <v>0</v>
      </c>
      <c r="V16" s="578">
        <v>0</v>
      </c>
      <c r="W16" s="578">
        <v>0</v>
      </c>
      <c r="X16" s="578">
        <v>0</v>
      </c>
      <c r="Y16" s="578">
        <v>0</v>
      </c>
      <c r="Z16" s="578">
        <v>0</v>
      </c>
    </row>
    <row r="17" spans="1:26" hidden="1" outlineLevel="2">
      <c r="A17" s="875"/>
      <c r="B17" s="876"/>
      <c r="C17" s="876"/>
      <c r="D17" s="64">
        <v>2</v>
      </c>
      <c r="E17" s="61">
        <f t="shared" si="4"/>
        <v>0</v>
      </c>
      <c r="F17" s="579">
        <v>0</v>
      </c>
      <c r="G17" s="579">
        <v>0</v>
      </c>
      <c r="H17" s="579">
        <v>0</v>
      </c>
      <c r="I17" s="579">
        <v>0</v>
      </c>
      <c r="J17" s="579">
        <v>0</v>
      </c>
      <c r="K17" s="579">
        <v>0</v>
      </c>
      <c r="L17" s="579">
        <v>0</v>
      </c>
      <c r="M17" s="579">
        <v>0</v>
      </c>
      <c r="N17" s="579">
        <v>0</v>
      </c>
      <c r="O17" s="579">
        <v>0</v>
      </c>
      <c r="P17" s="579">
        <v>0</v>
      </c>
      <c r="Q17" s="579">
        <v>0</v>
      </c>
      <c r="R17" s="579">
        <v>0</v>
      </c>
      <c r="S17" s="579">
        <v>0</v>
      </c>
      <c r="T17" s="579">
        <v>0</v>
      </c>
      <c r="U17" s="579">
        <v>0</v>
      </c>
      <c r="V17" s="579">
        <v>0</v>
      </c>
      <c r="W17" s="579">
        <v>0</v>
      </c>
      <c r="X17" s="579">
        <v>0</v>
      </c>
      <c r="Y17" s="579">
        <v>0</v>
      </c>
      <c r="Z17" s="579">
        <v>0</v>
      </c>
    </row>
    <row r="18" spans="1:26" hidden="1" outlineLevel="2">
      <c r="A18" s="875"/>
      <c r="B18" s="876"/>
      <c r="C18" s="876"/>
      <c r="D18" s="64">
        <v>3</v>
      </c>
      <c r="E18" s="61">
        <f t="shared" si="4"/>
        <v>0</v>
      </c>
      <c r="F18" s="579">
        <v>0</v>
      </c>
      <c r="G18" s="579">
        <v>0</v>
      </c>
      <c r="H18" s="579">
        <v>0</v>
      </c>
      <c r="I18" s="579">
        <v>0</v>
      </c>
      <c r="J18" s="579">
        <v>0</v>
      </c>
      <c r="K18" s="579">
        <v>0</v>
      </c>
      <c r="L18" s="579">
        <v>0</v>
      </c>
      <c r="M18" s="579">
        <v>0</v>
      </c>
      <c r="N18" s="579">
        <v>0</v>
      </c>
      <c r="O18" s="579">
        <v>0</v>
      </c>
      <c r="P18" s="579">
        <v>0</v>
      </c>
      <c r="Q18" s="579">
        <v>0</v>
      </c>
      <c r="R18" s="579">
        <v>0</v>
      </c>
      <c r="S18" s="579">
        <v>0</v>
      </c>
      <c r="T18" s="579">
        <v>0</v>
      </c>
      <c r="U18" s="579">
        <v>0</v>
      </c>
      <c r="V18" s="579">
        <v>0</v>
      </c>
      <c r="W18" s="579">
        <v>0</v>
      </c>
      <c r="X18" s="579">
        <v>0</v>
      </c>
      <c r="Y18" s="579">
        <v>0</v>
      </c>
      <c r="Z18" s="579">
        <v>0</v>
      </c>
    </row>
    <row r="19" spans="1:26" hidden="1" outlineLevel="2">
      <c r="A19" s="875"/>
      <c r="B19" s="876"/>
      <c r="C19" s="876"/>
      <c r="D19" s="64">
        <v>4</v>
      </c>
      <c r="E19" s="61">
        <f t="shared" si="4"/>
        <v>0</v>
      </c>
      <c r="F19" s="579">
        <v>0</v>
      </c>
      <c r="G19" s="579">
        <v>0</v>
      </c>
      <c r="H19" s="579">
        <v>0</v>
      </c>
      <c r="I19" s="579">
        <v>0</v>
      </c>
      <c r="J19" s="579">
        <v>0</v>
      </c>
      <c r="K19" s="579">
        <v>0</v>
      </c>
      <c r="L19" s="579">
        <v>0</v>
      </c>
      <c r="M19" s="579">
        <v>0</v>
      </c>
      <c r="N19" s="579">
        <v>0</v>
      </c>
      <c r="O19" s="579">
        <v>0</v>
      </c>
      <c r="P19" s="579">
        <v>0</v>
      </c>
      <c r="Q19" s="579">
        <v>0</v>
      </c>
      <c r="R19" s="579">
        <v>0</v>
      </c>
      <c r="S19" s="579">
        <v>0</v>
      </c>
      <c r="T19" s="579">
        <v>0</v>
      </c>
      <c r="U19" s="579">
        <v>0</v>
      </c>
      <c r="V19" s="579">
        <v>0</v>
      </c>
      <c r="W19" s="579">
        <v>0</v>
      </c>
      <c r="X19" s="579">
        <v>0</v>
      </c>
      <c r="Y19" s="579">
        <v>0</v>
      </c>
      <c r="Z19" s="579">
        <v>0</v>
      </c>
    </row>
    <row r="20" spans="1:26" hidden="1" outlineLevel="2">
      <c r="A20" s="875"/>
      <c r="B20" s="876"/>
      <c r="C20" s="876"/>
      <c r="D20" s="64">
        <v>5</v>
      </c>
      <c r="E20" s="61">
        <f t="shared" si="4"/>
        <v>0</v>
      </c>
      <c r="F20" s="579">
        <v>0</v>
      </c>
      <c r="G20" s="579">
        <v>0</v>
      </c>
      <c r="H20" s="579">
        <v>0</v>
      </c>
      <c r="I20" s="579">
        <v>0</v>
      </c>
      <c r="J20" s="579">
        <v>0</v>
      </c>
      <c r="K20" s="579">
        <v>0</v>
      </c>
      <c r="L20" s="579">
        <v>0</v>
      </c>
      <c r="M20" s="579">
        <v>0</v>
      </c>
      <c r="N20" s="579">
        <v>0</v>
      </c>
      <c r="O20" s="579">
        <v>0</v>
      </c>
      <c r="P20" s="579">
        <v>0</v>
      </c>
      <c r="Q20" s="579">
        <v>0</v>
      </c>
      <c r="R20" s="579">
        <v>0</v>
      </c>
      <c r="S20" s="579">
        <v>0</v>
      </c>
      <c r="T20" s="579">
        <v>0</v>
      </c>
      <c r="U20" s="579">
        <v>0</v>
      </c>
      <c r="V20" s="579">
        <v>0</v>
      </c>
      <c r="W20" s="579">
        <v>0</v>
      </c>
      <c r="X20" s="579">
        <v>0</v>
      </c>
      <c r="Y20" s="579">
        <v>0</v>
      </c>
      <c r="Z20" s="579">
        <v>0</v>
      </c>
    </row>
    <row r="21" spans="1:26" hidden="1" outlineLevel="2">
      <c r="A21" s="875"/>
      <c r="B21" s="876"/>
      <c r="C21" s="876"/>
      <c r="D21" s="64">
        <v>6</v>
      </c>
      <c r="E21" s="61">
        <f t="shared" si="4"/>
        <v>0</v>
      </c>
      <c r="F21" s="579">
        <v>0</v>
      </c>
      <c r="G21" s="579">
        <v>0</v>
      </c>
      <c r="H21" s="579">
        <v>0</v>
      </c>
      <c r="I21" s="579">
        <v>0</v>
      </c>
      <c r="J21" s="579">
        <v>0</v>
      </c>
      <c r="K21" s="579">
        <v>0</v>
      </c>
      <c r="L21" s="579">
        <v>0</v>
      </c>
      <c r="M21" s="579">
        <v>0</v>
      </c>
      <c r="N21" s="579">
        <v>0</v>
      </c>
      <c r="O21" s="579">
        <v>0</v>
      </c>
      <c r="P21" s="579">
        <v>0</v>
      </c>
      <c r="Q21" s="579">
        <v>0</v>
      </c>
      <c r="R21" s="579">
        <v>0</v>
      </c>
      <c r="S21" s="579">
        <v>0</v>
      </c>
      <c r="T21" s="579">
        <v>0</v>
      </c>
      <c r="U21" s="579">
        <v>0</v>
      </c>
      <c r="V21" s="579">
        <v>0</v>
      </c>
      <c r="W21" s="579">
        <v>0</v>
      </c>
      <c r="X21" s="579">
        <v>0</v>
      </c>
      <c r="Y21" s="579">
        <v>0</v>
      </c>
      <c r="Z21" s="579">
        <v>0</v>
      </c>
    </row>
    <row r="22" spans="1:26" hidden="1" outlineLevel="2">
      <c r="A22" s="875"/>
      <c r="B22" s="876"/>
      <c r="C22" s="876"/>
      <c r="D22" s="64">
        <v>7</v>
      </c>
      <c r="E22" s="61">
        <f t="shared" si="4"/>
        <v>0</v>
      </c>
      <c r="F22" s="579">
        <v>0</v>
      </c>
      <c r="G22" s="579">
        <v>0</v>
      </c>
      <c r="H22" s="579">
        <v>0</v>
      </c>
      <c r="I22" s="579">
        <v>0</v>
      </c>
      <c r="J22" s="579">
        <v>0</v>
      </c>
      <c r="K22" s="579">
        <v>0</v>
      </c>
      <c r="L22" s="579">
        <v>0</v>
      </c>
      <c r="M22" s="579">
        <v>0</v>
      </c>
      <c r="N22" s="579">
        <v>0</v>
      </c>
      <c r="O22" s="579">
        <v>0</v>
      </c>
      <c r="P22" s="579">
        <v>0</v>
      </c>
      <c r="Q22" s="579">
        <v>0</v>
      </c>
      <c r="R22" s="579">
        <v>0</v>
      </c>
      <c r="S22" s="579">
        <v>0</v>
      </c>
      <c r="T22" s="579">
        <v>0</v>
      </c>
      <c r="U22" s="579">
        <v>0</v>
      </c>
      <c r="V22" s="579">
        <v>0</v>
      </c>
      <c r="W22" s="579">
        <v>0</v>
      </c>
      <c r="X22" s="579">
        <v>0</v>
      </c>
      <c r="Y22" s="579">
        <v>0</v>
      </c>
      <c r="Z22" s="579">
        <v>0</v>
      </c>
    </row>
    <row r="23" spans="1:26" hidden="1" outlineLevel="2">
      <c r="A23" s="875"/>
      <c r="B23" s="876"/>
      <c r="C23" s="876"/>
      <c r="D23" s="64">
        <v>8</v>
      </c>
      <c r="E23" s="61">
        <f t="shared" si="4"/>
        <v>0</v>
      </c>
      <c r="F23" s="579">
        <v>0</v>
      </c>
      <c r="G23" s="579">
        <v>0</v>
      </c>
      <c r="H23" s="579">
        <v>0</v>
      </c>
      <c r="I23" s="579">
        <v>0</v>
      </c>
      <c r="J23" s="579">
        <v>0</v>
      </c>
      <c r="K23" s="579">
        <v>0</v>
      </c>
      <c r="L23" s="579">
        <v>0</v>
      </c>
      <c r="M23" s="579">
        <v>0</v>
      </c>
      <c r="N23" s="579">
        <v>0</v>
      </c>
      <c r="O23" s="579">
        <v>0</v>
      </c>
      <c r="P23" s="579">
        <v>0</v>
      </c>
      <c r="Q23" s="579">
        <v>0</v>
      </c>
      <c r="R23" s="579">
        <v>0</v>
      </c>
      <c r="S23" s="579">
        <v>0</v>
      </c>
      <c r="T23" s="579">
        <v>0</v>
      </c>
      <c r="U23" s="579">
        <v>0</v>
      </c>
      <c r="V23" s="579">
        <v>0</v>
      </c>
      <c r="W23" s="579">
        <v>0</v>
      </c>
      <c r="X23" s="579">
        <v>0</v>
      </c>
      <c r="Y23" s="579">
        <v>0</v>
      </c>
      <c r="Z23" s="579">
        <v>0</v>
      </c>
    </row>
    <row r="24" spans="1:26" hidden="1" outlineLevel="2">
      <c r="A24" s="875"/>
      <c r="B24" s="876"/>
      <c r="C24" s="876"/>
      <c r="D24" s="64">
        <v>9</v>
      </c>
      <c r="E24" s="61">
        <f t="shared" si="4"/>
        <v>0</v>
      </c>
      <c r="F24" s="579">
        <v>0</v>
      </c>
      <c r="G24" s="579">
        <v>0</v>
      </c>
      <c r="H24" s="579">
        <v>0</v>
      </c>
      <c r="I24" s="579">
        <v>0</v>
      </c>
      <c r="J24" s="579">
        <v>0</v>
      </c>
      <c r="K24" s="579">
        <v>0</v>
      </c>
      <c r="L24" s="579">
        <v>0</v>
      </c>
      <c r="M24" s="579">
        <v>0</v>
      </c>
      <c r="N24" s="579">
        <v>0</v>
      </c>
      <c r="O24" s="579">
        <v>0</v>
      </c>
      <c r="P24" s="579">
        <v>0</v>
      </c>
      <c r="Q24" s="579">
        <v>0</v>
      </c>
      <c r="R24" s="579">
        <v>0</v>
      </c>
      <c r="S24" s="579">
        <v>0</v>
      </c>
      <c r="T24" s="579">
        <v>0</v>
      </c>
      <c r="U24" s="579">
        <v>0</v>
      </c>
      <c r="V24" s="579">
        <v>0</v>
      </c>
      <c r="W24" s="579">
        <v>0</v>
      </c>
      <c r="X24" s="579">
        <v>0</v>
      </c>
      <c r="Y24" s="579">
        <v>0</v>
      </c>
      <c r="Z24" s="579">
        <v>0</v>
      </c>
    </row>
    <row r="25" spans="1:26" ht="15.75" hidden="1" outlineLevel="2" thickBot="1">
      <c r="A25" s="875"/>
      <c r="B25" s="876"/>
      <c r="C25" s="876"/>
      <c r="D25" s="65">
        <v>10</v>
      </c>
      <c r="E25" s="61">
        <f t="shared" si="4"/>
        <v>0</v>
      </c>
      <c r="F25" s="579">
        <v>0</v>
      </c>
      <c r="G25" s="579">
        <v>0</v>
      </c>
      <c r="H25" s="579">
        <v>0</v>
      </c>
      <c r="I25" s="579">
        <v>0</v>
      </c>
      <c r="J25" s="579">
        <v>0</v>
      </c>
      <c r="K25" s="579">
        <v>0</v>
      </c>
      <c r="L25" s="579">
        <v>0</v>
      </c>
      <c r="M25" s="579">
        <v>0</v>
      </c>
      <c r="N25" s="579">
        <v>0</v>
      </c>
      <c r="O25" s="579">
        <v>0</v>
      </c>
      <c r="P25" s="579">
        <v>0</v>
      </c>
      <c r="Q25" s="579">
        <v>0</v>
      </c>
      <c r="R25" s="579">
        <v>0</v>
      </c>
      <c r="S25" s="579">
        <v>0</v>
      </c>
      <c r="T25" s="579">
        <v>0</v>
      </c>
      <c r="U25" s="579">
        <v>0</v>
      </c>
      <c r="V25" s="579">
        <v>0</v>
      </c>
      <c r="W25" s="579">
        <v>0</v>
      </c>
      <c r="X25" s="579">
        <v>0</v>
      </c>
      <c r="Y25" s="579">
        <v>0</v>
      </c>
      <c r="Z25" s="579">
        <v>0</v>
      </c>
    </row>
    <row r="26" spans="1:26" hidden="1" outlineLevel="2">
      <c r="A26" s="875" t="s">
        <v>70</v>
      </c>
      <c r="B26" s="876" t="s">
        <v>76</v>
      </c>
      <c r="C26" s="876">
        <v>633013</v>
      </c>
      <c r="D26" s="63">
        <v>1</v>
      </c>
      <c r="E26" s="60">
        <f t="shared" si="4"/>
        <v>0</v>
      </c>
      <c r="F26" s="580">
        <v>0</v>
      </c>
      <c r="G26" s="580">
        <v>0</v>
      </c>
      <c r="H26" s="580">
        <v>0</v>
      </c>
      <c r="I26" s="580">
        <v>0</v>
      </c>
      <c r="J26" s="580">
        <v>0</v>
      </c>
      <c r="K26" s="580">
        <v>0</v>
      </c>
      <c r="L26" s="580">
        <v>0</v>
      </c>
      <c r="M26" s="580">
        <v>0</v>
      </c>
      <c r="N26" s="580">
        <v>0</v>
      </c>
      <c r="O26" s="580">
        <v>0</v>
      </c>
      <c r="P26" s="580">
        <v>0</v>
      </c>
      <c r="Q26" s="580">
        <v>0</v>
      </c>
      <c r="R26" s="580">
        <v>0</v>
      </c>
      <c r="S26" s="580">
        <v>0</v>
      </c>
      <c r="T26" s="580">
        <v>0</v>
      </c>
      <c r="U26" s="580">
        <v>0</v>
      </c>
      <c r="V26" s="580">
        <v>0</v>
      </c>
      <c r="W26" s="580">
        <v>0</v>
      </c>
      <c r="X26" s="580">
        <v>0</v>
      </c>
      <c r="Y26" s="580">
        <v>0</v>
      </c>
      <c r="Z26" s="580">
        <v>0</v>
      </c>
    </row>
    <row r="27" spans="1:26" hidden="1" outlineLevel="2">
      <c r="A27" s="875"/>
      <c r="B27" s="876"/>
      <c r="C27" s="876"/>
      <c r="D27" s="64">
        <v>2</v>
      </c>
      <c r="E27" s="61">
        <f t="shared" si="4"/>
        <v>0</v>
      </c>
      <c r="F27" s="581">
        <v>0</v>
      </c>
      <c r="G27" s="581">
        <v>0</v>
      </c>
      <c r="H27" s="581">
        <v>0</v>
      </c>
      <c r="I27" s="581">
        <v>0</v>
      </c>
      <c r="J27" s="581">
        <v>0</v>
      </c>
      <c r="K27" s="581">
        <v>0</v>
      </c>
      <c r="L27" s="581">
        <v>0</v>
      </c>
      <c r="M27" s="581">
        <v>0</v>
      </c>
      <c r="N27" s="581">
        <v>0</v>
      </c>
      <c r="O27" s="581">
        <v>0</v>
      </c>
      <c r="P27" s="581">
        <v>0</v>
      </c>
      <c r="Q27" s="581">
        <v>0</v>
      </c>
      <c r="R27" s="581">
        <v>0</v>
      </c>
      <c r="S27" s="581">
        <v>0</v>
      </c>
      <c r="T27" s="581">
        <v>0</v>
      </c>
      <c r="U27" s="581">
        <v>0</v>
      </c>
      <c r="V27" s="581">
        <v>0</v>
      </c>
      <c r="W27" s="581">
        <v>0</v>
      </c>
      <c r="X27" s="581">
        <v>0</v>
      </c>
      <c r="Y27" s="581">
        <v>0</v>
      </c>
      <c r="Z27" s="581">
        <v>0</v>
      </c>
    </row>
    <row r="28" spans="1:26" hidden="1" outlineLevel="2">
      <c r="A28" s="875"/>
      <c r="B28" s="876"/>
      <c r="C28" s="876"/>
      <c r="D28" s="64">
        <v>3</v>
      </c>
      <c r="E28" s="61">
        <f t="shared" si="4"/>
        <v>0</v>
      </c>
      <c r="F28" s="581">
        <v>0</v>
      </c>
      <c r="G28" s="581">
        <v>0</v>
      </c>
      <c r="H28" s="581">
        <v>0</v>
      </c>
      <c r="I28" s="581">
        <v>0</v>
      </c>
      <c r="J28" s="581">
        <v>0</v>
      </c>
      <c r="K28" s="581">
        <v>0</v>
      </c>
      <c r="L28" s="581">
        <v>0</v>
      </c>
      <c r="M28" s="581">
        <v>0</v>
      </c>
      <c r="N28" s="581">
        <v>0</v>
      </c>
      <c r="O28" s="581">
        <v>0</v>
      </c>
      <c r="P28" s="581">
        <v>0</v>
      </c>
      <c r="Q28" s="581">
        <v>0</v>
      </c>
      <c r="R28" s="581">
        <v>0</v>
      </c>
      <c r="S28" s="581">
        <v>0</v>
      </c>
      <c r="T28" s="581">
        <v>0</v>
      </c>
      <c r="U28" s="581">
        <v>0</v>
      </c>
      <c r="V28" s="581">
        <v>0</v>
      </c>
      <c r="W28" s="581">
        <v>0</v>
      </c>
      <c r="X28" s="581">
        <v>0</v>
      </c>
      <c r="Y28" s="581">
        <v>0</v>
      </c>
      <c r="Z28" s="581">
        <v>0</v>
      </c>
    </row>
    <row r="29" spans="1:26" hidden="1" outlineLevel="2">
      <c r="A29" s="875"/>
      <c r="B29" s="876"/>
      <c r="C29" s="876"/>
      <c r="D29" s="64">
        <v>4</v>
      </c>
      <c r="E29" s="61">
        <f t="shared" si="4"/>
        <v>0</v>
      </c>
      <c r="F29" s="581">
        <v>0</v>
      </c>
      <c r="G29" s="581">
        <v>0</v>
      </c>
      <c r="H29" s="581">
        <v>0</v>
      </c>
      <c r="I29" s="581">
        <v>0</v>
      </c>
      <c r="J29" s="581">
        <v>0</v>
      </c>
      <c r="K29" s="581">
        <v>0</v>
      </c>
      <c r="L29" s="581">
        <v>0</v>
      </c>
      <c r="M29" s="581">
        <v>0</v>
      </c>
      <c r="N29" s="581">
        <v>0</v>
      </c>
      <c r="O29" s="581">
        <v>0</v>
      </c>
      <c r="P29" s="581">
        <v>0</v>
      </c>
      <c r="Q29" s="581">
        <v>0</v>
      </c>
      <c r="R29" s="581">
        <v>0</v>
      </c>
      <c r="S29" s="581">
        <v>0</v>
      </c>
      <c r="T29" s="581">
        <v>0</v>
      </c>
      <c r="U29" s="581">
        <v>0</v>
      </c>
      <c r="V29" s="581">
        <v>0</v>
      </c>
      <c r="W29" s="581">
        <v>0</v>
      </c>
      <c r="X29" s="581">
        <v>0</v>
      </c>
      <c r="Y29" s="581">
        <v>0</v>
      </c>
      <c r="Z29" s="581">
        <v>0</v>
      </c>
    </row>
    <row r="30" spans="1:26" hidden="1" outlineLevel="2">
      <c r="A30" s="875"/>
      <c r="B30" s="876"/>
      <c r="C30" s="876"/>
      <c r="D30" s="64">
        <v>5</v>
      </c>
      <c r="E30" s="61">
        <f t="shared" si="4"/>
        <v>0</v>
      </c>
      <c r="F30" s="581">
        <v>0</v>
      </c>
      <c r="G30" s="581">
        <v>0</v>
      </c>
      <c r="H30" s="581">
        <v>0</v>
      </c>
      <c r="I30" s="581">
        <v>0</v>
      </c>
      <c r="J30" s="581">
        <v>0</v>
      </c>
      <c r="K30" s="581">
        <v>0</v>
      </c>
      <c r="L30" s="581">
        <v>0</v>
      </c>
      <c r="M30" s="581">
        <v>0</v>
      </c>
      <c r="N30" s="581">
        <v>0</v>
      </c>
      <c r="O30" s="581">
        <v>0</v>
      </c>
      <c r="P30" s="581">
        <v>0</v>
      </c>
      <c r="Q30" s="581">
        <v>0</v>
      </c>
      <c r="R30" s="581">
        <v>0</v>
      </c>
      <c r="S30" s="581">
        <v>0</v>
      </c>
      <c r="T30" s="581">
        <v>0</v>
      </c>
      <c r="U30" s="581">
        <v>0</v>
      </c>
      <c r="V30" s="581">
        <v>0</v>
      </c>
      <c r="W30" s="581">
        <v>0</v>
      </c>
      <c r="X30" s="581">
        <v>0</v>
      </c>
      <c r="Y30" s="581">
        <v>0</v>
      </c>
      <c r="Z30" s="581">
        <v>0</v>
      </c>
    </row>
    <row r="31" spans="1:26" hidden="1" outlineLevel="2">
      <c r="A31" s="875"/>
      <c r="B31" s="876"/>
      <c r="C31" s="876"/>
      <c r="D31" s="64">
        <v>6</v>
      </c>
      <c r="E31" s="61">
        <f t="shared" si="4"/>
        <v>0</v>
      </c>
      <c r="F31" s="581">
        <v>0</v>
      </c>
      <c r="G31" s="581">
        <v>0</v>
      </c>
      <c r="H31" s="581">
        <v>0</v>
      </c>
      <c r="I31" s="581">
        <v>0</v>
      </c>
      <c r="J31" s="581">
        <v>0</v>
      </c>
      <c r="K31" s="581">
        <v>0</v>
      </c>
      <c r="L31" s="581">
        <v>0</v>
      </c>
      <c r="M31" s="581">
        <v>0</v>
      </c>
      <c r="N31" s="581">
        <v>0</v>
      </c>
      <c r="O31" s="581">
        <v>0</v>
      </c>
      <c r="P31" s="581">
        <v>0</v>
      </c>
      <c r="Q31" s="581">
        <v>0</v>
      </c>
      <c r="R31" s="581">
        <v>0</v>
      </c>
      <c r="S31" s="581">
        <v>0</v>
      </c>
      <c r="T31" s="581">
        <v>0</v>
      </c>
      <c r="U31" s="581">
        <v>0</v>
      </c>
      <c r="V31" s="581">
        <v>0</v>
      </c>
      <c r="W31" s="581">
        <v>0</v>
      </c>
      <c r="X31" s="581">
        <v>0</v>
      </c>
      <c r="Y31" s="581">
        <v>0</v>
      </c>
      <c r="Z31" s="581">
        <v>0</v>
      </c>
    </row>
    <row r="32" spans="1:26" hidden="1" outlineLevel="2">
      <c r="A32" s="875"/>
      <c r="B32" s="876"/>
      <c r="C32" s="876"/>
      <c r="D32" s="64">
        <v>7</v>
      </c>
      <c r="E32" s="61">
        <f t="shared" si="4"/>
        <v>0</v>
      </c>
      <c r="F32" s="581">
        <v>0</v>
      </c>
      <c r="G32" s="581">
        <v>0</v>
      </c>
      <c r="H32" s="581">
        <v>0</v>
      </c>
      <c r="I32" s="581">
        <v>0</v>
      </c>
      <c r="J32" s="581">
        <v>0</v>
      </c>
      <c r="K32" s="581">
        <v>0</v>
      </c>
      <c r="L32" s="581">
        <v>0</v>
      </c>
      <c r="M32" s="581">
        <v>0</v>
      </c>
      <c r="N32" s="581">
        <v>0</v>
      </c>
      <c r="O32" s="581">
        <v>0</v>
      </c>
      <c r="P32" s="581">
        <v>0</v>
      </c>
      <c r="Q32" s="581">
        <v>0</v>
      </c>
      <c r="R32" s="581">
        <v>0</v>
      </c>
      <c r="S32" s="581">
        <v>0</v>
      </c>
      <c r="T32" s="581">
        <v>0</v>
      </c>
      <c r="U32" s="581">
        <v>0</v>
      </c>
      <c r="V32" s="581">
        <v>0</v>
      </c>
      <c r="W32" s="581">
        <v>0</v>
      </c>
      <c r="X32" s="581">
        <v>0</v>
      </c>
      <c r="Y32" s="581">
        <v>0</v>
      </c>
      <c r="Z32" s="581">
        <v>0</v>
      </c>
    </row>
    <row r="33" spans="1:26" hidden="1" outlineLevel="2">
      <c r="A33" s="875"/>
      <c r="B33" s="876"/>
      <c r="C33" s="876"/>
      <c r="D33" s="64">
        <v>8</v>
      </c>
      <c r="E33" s="61">
        <f t="shared" si="4"/>
        <v>0</v>
      </c>
      <c r="F33" s="581">
        <v>0</v>
      </c>
      <c r="G33" s="581">
        <v>0</v>
      </c>
      <c r="H33" s="581">
        <v>0</v>
      </c>
      <c r="I33" s="581">
        <v>0</v>
      </c>
      <c r="J33" s="581">
        <v>0</v>
      </c>
      <c r="K33" s="581">
        <v>0</v>
      </c>
      <c r="L33" s="581">
        <v>0</v>
      </c>
      <c r="M33" s="581">
        <v>0</v>
      </c>
      <c r="N33" s="581">
        <v>0</v>
      </c>
      <c r="O33" s="581">
        <v>0</v>
      </c>
      <c r="P33" s="581">
        <v>0</v>
      </c>
      <c r="Q33" s="581">
        <v>0</v>
      </c>
      <c r="R33" s="581">
        <v>0</v>
      </c>
      <c r="S33" s="581">
        <v>0</v>
      </c>
      <c r="T33" s="581">
        <v>0</v>
      </c>
      <c r="U33" s="581">
        <v>0</v>
      </c>
      <c r="V33" s="581">
        <v>0</v>
      </c>
      <c r="W33" s="581">
        <v>0</v>
      </c>
      <c r="X33" s="581">
        <v>0</v>
      </c>
      <c r="Y33" s="581">
        <v>0</v>
      </c>
      <c r="Z33" s="581">
        <v>0</v>
      </c>
    </row>
    <row r="34" spans="1:26" hidden="1" outlineLevel="2">
      <c r="A34" s="875"/>
      <c r="B34" s="876"/>
      <c r="C34" s="876"/>
      <c r="D34" s="64">
        <v>9</v>
      </c>
      <c r="E34" s="61">
        <f t="shared" si="4"/>
        <v>0</v>
      </c>
      <c r="F34" s="581">
        <v>0</v>
      </c>
      <c r="G34" s="581">
        <v>0</v>
      </c>
      <c r="H34" s="581">
        <v>0</v>
      </c>
      <c r="I34" s="581">
        <v>0</v>
      </c>
      <c r="J34" s="581">
        <v>0</v>
      </c>
      <c r="K34" s="581">
        <v>0</v>
      </c>
      <c r="L34" s="581">
        <v>0</v>
      </c>
      <c r="M34" s="581">
        <v>0</v>
      </c>
      <c r="N34" s="581">
        <v>0</v>
      </c>
      <c r="O34" s="581">
        <v>0</v>
      </c>
      <c r="P34" s="581">
        <v>0</v>
      </c>
      <c r="Q34" s="581">
        <v>0</v>
      </c>
      <c r="R34" s="581">
        <v>0</v>
      </c>
      <c r="S34" s="581">
        <v>0</v>
      </c>
      <c r="T34" s="581">
        <v>0</v>
      </c>
      <c r="U34" s="581">
        <v>0</v>
      </c>
      <c r="V34" s="581">
        <v>0</v>
      </c>
      <c r="W34" s="581">
        <v>0</v>
      </c>
      <c r="X34" s="581">
        <v>0</v>
      </c>
      <c r="Y34" s="581">
        <v>0</v>
      </c>
      <c r="Z34" s="581">
        <v>0</v>
      </c>
    </row>
    <row r="35" spans="1:26" ht="15.75" hidden="1" outlineLevel="2" thickBot="1">
      <c r="A35" s="875"/>
      <c r="B35" s="876"/>
      <c r="C35" s="876"/>
      <c r="D35" s="65">
        <v>10</v>
      </c>
      <c r="E35" s="62">
        <f t="shared" si="4"/>
        <v>0</v>
      </c>
      <c r="F35" s="582">
        <v>0</v>
      </c>
      <c r="G35" s="582">
        <v>0</v>
      </c>
      <c r="H35" s="582">
        <v>0</v>
      </c>
      <c r="I35" s="582">
        <v>0</v>
      </c>
      <c r="J35" s="582">
        <v>0</v>
      </c>
      <c r="K35" s="582">
        <v>0</v>
      </c>
      <c r="L35" s="582">
        <v>0</v>
      </c>
      <c r="M35" s="582">
        <v>0</v>
      </c>
      <c r="N35" s="582">
        <v>0</v>
      </c>
      <c r="O35" s="582">
        <v>0</v>
      </c>
      <c r="P35" s="582">
        <v>0</v>
      </c>
      <c r="Q35" s="582">
        <v>0</v>
      </c>
      <c r="R35" s="582">
        <v>0</v>
      </c>
      <c r="S35" s="582">
        <v>0</v>
      </c>
      <c r="T35" s="582">
        <v>0</v>
      </c>
      <c r="U35" s="582">
        <v>0</v>
      </c>
      <c r="V35" s="582">
        <v>0</v>
      </c>
      <c r="W35" s="582">
        <v>0</v>
      </c>
      <c r="X35" s="582">
        <v>0</v>
      </c>
      <c r="Y35" s="582">
        <v>0</v>
      </c>
      <c r="Z35" s="582">
        <v>0</v>
      </c>
    </row>
    <row r="36" spans="1:26" ht="15.75" outlineLevel="1" thickBot="1">
      <c r="A36" s="17" t="s">
        <v>104</v>
      </c>
      <c r="B36" s="17"/>
      <c r="C36" s="17"/>
      <c r="D36" s="27"/>
      <c r="E36" s="112">
        <f t="shared" ref="E36:Z36" si="5">SUM(E37:E76)</f>
        <v>8406579.0559999999</v>
      </c>
      <c r="F36" s="113">
        <f t="shared" si="5"/>
        <v>539015.41873667506</v>
      </c>
      <c r="G36" s="113">
        <f t="shared" si="5"/>
        <v>1817130.7198580599</v>
      </c>
      <c r="H36" s="113">
        <f t="shared" si="5"/>
        <v>1796515.9569367471</v>
      </c>
      <c r="I36" s="113">
        <f t="shared" si="5"/>
        <v>357120.45178391639</v>
      </c>
      <c r="J36" s="113">
        <f t="shared" si="5"/>
        <v>1071967.6719082582</v>
      </c>
      <c r="K36" s="113">
        <f t="shared" si="5"/>
        <v>300733.01202856109</v>
      </c>
      <c r="L36" s="113">
        <f t="shared" si="5"/>
        <v>99435.915267508113</v>
      </c>
      <c r="M36" s="113">
        <f t="shared" si="5"/>
        <v>84884.31791128742</v>
      </c>
      <c r="N36" s="113">
        <f t="shared" si="5"/>
        <v>247983.47161226111</v>
      </c>
      <c r="O36" s="113">
        <f t="shared" si="5"/>
        <v>295276.16301997838</v>
      </c>
      <c r="P36" s="113">
        <f t="shared" si="5"/>
        <v>67301.137772520742</v>
      </c>
      <c r="Q36" s="113">
        <f t="shared" si="5"/>
        <v>15157.913912729899</v>
      </c>
      <c r="R36" s="113">
        <f t="shared" si="5"/>
        <v>119444.36163231157</v>
      </c>
      <c r="S36" s="113">
        <f t="shared" si="5"/>
        <v>81852.735128741435</v>
      </c>
      <c r="T36" s="113">
        <f t="shared" si="5"/>
        <v>244951.88882971511</v>
      </c>
      <c r="U36" s="113">
        <f t="shared" si="5"/>
        <v>190989.71530039667</v>
      </c>
      <c r="V36" s="113">
        <f t="shared" si="5"/>
        <v>164918.10337050125</v>
      </c>
      <c r="W36" s="113">
        <f t="shared" si="5"/>
        <v>363789.93390551745</v>
      </c>
      <c r="X36" s="113">
        <f t="shared" si="5"/>
        <v>548110.167084313</v>
      </c>
      <c r="Y36" s="113">
        <f t="shared" si="5"/>
        <v>0</v>
      </c>
      <c r="Z36" s="113">
        <f t="shared" si="5"/>
        <v>0</v>
      </c>
    </row>
    <row r="37" spans="1:26" outlineLevel="2">
      <c r="A37" s="875" t="s">
        <v>74</v>
      </c>
      <c r="B37" s="876" t="s">
        <v>71</v>
      </c>
      <c r="C37" s="876">
        <v>711003</v>
      </c>
      <c r="D37" s="63">
        <v>1</v>
      </c>
      <c r="E37" s="67">
        <f t="shared" ref="E37:E76" si="6">SUM(F37:Z37)</f>
        <v>0</v>
      </c>
      <c r="F37" s="575">
        <f>IFERROR(IF(VLOOKUP(F$2,MODULY_CBA!$B$3:$I$23,8,0)=$D37,SUMIF('Rozpocet - Vyvoj aplikacii'!$B$3:$B$179,'TCO TO BE- SW'!F$2,'Rozpocet - Vyvoj aplikacii'!$J$3:$J$179),0),0)</f>
        <v>0</v>
      </c>
      <c r="G37" s="575">
        <f>IFERROR(IF(VLOOKUP(G$2,MODULY_CBA!$B$3:$I$23,8,0)=$D37,SUMIF('Rozpocet - Vyvoj aplikacii'!$B$3:$B$179,'TCO TO BE- SW'!G$2,'Rozpocet - Vyvoj aplikacii'!$J$3:$J$179),0),0)</f>
        <v>0</v>
      </c>
      <c r="H37" s="575">
        <f>IFERROR(IF(VLOOKUP(H$2,MODULY_CBA!$B$3:$I$23,8,0)=$D37,SUMIF('Rozpocet - Vyvoj aplikacii'!$B$3:$B$179,'TCO TO BE- SW'!H$2,'Rozpocet - Vyvoj aplikacii'!$J$3:$J$179),0),0)</f>
        <v>0</v>
      </c>
      <c r="I37" s="575">
        <f>IFERROR(IF(VLOOKUP(I$2,MODULY_CBA!$B$3:$I$23,8,0)=$D37,SUMIF('Rozpocet - Vyvoj aplikacii'!$B$3:$B$179,'TCO TO BE- SW'!I$2,'Rozpocet - Vyvoj aplikacii'!$J$3:$J$179),0),0)</f>
        <v>0</v>
      </c>
      <c r="J37" s="575">
        <f>IFERROR(IF(VLOOKUP(J$2,MODULY_CBA!$B$3:$I$23,8,0)=$D37,SUMIF('Rozpocet - Vyvoj aplikacii'!$B$3:$B$179,'TCO TO BE- SW'!J$2,'Rozpocet - Vyvoj aplikacii'!$J$3:$J$179),0),0)</f>
        <v>0</v>
      </c>
      <c r="K37" s="575">
        <f>IFERROR(IF(VLOOKUP(K$2,MODULY_CBA!$B$3:$I$23,8,0)=$D37,SUMIF('Rozpocet - Vyvoj aplikacii'!$B$3:$B$179,'TCO TO BE- SW'!K$2,'Rozpocet - Vyvoj aplikacii'!$J$3:$J$179),0),0)</f>
        <v>0</v>
      </c>
      <c r="L37" s="575">
        <f>IFERROR(IF(VLOOKUP(L$2,MODULY_CBA!$B$3:$I$23,8,0)=$D37,SUMIF('Rozpocet - Vyvoj aplikacii'!$B$3:$B$179,'TCO TO BE- SW'!L$2,'Rozpocet - Vyvoj aplikacii'!$J$3:$J$179),0),0)</f>
        <v>0</v>
      </c>
      <c r="M37" s="575">
        <f>IFERROR(IF(VLOOKUP(M$2,MODULY_CBA!$B$3:$I$23,8,0)=$D37,SUMIF('Rozpocet - Vyvoj aplikacii'!$B$3:$B$179,'TCO TO BE- SW'!M$2,'Rozpocet - Vyvoj aplikacii'!$J$3:$J$179),0),0)</f>
        <v>0</v>
      </c>
      <c r="N37" s="575">
        <f>IFERROR(IF(VLOOKUP(N$2,MODULY_CBA!$B$3:$I$23,8,0)=$D37,SUMIF('Rozpocet - Vyvoj aplikacii'!$B$3:$B$179,'TCO TO BE- SW'!N$2,'Rozpocet - Vyvoj aplikacii'!$J$3:$J$179),0),0)</f>
        <v>0</v>
      </c>
      <c r="O37" s="575">
        <f>IFERROR(IF(VLOOKUP(O$2,MODULY_CBA!$B$3:$I$23,8,0)=$D37,SUMIF('Rozpocet - Vyvoj aplikacii'!$B$3:$B$179,'TCO TO BE- SW'!O$2,'Rozpocet - Vyvoj aplikacii'!$J$3:$J$179),0),0)</f>
        <v>0</v>
      </c>
      <c r="P37" s="575">
        <f>IFERROR(IF(VLOOKUP(P$2,MODULY_CBA!$B$3:$I$23,8,0)=$D37,SUMIF('Rozpocet - Vyvoj aplikacii'!$B$3:$B$179,'TCO TO BE- SW'!P$2,'Rozpocet - Vyvoj aplikacii'!$J$3:$J$179),0),0)</f>
        <v>0</v>
      </c>
      <c r="Q37" s="575">
        <f>IFERROR(IF(VLOOKUP(Q$2,MODULY_CBA!$B$3:$I$23,8,0)=$D37,SUMIF('Rozpocet - Vyvoj aplikacii'!$B$3:$B$179,'TCO TO BE- SW'!Q$2,'Rozpocet - Vyvoj aplikacii'!$J$3:$J$179),0),0)</f>
        <v>0</v>
      </c>
      <c r="R37" s="575">
        <f>IFERROR(IF(VLOOKUP(R$2,MODULY_CBA!$B$3:$I$23,8,0)=$D37,SUMIF('Rozpocet - Vyvoj aplikacii'!$B$3:$B$179,'TCO TO BE- SW'!R$2,'Rozpocet - Vyvoj aplikacii'!$J$3:$J$179),0),0)</f>
        <v>0</v>
      </c>
      <c r="S37" s="575">
        <f>IFERROR(IF(VLOOKUP(S$2,MODULY_CBA!$B$3:$I$23,8,0)=$D37,SUMIF('Rozpocet - Vyvoj aplikacii'!$B$3:$B$179,'TCO TO BE- SW'!S$2,'Rozpocet - Vyvoj aplikacii'!$J$3:$J$179),0),0)</f>
        <v>0</v>
      </c>
      <c r="T37" s="575">
        <f>IFERROR(IF(VLOOKUP(T$2,MODULY_CBA!$B$3:$I$23,8,0)=$D37,SUMIF('Rozpocet - Vyvoj aplikacii'!$B$3:$B$179,'TCO TO BE- SW'!T$2,'Rozpocet - Vyvoj aplikacii'!$J$3:$J$179),0),0)</f>
        <v>0</v>
      </c>
      <c r="U37" s="575">
        <f>IFERROR(IF(VLOOKUP(U$2,MODULY_CBA!$B$3:$I$23,8,0)=$D37,SUMIF('Rozpocet - Vyvoj aplikacii'!$B$3:$B$179,'TCO TO BE- SW'!U$2,'Rozpocet - Vyvoj aplikacii'!$J$3:$J$179),0),0)</f>
        <v>0</v>
      </c>
      <c r="V37" s="575">
        <f>IFERROR(IF(VLOOKUP(V$2,MODULY_CBA!$B$3:$I$23,8,0)=$D37,SUMIF('Rozpocet - Vyvoj aplikacii'!$B$3:$B$179,'TCO TO BE- SW'!V$2,'Rozpocet - Vyvoj aplikacii'!$J$3:$J$179),0),0)</f>
        <v>0</v>
      </c>
      <c r="W37" s="575">
        <f>IFERROR(IF(VLOOKUP(W$2,MODULY_CBA!$B$3:$I$23,8,0)=$D37,SUMIF('Rozpocet - Vyvoj aplikacii'!$B$3:$B$179,'TCO TO BE- SW'!W$2,'Rozpocet - Vyvoj aplikacii'!$J$3:$J$179),0),0)</f>
        <v>0</v>
      </c>
      <c r="X37" s="575">
        <f>IFERROR(IF(VLOOKUP(X$2,MODULY_CBA!$B$3:$I$23,8,0)=$D37,SUMIF('Rozpocet - Vyvoj aplikacii'!$B$3:$B$179,'TCO TO BE- SW'!X$2,'Rozpocet - Vyvoj aplikacii'!$J$3:$J$179),0),0)</f>
        <v>0</v>
      </c>
      <c r="Y37" s="575">
        <f>IFERROR(IF(VLOOKUP(Y$2,MODULY_CBA!$B$3:$I$23,8,0)=$D37,SUMIF('Rozpocet - Vyvoj aplikacii'!$B$3:$B$179,'TCO TO BE- SW'!Y$2,'Rozpocet - Vyvoj aplikacii'!$J$3:$J$179),0),0)</f>
        <v>0</v>
      </c>
      <c r="Z37" s="575">
        <f>IFERROR(IF(VLOOKUP(Z$2,MODULY_CBA!$B$3:$I$23,8,0)=$D37,SUMIF('Rozpocet - Vyvoj aplikacii'!$B$3:$B$179,'TCO TO BE- SW'!Z$2,'Rozpocet - Vyvoj aplikacii'!$J$3:$J$179),0),0)</f>
        <v>0</v>
      </c>
    </row>
    <row r="38" spans="1:26" outlineLevel="2">
      <c r="A38" s="875"/>
      <c r="B38" s="876"/>
      <c r="C38" s="876"/>
      <c r="D38" s="64">
        <v>2</v>
      </c>
      <c r="E38" s="68">
        <f t="shared" si="6"/>
        <v>0</v>
      </c>
      <c r="F38" s="576">
        <f>IFERROR(IF(VLOOKUP(F$2,MODULY_CBA!$B$3:$I$23,8,0)=$D38,SUMIF('Rozpocet - Vyvoj aplikacii'!$B$3:$B$179,'TCO TO BE- SW'!F$2,'Rozpocet - Vyvoj aplikacii'!$J$3:$J$179),0),0)</f>
        <v>0</v>
      </c>
      <c r="G38" s="576">
        <f>IFERROR(IF(VLOOKUP(G$2,MODULY_CBA!$B$3:$I$23,8,0)=$D38,SUMIF('Rozpocet - Vyvoj aplikacii'!$B$3:$B$179,'TCO TO BE- SW'!G$2,'Rozpocet - Vyvoj aplikacii'!$J$3:$J$179),0),0)</f>
        <v>0</v>
      </c>
      <c r="H38" s="576">
        <f>IFERROR(IF(VLOOKUP(H$2,MODULY_CBA!$B$3:$I$23,8,0)=$D38,SUMIF('Rozpocet - Vyvoj aplikacii'!$B$3:$B$179,'TCO TO BE- SW'!H$2,'Rozpocet - Vyvoj aplikacii'!$J$3:$J$179),0),0)</f>
        <v>0</v>
      </c>
      <c r="I38" s="576">
        <f>IFERROR(IF(VLOOKUP(I$2,MODULY_CBA!$B$3:$I$23,8,0)=$D38,SUMIF('Rozpocet - Vyvoj aplikacii'!$B$3:$B$179,'TCO TO BE- SW'!I$2,'Rozpocet - Vyvoj aplikacii'!$J$3:$J$179),0),0)</f>
        <v>0</v>
      </c>
      <c r="J38" s="576">
        <f>IFERROR(IF(VLOOKUP(J$2,MODULY_CBA!$B$3:$I$23,8,0)=$D38,SUMIF('Rozpocet - Vyvoj aplikacii'!$B$3:$B$179,'TCO TO BE- SW'!J$2,'Rozpocet - Vyvoj aplikacii'!$J$3:$J$179),0),0)</f>
        <v>0</v>
      </c>
      <c r="K38" s="576">
        <f>IFERROR(IF(VLOOKUP(K$2,MODULY_CBA!$B$3:$I$23,8,0)=$D38,SUMIF('Rozpocet - Vyvoj aplikacii'!$B$3:$B$179,'TCO TO BE- SW'!K$2,'Rozpocet - Vyvoj aplikacii'!$J$3:$J$179),0),0)</f>
        <v>0</v>
      </c>
      <c r="L38" s="576">
        <f>IFERROR(IF(VLOOKUP(L$2,MODULY_CBA!$B$3:$I$23,8,0)=$D38,SUMIF('Rozpocet - Vyvoj aplikacii'!$B$3:$B$179,'TCO TO BE- SW'!L$2,'Rozpocet - Vyvoj aplikacii'!$J$3:$J$179),0),0)</f>
        <v>0</v>
      </c>
      <c r="M38" s="576">
        <f>IFERROR(IF(VLOOKUP(M$2,MODULY_CBA!$B$3:$I$23,8,0)=$D38,SUMIF('Rozpocet - Vyvoj aplikacii'!$B$3:$B$179,'TCO TO BE- SW'!M$2,'Rozpocet - Vyvoj aplikacii'!$J$3:$J$179),0),0)</f>
        <v>0</v>
      </c>
      <c r="N38" s="576">
        <f>IFERROR(IF(VLOOKUP(N$2,MODULY_CBA!$B$3:$I$23,8,0)=$D38,SUMIF('Rozpocet - Vyvoj aplikacii'!$B$3:$B$179,'TCO TO BE- SW'!N$2,'Rozpocet - Vyvoj aplikacii'!$J$3:$J$179),0),0)</f>
        <v>0</v>
      </c>
      <c r="O38" s="576">
        <f>IFERROR(IF(VLOOKUP(O$2,MODULY_CBA!$B$3:$I$23,8,0)=$D38,SUMIF('Rozpocet - Vyvoj aplikacii'!$B$3:$B$179,'TCO TO BE- SW'!O$2,'Rozpocet - Vyvoj aplikacii'!$J$3:$J$179),0),0)</f>
        <v>0</v>
      </c>
      <c r="P38" s="576">
        <f>IFERROR(IF(VLOOKUP(P$2,MODULY_CBA!$B$3:$I$23,8,0)=$D38,SUMIF('Rozpocet - Vyvoj aplikacii'!$B$3:$B$179,'TCO TO BE- SW'!P$2,'Rozpocet - Vyvoj aplikacii'!$J$3:$J$179),0),0)</f>
        <v>0</v>
      </c>
      <c r="Q38" s="576">
        <f>IFERROR(IF(VLOOKUP(Q$2,MODULY_CBA!$B$3:$I$23,8,0)=$D38,SUMIF('Rozpocet - Vyvoj aplikacii'!$B$3:$B$179,'TCO TO BE- SW'!Q$2,'Rozpocet - Vyvoj aplikacii'!$J$3:$J$179),0),0)</f>
        <v>0</v>
      </c>
      <c r="R38" s="576">
        <f>IFERROR(IF(VLOOKUP(R$2,MODULY_CBA!$B$3:$I$23,8,0)=$D38,SUMIF('Rozpocet - Vyvoj aplikacii'!$B$3:$B$179,'TCO TO BE- SW'!R$2,'Rozpocet - Vyvoj aplikacii'!$J$3:$J$179),0),0)</f>
        <v>0</v>
      </c>
      <c r="S38" s="576">
        <f>IFERROR(IF(VLOOKUP(S$2,MODULY_CBA!$B$3:$I$23,8,0)=$D38,SUMIF('Rozpocet - Vyvoj aplikacii'!$B$3:$B$179,'TCO TO BE- SW'!S$2,'Rozpocet - Vyvoj aplikacii'!$J$3:$J$179),0),0)</f>
        <v>0</v>
      </c>
      <c r="T38" s="576">
        <f>IFERROR(IF(VLOOKUP(T$2,MODULY_CBA!$B$3:$I$23,8,0)=$D38,SUMIF('Rozpocet - Vyvoj aplikacii'!$B$3:$B$179,'TCO TO BE- SW'!T$2,'Rozpocet - Vyvoj aplikacii'!$J$3:$J$179),0),0)</f>
        <v>0</v>
      </c>
      <c r="U38" s="576">
        <f>IFERROR(IF(VLOOKUP(U$2,MODULY_CBA!$B$3:$I$23,8,0)=$D38,SUMIF('Rozpocet - Vyvoj aplikacii'!$B$3:$B$179,'TCO TO BE- SW'!U$2,'Rozpocet - Vyvoj aplikacii'!$J$3:$J$179),0),0)</f>
        <v>0</v>
      </c>
      <c r="V38" s="576">
        <f>IFERROR(IF(VLOOKUP(V$2,MODULY_CBA!$B$3:$I$23,8,0)=$D38,SUMIF('Rozpocet - Vyvoj aplikacii'!$B$3:$B$179,'TCO TO BE- SW'!V$2,'Rozpocet - Vyvoj aplikacii'!$J$3:$J$179),0),0)</f>
        <v>0</v>
      </c>
      <c r="W38" s="576">
        <f>IFERROR(IF(VLOOKUP(W$2,MODULY_CBA!$B$3:$I$23,8,0)=$D38,SUMIF('Rozpocet - Vyvoj aplikacii'!$B$3:$B$179,'TCO TO BE- SW'!W$2,'Rozpocet - Vyvoj aplikacii'!$J$3:$J$179),0),0)</f>
        <v>0</v>
      </c>
      <c r="X38" s="576">
        <f>IFERROR(IF(VLOOKUP(X$2,MODULY_CBA!$B$3:$I$23,8,0)=$D38,SUMIF('Rozpocet - Vyvoj aplikacii'!$B$3:$B$179,'TCO TO BE- SW'!X$2,'Rozpocet - Vyvoj aplikacii'!$J$3:$J$179),0),0)</f>
        <v>0</v>
      </c>
      <c r="Y38" s="576">
        <f>IFERROR(IF(VLOOKUP(Y$2,MODULY_CBA!$B$3:$I$23,8,0)=$D38,SUMIF('Rozpocet - Vyvoj aplikacii'!$B$3:$B$179,'TCO TO BE- SW'!Y$2,'Rozpocet - Vyvoj aplikacii'!$J$3:$J$179),0),0)</f>
        <v>0</v>
      </c>
      <c r="Z38" s="576">
        <f>IFERROR(IF(VLOOKUP(Z$2,MODULY_CBA!$B$3:$I$23,8,0)=$D38,SUMIF('Rozpocet - Vyvoj aplikacii'!$B$3:$B$179,'TCO TO BE- SW'!Z$2,'Rozpocet - Vyvoj aplikacii'!$J$3:$J$179),0),0)</f>
        <v>0</v>
      </c>
    </row>
    <row r="39" spans="1:26" outlineLevel="2">
      <c r="A39" s="875"/>
      <c r="B39" s="876"/>
      <c r="C39" s="876"/>
      <c r="D39" s="64">
        <v>3</v>
      </c>
      <c r="E39" s="68">
        <f t="shared" si="6"/>
        <v>7666369.1999999993</v>
      </c>
      <c r="F39" s="576">
        <f>IFERROR(IF(VLOOKUP(F$2,MODULY_CBA!$B$3:$I$23,8,0)=$D39,SUMIF('Rozpocet - Vyvoj aplikacii'!$B$3:$B$179,'TCO TO BE- SW'!F$2,'Rozpocet - Vyvoj aplikacii'!$J$3:$J$179),0),0)</f>
        <v>491554.43337901181</v>
      </c>
      <c r="G39" s="576">
        <f>IFERROR(IF(VLOOKUP(G$2,MODULY_CBA!$B$3:$I$23,8,0)=$D39,SUMIF('Rozpocet - Vyvoj aplikacii'!$B$3:$B$179,'TCO TO BE- SW'!G$2,'Rozpocet - Vyvoj aplikacii'!$J$3:$J$179),0),0)</f>
        <v>1657130.0751821133</v>
      </c>
      <c r="H39" s="576">
        <f>IFERROR(IF(VLOOKUP(H$2,MODULY_CBA!$B$3:$I$23,8,0)=$D39,SUMIF('Rozpocet - Vyvoj aplikacii'!$B$3:$B$179,'TCO TO BE- SW'!H$2,'Rozpocet - Vyvoj aplikacii'!$J$3:$J$179),0),0)</f>
        <v>1638330.4680562567</v>
      </c>
      <c r="I39" s="576">
        <f>IFERROR(IF(VLOOKUP(I$2,MODULY_CBA!$B$3:$I$23,8,0)=$D39,SUMIF('Rozpocet - Vyvoj aplikacii'!$B$3:$B$179,'TCO TO BE- SW'!I$2,'Rozpocet - Vyvoj aplikacii'!$J$3:$J$179),0),0)</f>
        <v>325675.54697439598</v>
      </c>
      <c r="J39" s="576">
        <f>IFERROR(IF(VLOOKUP(J$2,MODULY_CBA!$B$3:$I$23,8,0)=$D39,SUMIF('Rozpocet - Vyvoj aplikacii'!$B$3:$B$179,'TCO TO BE- SW'!J$2,'Rozpocet - Vyvoj aplikacii'!$J$3:$J$179),0),0)</f>
        <v>977579.57054453657</v>
      </c>
      <c r="K39" s="576">
        <f>IFERROR(IF(VLOOKUP(K$2,MODULY_CBA!$B$3:$I$23,8,0)=$D39,SUMIF('Rozpocet - Vyvoj aplikacii'!$B$3:$B$179,'TCO TO BE- SW'!K$2,'Rozpocet - Vyvoj aplikacii'!$J$3:$J$179),0),0)</f>
        <v>274253.09218896501</v>
      </c>
      <c r="L39" s="576">
        <f>IFERROR(IF(VLOOKUP(L$2,MODULY_CBA!$B$3:$I$23,8,0)=$D39,SUMIF('Rozpocet - Vyvoj aplikacii'!$B$3:$B$179,'TCO TO BE- SW'!L$2,'Rozpocet - Vyvoj aplikacii'!$J$3:$J$179),0),0)</f>
        <v>90680.45790119005</v>
      </c>
      <c r="M39" s="576">
        <f>IFERROR(IF(VLOOKUP(M$2,MODULY_CBA!$B$3:$I$23,8,0)=$D39,SUMIF('Rozpocet - Vyvoj aplikacii'!$B$3:$B$179,'TCO TO BE- SW'!M$2,'Rozpocet - Vyvoj aplikacii'!$J$3:$J$179),0),0)</f>
        <v>77410.146988820779</v>
      </c>
      <c r="N39" s="576">
        <f>IFERROR(IF(VLOOKUP(N$2,MODULY_CBA!$B$3:$I$23,8,0)=$D39,SUMIF('Rozpocet - Vyvoj aplikacii'!$B$3:$B$179,'TCO TO BE- SW'!N$2,'Rozpocet - Vyvoj aplikacii'!$J$3:$J$179),0),0)</f>
        <v>226148.21513162641</v>
      </c>
      <c r="O39" s="576">
        <f>IFERROR(IF(VLOOKUP(O$2,MODULY_CBA!$B$3:$I$23,8,0)=$D39,SUMIF('Rozpocet - Vyvoj aplikacii'!$B$3:$B$179,'TCO TO BE- SW'!O$2,'Rozpocet - Vyvoj aplikacii'!$J$3:$J$179),0),0)</f>
        <v>269276.72559682658</v>
      </c>
      <c r="P39" s="576">
        <f>IFERROR(IF(VLOOKUP(P$2,MODULY_CBA!$B$3:$I$23,8,0)=$D39,SUMIF('Rozpocet - Vyvoj aplikacii'!$B$3:$B$179,'TCO TO BE- SW'!P$2,'Rozpocet - Vyvoj aplikacii'!$J$3:$J$179),0),0)</f>
        <v>61375.187969707898</v>
      </c>
      <c r="Q39" s="576">
        <f>IFERROR(IF(VLOOKUP(Q$2,MODULY_CBA!$B$3:$I$23,8,0)=$D39,SUMIF('Rozpocet - Vyvoj aplikacii'!$B$3:$B$179,'TCO TO BE- SW'!Q$2,'Rozpocet - Vyvoj aplikacii'!$J$3:$J$179),0),0)</f>
        <v>13823.240533717997</v>
      </c>
      <c r="R39" s="576">
        <f>IFERROR(IF(VLOOKUP(R$2,MODULY_CBA!$B$3:$I$23,8,0)=$D39,SUMIF('Rozpocet - Vyvoj aplikacii'!$B$3:$B$179,'TCO TO BE- SW'!R$2,'Rozpocet - Vyvoj aplikacii'!$J$3:$J$179),0),0)</f>
        <v>108927.13540569779</v>
      </c>
      <c r="S39" s="576">
        <f>IFERROR(IF(VLOOKUP(S$2,MODULY_CBA!$B$3:$I$23,8,0)=$D39,SUMIF('Rozpocet - Vyvoj aplikacii'!$B$3:$B$179,'TCO TO BE- SW'!S$2,'Rozpocet - Vyvoj aplikacii'!$J$3:$J$179),0),0)</f>
        <v>74645.498882077169</v>
      </c>
      <c r="T39" s="576">
        <f>IFERROR(IF(VLOOKUP(T$2,MODULY_CBA!$B$3:$I$23,8,0)=$D39,SUMIF('Rozpocet - Vyvoj aplikacii'!$B$3:$B$179,'TCO TO BE- SW'!T$2,'Rozpocet - Vyvoj aplikacii'!$J$3:$J$179),0),0)</f>
        <v>223383.5670248828</v>
      </c>
      <c r="U39" s="576">
        <f>IFERROR(IF(VLOOKUP(U$2,MODULY_CBA!$B$3:$I$23,8,0)=$D39,SUMIF('Rozpocet - Vyvoj aplikacii'!$B$3:$B$179,'TCO TO BE- SW'!U$2,'Rozpocet - Vyvoj aplikacii'!$J$3:$J$179),0),0)</f>
        <v>174172.83072484672</v>
      </c>
      <c r="V39" s="576">
        <f>IFERROR(IF(VLOOKUP(V$2,MODULY_CBA!$B$3:$I$23,8,0)=$D39,SUMIF('Rozpocet - Vyvoj aplikacii'!$B$3:$B$179,'TCO TO BE- SW'!V$2,'Rozpocet - Vyvoj aplikacii'!$J$3:$J$179),0),0)</f>
        <v>150396.85700685179</v>
      </c>
      <c r="W39" s="576">
        <f>IFERROR(IF(VLOOKUP(W$2,MODULY_CBA!$B$3:$I$23,8,0)=$D39,SUMIF('Rozpocet - Vyvoj aplikacii'!$B$3:$B$179,'TCO TO BE- SW'!W$2,'Rozpocet - Vyvoj aplikacii'!$J$3:$J$179),0),0)</f>
        <v>331757.77280923183</v>
      </c>
      <c r="X39" s="576">
        <f>IFERROR(IF(VLOOKUP(X$2,MODULY_CBA!$B$3:$I$23,8,0)=$D39,SUMIF('Rozpocet - Vyvoj aplikacii'!$B$3:$B$179,'TCO TO BE- SW'!X$2,'Rozpocet - Vyvoj aplikacii'!$J$3:$J$179),0),0)</f>
        <v>499848.37769924261</v>
      </c>
      <c r="Y39" s="576">
        <f>IFERROR(IF(VLOOKUP(Y$2,MODULY_CBA!$B$3:$I$23,8,0)=$D39,SUMIF('Rozpocet - Vyvoj aplikacii'!$B$3:$B$179,'TCO TO BE- SW'!Y$2,'Rozpocet - Vyvoj aplikacii'!$J$3:$J$179),0),0)</f>
        <v>0</v>
      </c>
      <c r="Z39" s="576">
        <f>IFERROR(IF(VLOOKUP(Z$2,MODULY_CBA!$B$3:$I$23,8,0)=$D39,SUMIF('Rozpocet - Vyvoj aplikacii'!$B$3:$B$179,'TCO TO BE- SW'!Z$2,'Rozpocet - Vyvoj aplikacii'!$J$3:$J$179),0),0)</f>
        <v>0</v>
      </c>
    </row>
    <row r="40" spans="1:26" outlineLevel="2">
      <c r="A40" s="875"/>
      <c r="B40" s="876"/>
      <c r="C40" s="876"/>
      <c r="D40" s="64">
        <v>4</v>
      </c>
      <c r="E40" s="68">
        <f t="shared" si="6"/>
        <v>0</v>
      </c>
      <c r="F40" s="576">
        <f>IFERROR(IF(VLOOKUP(F$2,MODULY_CBA!$B$3:$I$23,8,0)=$D40,SUMIF('Rozpocet - Vyvoj aplikacii'!$B$3:$B$179,'TCO TO BE- SW'!F$2,'Rozpocet - Vyvoj aplikacii'!$J$3:$J$179),0),0)</f>
        <v>0</v>
      </c>
      <c r="G40" s="576">
        <f>IFERROR(IF(VLOOKUP(G$2,MODULY_CBA!$B$3:$I$23,8,0)=$D40,SUMIF('Rozpocet - Vyvoj aplikacii'!$B$3:$B$179,'TCO TO BE- SW'!G$2,'Rozpocet - Vyvoj aplikacii'!$J$3:$J$179),0),0)</f>
        <v>0</v>
      </c>
      <c r="H40" s="576">
        <f>IFERROR(IF(VLOOKUP(H$2,MODULY_CBA!$B$3:$I$23,8,0)=$D40,SUMIF('Rozpocet - Vyvoj aplikacii'!$B$3:$B$179,'TCO TO BE- SW'!H$2,'Rozpocet - Vyvoj aplikacii'!$J$3:$J$179),0),0)</f>
        <v>0</v>
      </c>
      <c r="I40" s="576">
        <f>IFERROR(IF(VLOOKUP(I$2,MODULY_CBA!$B$3:$I$23,8,0)=$D40,SUMIF('Rozpocet - Vyvoj aplikacii'!$B$3:$B$179,'TCO TO BE- SW'!I$2,'Rozpocet - Vyvoj aplikacii'!$J$3:$J$179),0),0)</f>
        <v>0</v>
      </c>
      <c r="J40" s="576">
        <f>IFERROR(IF(VLOOKUP(J$2,MODULY_CBA!$B$3:$I$23,8,0)=$D40,SUMIF('Rozpocet - Vyvoj aplikacii'!$B$3:$B$179,'TCO TO BE- SW'!J$2,'Rozpocet - Vyvoj aplikacii'!$J$3:$J$179),0),0)</f>
        <v>0</v>
      </c>
      <c r="K40" s="576">
        <f>IFERROR(IF(VLOOKUP(K$2,MODULY_CBA!$B$3:$I$23,8,0)=$D40,SUMIF('Rozpocet - Vyvoj aplikacii'!$B$3:$B$179,'TCO TO BE- SW'!K$2,'Rozpocet - Vyvoj aplikacii'!$J$3:$J$179),0),0)</f>
        <v>0</v>
      </c>
      <c r="L40" s="576">
        <f>IFERROR(IF(VLOOKUP(L$2,MODULY_CBA!$B$3:$I$23,8,0)=$D40,SUMIF('Rozpocet - Vyvoj aplikacii'!$B$3:$B$179,'TCO TO BE- SW'!L$2,'Rozpocet - Vyvoj aplikacii'!$J$3:$J$179),0),0)</f>
        <v>0</v>
      </c>
      <c r="M40" s="576">
        <f>IFERROR(IF(VLOOKUP(M$2,MODULY_CBA!$B$3:$I$23,8,0)=$D40,SUMIF('Rozpocet - Vyvoj aplikacii'!$B$3:$B$179,'TCO TO BE- SW'!M$2,'Rozpocet - Vyvoj aplikacii'!$J$3:$J$179),0),0)</f>
        <v>0</v>
      </c>
      <c r="N40" s="576">
        <f>IFERROR(IF(VLOOKUP(N$2,MODULY_CBA!$B$3:$I$23,8,0)=$D40,SUMIF('Rozpocet - Vyvoj aplikacii'!$B$3:$B$179,'TCO TO BE- SW'!N$2,'Rozpocet - Vyvoj aplikacii'!$J$3:$J$179),0),0)</f>
        <v>0</v>
      </c>
      <c r="O40" s="576">
        <f>IFERROR(IF(VLOOKUP(O$2,MODULY_CBA!$B$3:$I$23,8,0)=$D40,SUMIF('Rozpocet - Vyvoj aplikacii'!$B$3:$B$179,'TCO TO BE- SW'!O$2,'Rozpocet - Vyvoj aplikacii'!$J$3:$J$179),0),0)</f>
        <v>0</v>
      </c>
      <c r="P40" s="576">
        <f>IFERROR(IF(VLOOKUP(P$2,MODULY_CBA!$B$3:$I$23,8,0)=$D40,SUMIF('Rozpocet - Vyvoj aplikacii'!$B$3:$B$179,'TCO TO BE- SW'!P$2,'Rozpocet - Vyvoj aplikacii'!$J$3:$J$179),0),0)</f>
        <v>0</v>
      </c>
      <c r="Q40" s="576">
        <f>IFERROR(IF(VLOOKUP(Q$2,MODULY_CBA!$B$3:$I$23,8,0)=$D40,SUMIF('Rozpocet - Vyvoj aplikacii'!$B$3:$B$179,'TCO TO BE- SW'!Q$2,'Rozpocet - Vyvoj aplikacii'!$J$3:$J$179),0),0)</f>
        <v>0</v>
      </c>
      <c r="R40" s="576">
        <f>IFERROR(IF(VLOOKUP(R$2,MODULY_CBA!$B$3:$I$23,8,0)=$D40,SUMIF('Rozpocet - Vyvoj aplikacii'!$B$3:$B$179,'TCO TO BE- SW'!R$2,'Rozpocet - Vyvoj aplikacii'!$J$3:$J$179),0),0)</f>
        <v>0</v>
      </c>
      <c r="S40" s="576">
        <f>IFERROR(IF(VLOOKUP(S$2,MODULY_CBA!$B$3:$I$23,8,0)=$D40,SUMIF('Rozpocet - Vyvoj aplikacii'!$B$3:$B$179,'TCO TO BE- SW'!S$2,'Rozpocet - Vyvoj aplikacii'!$J$3:$J$179),0),0)</f>
        <v>0</v>
      </c>
      <c r="T40" s="576">
        <f>IFERROR(IF(VLOOKUP(T$2,MODULY_CBA!$B$3:$I$23,8,0)=$D40,SUMIF('Rozpocet - Vyvoj aplikacii'!$B$3:$B$179,'TCO TO BE- SW'!T$2,'Rozpocet - Vyvoj aplikacii'!$J$3:$J$179),0),0)</f>
        <v>0</v>
      </c>
      <c r="U40" s="576">
        <f>IFERROR(IF(VLOOKUP(U$2,MODULY_CBA!$B$3:$I$23,8,0)=$D40,SUMIF('Rozpocet - Vyvoj aplikacii'!$B$3:$B$179,'TCO TO BE- SW'!U$2,'Rozpocet - Vyvoj aplikacii'!$J$3:$J$179),0),0)</f>
        <v>0</v>
      </c>
      <c r="V40" s="576">
        <f>IFERROR(IF(VLOOKUP(V$2,MODULY_CBA!$B$3:$I$23,8,0)=$D40,SUMIF('Rozpocet - Vyvoj aplikacii'!$B$3:$B$179,'TCO TO BE- SW'!V$2,'Rozpocet - Vyvoj aplikacii'!$J$3:$J$179),0),0)</f>
        <v>0</v>
      </c>
      <c r="W40" s="576">
        <f>IFERROR(IF(VLOOKUP(W$2,MODULY_CBA!$B$3:$I$23,8,0)=$D40,SUMIF('Rozpocet - Vyvoj aplikacii'!$B$3:$B$179,'TCO TO BE- SW'!W$2,'Rozpocet - Vyvoj aplikacii'!$J$3:$J$179),0),0)</f>
        <v>0</v>
      </c>
      <c r="X40" s="576">
        <f>IFERROR(IF(VLOOKUP(X$2,MODULY_CBA!$B$3:$I$23,8,0)=$D40,SUMIF('Rozpocet - Vyvoj aplikacii'!$B$3:$B$179,'TCO TO BE- SW'!X$2,'Rozpocet - Vyvoj aplikacii'!$J$3:$J$179),0),0)</f>
        <v>0</v>
      </c>
      <c r="Y40" s="576">
        <f>IFERROR(IF(VLOOKUP(Y$2,MODULY_CBA!$B$3:$I$23,8,0)=$D40,SUMIF('Rozpocet - Vyvoj aplikacii'!$B$3:$B$179,'TCO TO BE- SW'!Y$2,'Rozpocet - Vyvoj aplikacii'!$J$3:$J$179),0),0)</f>
        <v>0</v>
      </c>
      <c r="Z40" s="576">
        <f>IFERROR(IF(VLOOKUP(Z$2,MODULY_CBA!$B$3:$I$23,8,0)=$D40,SUMIF('Rozpocet - Vyvoj aplikacii'!$B$3:$B$179,'TCO TO BE- SW'!Z$2,'Rozpocet - Vyvoj aplikacii'!$J$3:$J$179),0),0)</f>
        <v>0</v>
      </c>
    </row>
    <row r="41" spans="1:26" outlineLevel="2">
      <c r="A41" s="875"/>
      <c r="B41" s="876"/>
      <c r="C41" s="876"/>
      <c r="D41" s="64">
        <v>5</v>
      </c>
      <c r="E41" s="68">
        <f t="shared" si="6"/>
        <v>0</v>
      </c>
      <c r="F41" s="576">
        <f>IFERROR(IF(VLOOKUP(F$2,MODULY_CBA!$B$3:$I$23,8,0)=$D41,SUMIF('Rozpocet - Vyvoj aplikacii'!$B$3:$B$179,'TCO TO BE- SW'!F$2,'Rozpocet - Vyvoj aplikacii'!$J$3:$J$179),0),0)</f>
        <v>0</v>
      </c>
      <c r="G41" s="576">
        <f>IFERROR(IF(VLOOKUP(G$2,MODULY_CBA!$B$3:$I$23,8,0)=$D41,SUMIF('Rozpocet - Vyvoj aplikacii'!$B$3:$B$179,'TCO TO BE- SW'!G$2,'Rozpocet - Vyvoj aplikacii'!$J$3:$J$179),0),0)</f>
        <v>0</v>
      </c>
      <c r="H41" s="576">
        <f>IFERROR(IF(VLOOKUP(H$2,MODULY_CBA!$B$3:$I$23,8,0)=$D41,SUMIF('Rozpocet - Vyvoj aplikacii'!$B$3:$B$179,'TCO TO BE- SW'!H$2,'Rozpocet - Vyvoj aplikacii'!$J$3:$J$179),0),0)</f>
        <v>0</v>
      </c>
      <c r="I41" s="576">
        <f>IFERROR(IF(VLOOKUP(I$2,MODULY_CBA!$B$3:$I$23,8,0)=$D41,SUMIF('Rozpocet - Vyvoj aplikacii'!$B$3:$B$179,'TCO TO BE- SW'!I$2,'Rozpocet - Vyvoj aplikacii'!$J$3:$J$179),0),0)</f>
        <v>0</v>
      </c>
      <c r="J41" s="576">
        <f>IFERROR(IF(VLOOKUP(J$2,MODULY_CBA!$B$3:$I$23,8,0)=$D41,SUMIF('Rozpocet - Vyvoj aplikacii'!$B$3:$B$179,'TCO TO BE- SW'!J$2,'Rozpocet - Vyvoj aplikacii'!$J$3:$J$179),0),0)</f>
        <v>0</v>
      </c>
      <c r="K41" s="576">
        <f>IFERROR(IF(VLOOKUP(K$2,MODULY_CBA!$B$3:$I$23,8,0)=$D41,SUMIF('Rozpocet - Vyvoj aplikacii'!$B$3:$B$179,'TCO TO BE- SW'!K$2,'Rozpocet - Vyvoj aplikacii'!$J$3:$J$179),0),0)</f>
        <v>0</v>
      </c>
      <c r="L41" s="576">
        <f>IFERROR(IF(VLOOKUP(L$2,MODULY_CBA!$B$3:$I$23,8,0)=$D41,SUMIF('Rozpocet - Vyvoj aplikacii'!$B$3:$B$179,'TCO TO BE- SW'!L$2,'Rozpocet - Vyvoj aplikacii'!$J$3:$J$179),0),0)</f>
        <v>0</v>
      </c>
      <c r="M41" s="576">
        <f>IFERROR(IF(VLOOKUP(M$2,MODULY_CBA!$B$3:$I$23,8,0)=$D41,SUMIF('Rozpocet - Vyvoj aplikacii'!$B$3:$B$179,'TCO TO BE- SW'!M$2,'Rozpocet - Vyvoj aplikacii'!$J$3:$J$179),0),0)</f>
        <v>0</v>
      </c>
      <c r="N41" s="576">
        <f>IFERROR(IF(VLOOKUP(N$2,MODULY_CBA!$B$3:$I$23,8,0)=$D41,SUMIF('Rozpocet - Vyvoj aplikacii'!$B$3:$B$179,'TCO TO BE- SW'!N$2,'Rozpocet - Vyvoj aplikacii'!$J$3:$J$179),0),0)</f>
        <v>0</v>
      </c>
      <c r="O41" s="576">
        <f>IFERROR(IF(VLOOKUP(O$2,MODULY_CBA!$B$3:$I$23,8,0)=$D41,SUMIF('Rozpocet - Vyvoj aplikacii'!$B$3:$B$179,'TCO TO BE- SW'!O$2,'Rozpocet - Vyvoj aplikacii'!$J$3:$J$179),0),0)</f>
        <v>0</v>
      </c>
      <c r="P41" s="576">
        <f>IFERROR(IF(VLOOKUP(P$2,MODULY_CBA!$B$3:$I$23,8,0)=$D41,SUMIF('Rozpocet - Vyvoj aplikacii'!$B$3:$B$179,'TCO TO BE- SW'!P$2,'Rozpocet - Vyvoj aplikacii'!$J$3:$J$179),0),0)</f>
        <v>0</v>
      </c>
      <c r="Q41" s="576">
        <f>IFERROR(IF(VLOOKUP(Q$2,MODULY_CBA!$B$3:$I$23,8,0)=$D41,SUMIF('Rozpocet - Vyvoj aplikacii'!$B$3:$B$179,'TCO TO BE- SW'!Q$2,'Rozpocet - Vyvoj aplikacii'!$J$3:$J$179),0),0)</f>
        <v>0</v>
      </c>
      <c r="R41" s="576">
        <f>IFERROR(IF(VLOOKUP(R$2,MODULY_CBA!$B$3:$I$23,8,0)=$D41,SUMIF('Rozpocet - Vyvoj aplikacii'!$B$3:$B$179,'TCO TO BE- SW'!R$2,'Rozpocet - Vyvoj aplikacii'!$J$3:$J$179),0),0)</f>
        <v>0</v>
      </c>
      <c r="S41" s="576">
        <f>IFERROR(IF(VLOOKUP(S$2,MODULY_CBA!$B$3:$I$23,8,0)=$D41,SUMIF('Rozpocet - Vyvoj aplikacii'!$B$3:$B$179,'TCO TO BE- SW'!S$2,'Rozpocet - Vyvoj aplikacii'!$J$3:$J$179),0),0)</f>
        <v>0</v>
      </c>
      <c r="T41" s="576">
        <f>IFERROR(IF(VLOOKUP(T$2,MODULY_CBA!$B$3:$I$23,8,0)=$D41,SUMIF('Rozpocet - Vyvoj aplikacii'!$B$3:$B$179,'TCO TO BE- SW'!T$2,'Rozpocet - Vyvoj aplikacii'!$J$3:$J$179),0),0)</f>
        <v>0</v>
      </c>
      <c r="U41" s="576">
        <f>IFERROR(IF(VLOOKUP(U$2,MODULY_CBA!$B$3:$I$23,8,0)=$D41,SUMIF('Rozpocet - Vyvoj aplikacii'!$B$3:$B$179,'TCO TO BE- SW'!U$2,'Rozpocet - Vyvoj aplikacii'!$J$3:$J$179),0),0)</f>
        <v>0</v>
      </c>
      <c r="V41" s="576">
        <f>IFERROR(IF(VLOOKUP(V$2,MODULY_CBA!$B$3:$I$23,8,0)=$D41,SUMIF('Rozpocet - Vyvoj aplikacii'!$B$3:$B$179,'TCO TO BE- SW'!V$2,'Rozpocet - Vyvoj aplikacii'!$J$3:$J$179),0),0)</f>
        <v>0</v>
      </c>
      <c r="W41" s="576">
        <f>IFERROR(IF(VLOOKUP(W$2,MODULY_CBA!$B$3:$I$23,8,0)=$D41,SUMIF('Rozpocet - Vyvoj aplikacii'!$B$3:$B$179,'TCO TO BE- SW'!W$2,'Rozpocet - Vyvoj aplikacii'!$J$3:$J$179),0),0)</f>
        <v>0</v>
      </c>
      <c r="X41" s="576">
        <f>IFERROR(IF(VLOOKUP(X$2,MODULY_CBA!$B$3:$I$23,8,0)=$D41,SUMIF('Rozpocet - Vyvoj aplikacii'!$B$3:$B$179,'TCO TO BE- SW'!X$2,'Rozpocet - Vyvoj aplikacii'!$J$3:$J$179),0),0)</f>
        <v>0</v>
      </c>
      <c r="Y41" s="576">
        <f>IFERROR(IF(VLOOKUP(Y$2,MODULY_CBA!$B$3:$I$23,8,0)=$D41,SUMIF('Rozpocet - Vyvoj aplikacii'!$B$3:$B$179,'TCO TO BE- SW'!Y$2,'Rozpocet - Vyvoj aplikacii'!$J$3:$J$179),0),0)</f>
        <v>0</v>
      </c>
      <c r="Z41" s="576">
        <f>IFERROR(IF(VLOOKUP(Z$2,MODULY_CBA!$B$3:$I$23,8,0)=$D41,SUMIF('Rozpocet - Vyvoj aplikacii'!$B$3:$B$179,'TCO TO BE- SW'!Z$2,'Rozpocet - Vyvoj aplikacii'!$J$3:$J$179),0),0)</f>
        <v>0</v>
      </c>
    </row>
    <row r="42" spans="1:26" outlineLevel="2">
      <c r="A42" s="875"/>
      <c r="B42" s="876"/>
      <c r="C42" s="876"/>
      <c r="D42" s="64">
        <v>6</v>
      </c>
      <c r="E42" s="68">
        <f t="shared" si="6"/>
        <v>0</v>
      </c>
      <c r="F42" s="576">
        <f>IFERROR(IF(VLOOKUP(F$2,MODULY_CBA!$B$3:$I$23,8,0)=$D42,SUMIF('Rozpocet - Vyvoj aplikacii'!$B$3:$B$179,'TCO TO BE- SW'!F$2,'Rozpocet - Vyvoj aplikacii'!$J$3:$J$179),0),0)</f>
        <v>0</v>
      </c>
      <c r="G42" s="576">
        <f>IFERROR(IF(VLOOKUP(G$2,MODULY_CBA!$B$3:$I$23,8,0)=$D42,SUMIF('Rozpocet - Vyvoj aplikacii'!$B$3:$B$179,'TCO TO BE- SW'!G$2,'Rozpocet - Vyvoj aplikacii'!$J$3:$J$179),0),0)</f>
        <v>0</v>
      </c>
      <c r="H42" s="576">
        <f>IFERROR(IF(VLOOKUP(H$2,MODULY_CBA!$B$3:$I$23,8,0)=$D42,SUMIF('Rozpocet - Vyvoj aplikacii'!$B$3:$B$179,'TCO TO BE- SW'!H$2,'Rozpocet - Vyvoj aplikacii'!$J$3:$J$179),0),0)</f>
        <v>0</v>
      </c>
      <c r="I42" s="576">
        <f>IFERROR(IF(VLOOKUP(I$2,MODULY_CBA!$B$3:$I$23,8,0)=$D42,SUMIF('Rozpocet - Vyvoj aplikacii'!$B$3:$B$179,'TCO TO BE- SW'!I$2,'Rozpocet - Vyvoj aplikacii'!$J$3:$J$179),0),0)</f>
        <v>0</v>
      </c>
      <c r="J42" s="576">
        <f>IFERROR(IF(VLOOKUP(J$2,MODULY_CBA!$B$3:$I$23,8,0)=$D42,SUMIF('Rozpocet - Vyvoj aplikacii'!$B$3:$B$179,'TCO TO BE- SW'!J$2,'Rozpocet - Vyvoj aplikacii'!$J$3:$J$179),0),0)</f>
        <v>0</v>
      </c>
      <c r="K42" s="576">
        <f>IFERROR(IF(VLOOKUP(K$2,MODULY_CBA!$B$3:$I$23,8,0)=$D42,SUMIF('Rozpocet - Vyvoj aplikacii'!$B$3:$B$179,'TCO TO BE- SW'!K$2,'Rozpocet - Vyvoj aplikacii'!$J$3:$J$179),0),0)</f>
        <v>0</v>
      </c>
      <c r="L42" s="576">
        <f>IFERROR(IF(VLOOKUP(L$2,MODULY_CBA!$B$3:$I$23,8,0)=$D42,SUMIF('Rozpocet - Vyvoj aplikacii'!$B$3:$B$179,'TCO TO BE- SW'!L$2,'Rozpocet - Vyvoj aplikacii'!$J$3:$J$179),0),0)</f>
        <v>0</v>
      </c>
      <c r="M42" s="576">
        <f>IFERROR(IF(VLOOKUP(M$2,MODULY_CBA!$B$3:$I$23,8,0)=$D42,SUMIF('Rozpocet - Vyvoj aplikacii'!$B$3:$B$179,'TCO TO BE- SW'!M$2,'Rozpocet - Vyvoj aplikacii'!$J$3:$J$179),0),0)</f>
        <v>0</v>
      </c>
      <c r="N42" s="576">
        <f>IFERROR(IF(VLOOKUP(N$2,MODULY_CBA!$B$3:$I$23,8,0)=$D42,SUMIF('Rozpocet - Vyvoj aplikacii'!$B$3:$B$179,'TCO TO BE- SW'!N$2,'Rozpocet - Vyvoj aplikacii'!$J$3:$J$179),0),0)</f>
        <v>0</v>
      </c>
      <c r="O42" s="576">
        <f>IFERROR(IF(VLOOKUP(O$2,MODULY_CBA!$B$3:$I$23,8,0)=$D42,SUMIF('Rozpocet - Vyvoj aplikacii'!$B$3:$B$179,'TCO TO BE- SW'!O$2,'Rozpocet - Vyvoj aplikacii'!$J$3:$J$179),0),0)</f>
        <v>0</v>
      </c>
      <c r="P42" s="576">
        <f>IFERROR(IF(VLOOKUP(P$2,MODULY_CBA!$B$3:$I$23,8,0)=$D42,SUMIF('Rozpocet - Vyvoj aplikacii'!$B$3:$B$179,'TCO TO BE- SW'!P$2,'Rozpocet - Vyvoj aplikacii'!$J$3:$J$179),0),0)</f>
        <v>0</v>
      </c>
      <c r="Q42" s="576">
        <f>IFERROR(IF(VLOOKUP(Q$2,MODULY_CBA!$B$3:$I$23,8,0)=$D42,SUMIF('Rozpocet - Vyvoj aplikacii'!$B$3:$B$179,'TCO TO BE- SW'!Q$2,'Rozpocet - Vyvoj aplikacii'!$J$3:$J$179),0),0)</f>
        <v>0</v>
      </c>
      <c r="R42" s="576">
        <f>IFERROR(IF(VLOOKUP(R$2,MODULY_CBA!$B$3:$I$23,8,0)=$D42,SUMIF('Rozpocet - Vyvoj aplikacii'!$B$3:$B$179,'TCO TO BE- SW'!R$2,'Rozpocet - Vyvoj aplikacii'!$J$3:$J$179),0),0)</f>
        <v>0</v>
      </c>
      <c r="S42" s="576">
        <f>IFERROR(IF(VLOOKUP(S$2,MODULY_CBA!$B$3:$I$23,8,0)=$D42,SUMIF('Rozpocet - Vyvoj aplikacii'!$B$3:$B$179,'TCO TO BE- SW'!S$2,'Rozpocet - Vyvoj aplikacii'!$J$3:$J$179),0),0)</f>
        <v>0</v>
      </c>
      <c r="T42" s="576">
        <f>IFERROR(IF(VLOOKUP(T$2,MODULY_CBA!$B$3:$I$23,8,0)=$D42,SUMIF('Rozpocet - Vyvoj aplikacii'!$B$3:$B$179,'TCO TO BE- SW'!T$2,'Rozpocet - Vyvoj aplikacii'!$J$3:$J$179),0),0)</f>
        <v>0</v>
      </c>
      <c r="U42" s="576">
        <f>IFERROR(IF(VLOOKUP(U$2,MODULY_CBA!$B$3:$I$23,8,0)=$D42,SUMIF('Rozpocet - Vyvoj aplikacii'!$B$3:$B$179,'TCO TO BE- SW'!U$2,'Rozpocet - Vyvoj aplikacii'!$J$3:$J$179),0),0)</f>
        <v>0</v>
      </c>
      <c r="V42" s="576">
        <f>IFERROR(IF(VLOOKUP(V$2,MODULY_CBA!$B$3:$I$23,8,0)=$D42,SUMIF('Rozpocet - Vyvoj aplikacii'!$B$3:$B$179,'TCO TO BE- SW'!V$2,'Rozpocet - Vyvoj aplikacii'!$J$3:$J$179),0),0)</f>
        <v>0</v>
      </c>
      <c r="W42" s="576">
        <f>IFERROR(IF(VLOOKUP(W$2,MODULY_CBA!$B$3:$I$23,8,0)=$D42,SUMIF('Rozpocet - Vyvoj aplikacii'!$B$3:$B$179,'TCO TO BE- SW'!W$2,'Rozpocet - Vyvoj aplikacii'!$J$3:$J$179),0),0)</f>
        <v>0</v>
      </c>
      <c r="X42" s="576">
        <f>IFERROR(IF(VLOOKUP(X$2,MODULY_CBA!$B$3:$I$23,8,0)=$D42,SUMIF('Rozpocet - Vyvoj aplikacii'!$B$3:$B$179,'TCO TO BE- SW'!X$2,'Rozpocet - Vyvoj aplikacii'!$J$3:$J$179),0),0)</f>
        <v>0</v>
      </c>
      <c r="Y42" s="576">
        <f>IFERROR(IF(VLOOKUP(Y$2,MODULY_CBA!$B$3:$I$23,8,0)=$D42,SUMIF('Rozpocet - Vyvoj aplikacii'!$B$3:$B$179,'TCO TO BE- SW'!Y$2,'Rozpocet - Vyvoj aplikacii'!$J$3:$J$179),0),0)</f>
        <v>0</v>
      </c>
      <c r="Z42" s="576">
        <f>IFERROR(IF(VLOOKUP(Z$2,MODULY_CBA!$B$3:$I$23,8,0)=$D42,SUMIF('Rozpocet - Vyvoj aplikacii'!$B$3:$B$179,'TCO TO BE- SW'!Z$2,'Rozpocet - Vyvoj aplikacii'!$J$3:$J$179),0),0)</f>
        <v>0</v>
      </c>
    </row>
    <row r="43" spans="1:26" outlineLevel="2">
      <c r="A43" s="875"/>
      <c r="B43" s="876"/>
      <c r="C43" s="876"/>
      <c r="D43" s="64">
        <v>7</v>
      </c>
      <c r="E43" s="68">
        <f t="shared" si="6"/>
        <v>0</v>
      </c>
      <c r="F43" s="576">
        <f>IFERROR(IF(VLOOKUP(F$2,MODULY_CBA!$B$3:$I$23,8,0)=$D43,SUMIF('Rozpocet - Vyvoj aplikacii'!$B$3:$B$179,'TCO TO BE- SW'!F$2,'Rozpocet - Vyvoj aplikacii'!$J$3:$J$179),0),0)</f>
        <v>0</v>
      </c>
      <c r="G43" s="576">
        <f>IFERROR(IF(VLOOKUP(G$2,MODULY_CBA!$B$3:$I$23,8,0)=$D43,SUMIF('Rozpocet - Vyvoj aplikacii'!$B$3:$B$179,'TCO TO BE- SW'!G$2,'Rozpocet - Vyvoj aplikacii'!$J$3:$J$179),0),0)</f>
        <v>0</v>
      </c>
      <c r="H43" s="576">
        <f>IFERROR(IF(VLOOKUP(H$2,MODULY_CBA!$B$3:$I$23,8,0)=$D43,SUMIF('Rozpocet - Vyvoj aplikacii'!$B$3:$B$179,'TCO TO BE- SW'!H$2,'Rozpocet - Vyvoj aplikacii'!$J$3:$J$179),0),0)</f>
        <v>0</v>
      </c>
      <c r="I43" s="576">
        <f>IFERROR(IF(VLOOKUP(I$2,MODULY_CBA!$B$3:$I$23,8,0)=$D43,SUMIF('Rozpocet - Vyvoj aplikacii'!$B$3:$B$179,'TCO TO BE- SW'!I$2,'Rozpocet - Vyvoj aplikacii'!$J$3:$J$179),0),0)</f>
        <v>0</v>
      </c>
      <c r="J43" s="576">
        <f>IFERROR(IF(VLOOKUP(J$2,MODULY_CBA!$B$3:$I$23,8,0)=$D43,SUMIF('Rozpocet - Vyvoj aplikacii'!$B$3:$B$179,'TCO TO BE- SW'!J$2,'Rozpocet - Vyvoj aplikacii'!$J$3:$J$179),0),0)</f>
        <v>0</v>
      </c>
      <c r="K43" s="576">
        <f>IFERROR(IF(VLOOKUP(K$2,MODULY_CBA!$B$3:$I$23,8,0)=$D43,SUMIF('Rozpocet - Vyvoj aplikacii'!$B$3:$B$179,'TCO TO BE- SW'!K$2,'Rozpocet - Vyvoj aplikacii'!$J$3:$J$179),0),0)</f>
        <v>0</v>
      </c>
      <c r="L43" s="576">
        <f>IFERROR(IF(VLOOKUP(L$2,MODULY_CBA!$B$3:$I$23,8,0)=$D43,SUMIF('Rozpocet - Vyvoj aplikacii'!$B$3:$B$179,'TCO TO BE- SW'!L$2,'Rozpocet - Vyvoj aplikacii'!$J$3:$J$179),0),0)</f>
        <v>0</v>
      </c>
      <c r="M43" s="576">
        <f>IFERROR(IF(VLOOKUP(M$2,MODULY_CBA!$B$3:$I$23,8,0)=$D43,SUMIF('Rozpocet - Vyvoj aplikacii'!$B$3:$B$179,'TCO TO BE- SW'!M$2,'Rozpocet - Vyvoj aplikacii'!$J$3:$J$179),0),0)</f>
        <v>0</v>
      </c>
      <c r="N43" s="576">
        <f>IFERROR(IF(VLOOKUP(N$2,MODULY_CBA!$B$3:$I$23,8,0)=$D43,SUMIF('Rozpocet - Vyvoj aplikacii'!$B$3:$B$179,'TCO TO BE- SW'!N$2,'Rozpocet - Vyvoj aplikacii'!$J$3:$J$179),0),0)</f>
        <v>0</v>
      </c>
      <c r="O43" s="576">
        <f>IFERROR(IF(VLOOKUP(O$2,MODULY_CBA!$B$3:$I$23,8,0)=$D43,SUMIF('Rozpocet - Vyvoj aplikacii'!$B$3:$B$179,'TCO TO BE- SW'!O$2,'Rozpocet - Vyvoj aplikacii'!$J$3:$J$179),0),0)</f>
        <v>0</v>
      </c>
      <c r="P43" s="576">
        <f>IFERROR(IF(VLOOKUP(P$2,MODULY_CBA!$B$3:$I$23,8,0)=$D43,SUMIF('Rozpocet - Vyvoj aplikacii'!$B$3:$B$179,'TCO TO BE- SW'!P$2,'Rozpocet - Vyvoj aplikacii'!$J$3:$J$179),0),0)</f>
        <v>0</v>
      </c>
      <c r="Q43" s="576">
        <f>IFERROR(IF(VLOOKUP(Q$2,MODULY_CBA!$B$3:$I$23,8,0)=$D43,SUMIF('Rozpocet - Vyvoj aplikacii'!$B$3:$B$179,'TCO TO BE- SW'!Q$2,'Rozpocet - Vyvoj aplikacii'!$J$3:$J$179),0),0)</f>
        <v>0</v>
      </c>
      <c r="R43" s="576">
        <f>IFERROR(IF(VLOOKUP(R$2,MODULY_CBA!$B$3:$I$23,8,0)=$D43,SUMIF('Rozpocet - Vyvoj aplikacii'!$B$3:$B$179,'TCO TO BE- SW'!R$2,'Rozpocet - Vyvoj aplikacii'!$J$3:$J$179),0),0)</f>
        <v>0</v>
      </c>
      <c r="S43" s="576">
        <f>IFERROR(IF(VLOOKUP(S$2,MODULY_CBA!$B$3:$I$23,8,0)=$D43,SUMIF('Rozpocet - Vyvoj aplikacii'!$B$3:$B$179,'TCO TO BE- SW'!S$2,'Rozpocet - Vyvoj aplikacii'!$J$3:$J$179),0),0)</f>
        <v>0</v>
      </c>
      <c r="T43" s="576">
        <f>IFERROR(IF(VLOOKUP(T$2,MODULY_CBA!$B$3:$I$23,8,0)=$D43,SUMIF('Rozpocet - Vyvoj aplikacii'!$B$3:$B$179,'TCO TO BE- SW'!T$2,'Rozpocet - Vyvoj aplikacii'!$J$3:$J$179),0),0)</f>
        <v>0</v>
      </c>
      <c r="U43" s="576">
        <f>IFERROR(IF(VLOOKUP(U$2,MODULY_CBA!$B$3:$I$23,8,0)=$D43,SUMIF('Rozpocet - Vyvoj aplikacii'!$B$3:$B$179,'TCO TO BE- SW'!U$2,'Rozpocet - Vyvoj aplikacii'!$J$3:$J$179),0),0)</f>
        <v>0</v>
      </c>
      <c r="V43" s="576">
        <f>IFERROR(IF(VLOOKUP(V$2,MODULY_CBA!$B$3:$I$23,8,0)=$D43,SUMIF('Rozpocet - Vyvoj aplikacii'!$B$3:$B$179,'TCO TO BE- SW'!V$2,'Rozpocet - Vyvoj aplikacii'!$J$3:$J$179),0),0)</f>
        <v>0</v>
      </c>
      <c r="W43" s="576">
        <f>IFERROR(IF(VLOOKUP(W$2,MODULY_CBA!$B$3:$I$23,8,0)=$D43,SUMIF('Rozpocet - Vyvoj aplikacii'!$B$3:$B$179,'TCO TO BE- SW'!W$2,'Rozpocet - Vyvoj aplikacii'!$J$3:$J$179),0),0)</f>
        <v>0</v>
      </c>
      <c r="X43" s="576">
        <f>IFERROR(IF(VLOOKUP(X$2,MODULY_CBA!$B$3:$I$23,8,0)=$D43,SUMIF('Rozpocet - Vyvoj aplikacii'!$B$3:$B$179,'TCO TO BE- SW'!X$2,'Rozpocet - Vyvoj aplikacii'!$J$3:$J$179),0),0)</f>
        <v>0</v>
      </c>
      <c r="Y43" s="576">
        <f>IFERROR(IF(VLOOKUP(Y$2,MODULY_CBA!$B$3:$I$23,8,0)=$D43,SUMIF('Rozpocet - Vyvoj aplikacii'!$B$3:$B$179,'TCO TO BE- SW'!Y$2,'Rozpocet - Vyvoj aplikacii'!$J$3:$J$179),0),0)</f>
        <v>0</v>
      </c>
      <c r="Z43" s="576">
        <f>IFERROR(IF(VLOOKUP(Z$2,MODULY_CBA!$B$3:$I$23,8,0)=$D43,SUMIF('Rozpocet - Vyvoj aplikacii'!$B$3:$B$179,'TCO TO BE- SW'!Z$2,'Rozpocet - Vyvoj aplikacii'!$J$3:$J$179),0),0)</f>
        <v>0</v>
      </c>
    </row>
    <row r="44" spans="1:26" outlineLevel="2">
      <c r="A44" s="875"/>
      <c r="B44" s="876"/>
      <c r="C44" s="876"/>
      <c r="D44" s="64">
        <v>8</v>
      </c>
      <c r="E44" s="68">
        <f t="shared" si="6"/>
        <v>0</v>
      </c>
      <c r="F44" s="576">
        <f>IFERROR(IF(VLOOKUP(F$2,MODULY_CBA!$B$3:$I$23,8,0)=$D44,SUMIF('Rozpocet - Vyvoj aplikacii'!$B$3:$B$179,'TCO TO BE- SW'!F$2,'Rozpocet - Vyvoj aplikacii'!$J$3:$J$179),0),0)</f>
        <v>0</v>
      </c>
      <c r="G44" s="576">
        <f>IFERROR(IF(VLOOKUP(G$2,MODULY_CBA!$B$3:$I$23,8,0)=$D44,SUMIF('Rozpocet - Vyvoj aplikacii'!$B$3:$B$179,'TCO TO BE- SW'!G$2,'Rozpocet - Vyvoj aplikacii'!$J$3:$J$179),0),0)</f>
        <v>0</v>
      </c>
      <c r="H44" s="576">
        <f>IFERROR(IF(VLOOKUP(H$2,MODULY_CBA!$B$3:$I$23,8,0)=$D44,SUMIF('Rozpocet - Vyvoj aplikacii'!$B$3:$B$179,'TCO TO BE- SW'!H$2,'Rozpocet - Vyvoj aplikacii'!$J$3:$J$179),0),0)</f>
        <v>0</v>
      </c>
      <c r="I44" s="576">
        <f>IFERROR(IF(VLOOKUP(I$2,MODULY_CBA!$B$3:$I$23,8,0)=$D44,SUMIF('Rozpocet - Vyvoj aplikacii'!$B$3:$B$179,'TCO TO BE- SW'!I$2,'Rozpocet - Vyvoj aplikacii'!$J$3:$J$179),0),0)</f>
        <v>0</v>
      </c>
      <c r="J44" s="576">
        <f>IFERROR(IF(VLOOKUP(J$2,MODULY_CBA!$B$3:$I$23,8,0)=$D44,SUMIF('Rozpocet - Vyvoj aplikacii'!$B$3:$B$179,'TCO TO BE- SW'!J$2,'Rozpocet - Vyvoj aplikacii'!$J$3:$J$179),0),0)</f>
        <v>0</v>
      </c>
      <c r="K44" s="576">
        <f>IFERROR(IF(VLOOKUP(K$2,MODULY_CBA!$B$3:$I$23,8,0)=$D44,SUMIF('Rozpocet - Vyvoj aplikacii'!$B$3:$B$179,'TCO TO BE- SW'!K$2,'Rozpocet - Vyvoj aplikacii'!$J$3:$J$179),0),0)</f>
        <v>0</v>
      </c>
      <c r="L44" s="576">
        <f>IFERROR(IF(VLOOKUP(L$2,MODULY_CBA!$B$3:$I$23,8,0)=$D44,SUMIF('Rozpocet - Vyvoj aplikacii'!$B$3:$B$179,'TCO TO BE- SW'!L$2,'Rozpocet - Vyvoj aplikacii'!$J$3:$J$179),0),0)</f>
        <v>0</v>
      </c>
      <c r="M44" s="576">
        <f>IFERROR(IF(VLOOKUP(M$2,MODULY_CBA!$B$3:$I$23,8,0)=$D44,SUMIF('Rozpocet - Vyvoj aplikacii'!$B$3:$B$179,'TCO TO BE- SW'!M$2,'Rozpocet - Vyvoj aplikacii'!$J$3:$J$179),0),0)</f>
        <v>0</v>
      </c>
      <c r="N44" s="576">
        <f>IFERROR(IF(VLOOKUP(N$2,MODULY_CBA!$B$3:$I$23,8,0)=$D44,SUMIF('Rozpocet - Vyvoj aplikacii'!$B$3:$B$179,'TCO TO BE- SW'!N$2,'Rozpocet - Vyvoj aplikacii'!$J$3:$J$179),0),0)</f>
        <v>0</v>
      </c>
      <c r="O44" s="576">
        <f>IFERROR(IF(VLOOKUP(O$2,MODULY_CBA!$B$3:$I$23,8,0)=$D44,SUMIF('Rozpocet - Vyvoj aplikacii'!$B$3:$B$179,'TCO TO BE- SW'!O$2,'Rozpocet - Vyvoj aplikacii'!$J$3:$J$179),0),0)</f>
        <v>0</v>
      </c>
      <c r="P44" s="576">
        <f>IFERROR(IF(VLOOKUP(P$2,MODULY_CBA!$B$3:$I$23,8,0)=$D44,SUMIF('Rozpocet - Vyvoj aplikacii'!$B$3:$B$179,'TCO TO BE- SW'!P$2,'Rozpocet - Vyvoj aplikacii'!$J$3:$J$179),0),0)</f>
        <v>0</v>
      </c>
      <c r="Q44" s="576">
        <f>IFERROR(IF(VLOOKUP(Q$2,MODULY_CBA!$B$3:$I$23,8,0)=$D44,SUMIF('Rozpocet - Vyvoj aplikacii'!$B$3:$B$179,'TCO TO BE- SW'!Q$2,'Rozpocet - Vyvoj aplikacii'!$J$3:$J$179),0),0)</f>
        <v>0</v>
      </c>
      <c r="R44" s="576">
        <f>IFERROR(IF(VLOOKUP(R$2,MODULY_CBA!$B$3:$I$23,8,0)=$D44,SUMIF('Rozpocet - Vyvoj aplikacii'!$B$3:$B$179,'TCO TO BE- SW'!R$2,'Rozpocet - Vyvoj aplikacii'!$J$3:$J$179),0),0)</f>
        <v>0</v>
      </c>
      <c r="S44" s="576">
        <f>IFERROR(IF(VLOOKUP(S$2,MODULY_CBA!$B$3:$I$23,8,0)=$D44,SUMIF('Rozpocet - Vyvoj aplikacii'!$B$3:$B$179,'TCO TO BE- SW'!S$2,'Rozpocet - Vyvoj aplikacii'!$J$3:$J$179),0),0)</f>
        <v>0</v>
      </c>
      <c r="T44" s="576">
        <f>IFERROR(IF(VLOOKUP(T$2,MODULY_CBA!$B$3:$I$23,8,0)=$D44,SUMIF('Rozpocet - Vyvoj aplikacii'!$B$3:$B$179,'TCO TO BE- SW'!T$2,'Rozpocet - Vyvoj aplikacii'!$J$3:$J$179),0),0)</f>
        <v>0</v>
      </c>
      <c r="U44" s="576">
        <f>IFERROR(IF(VLOOKUP(U$2,MODULY_CBA!$B$3:$I$23,8,0)=$D44,SUMIF('Rozpocet - Vyvoj aplikacii'!$B$3:$B$179,'TCO TO BE- SW'!U$2,'Rozpocet - Vyvoj aplikacii'!$J$3:$J$179),0),0)</f>
        <v>0</v>
      </c>
      <c r="V44" s="576">
        <f>IFERROR(IF(VLOOKUP(V$2,MODULY_CBA!$B$3:$I$23,8,0)=$D44,SUMIF('Rozpocet - Vyvoj aplikacii'!$B$3:$B$179,'TCO TO BE- SW'!V$2,'Rozpocet - Vyvoj aplikacii'!$J$3:$J$179),0),0)</f>
        <v>0</v>
      </c>
      <c r="W44" s="576">
        <f>IFERROR(IF(VLOOKUP(W$2,MODULY_CBA!$B$3:$I$23,8,0)=$D44,SUMIF('Rozpocet - Vyvoj aplikacii'!$B$3:$B$179,'TCO TO BE- SW'!W$2,'Rozpocet - Vyvoj aplikacii'!$J$3:$J$179),0),0)</f>
        <v>0</v>
      </c>
      <c r="X44" s="576">
        <f>IFERROR(IF(VLOOKUP(X$2,MODULY_CBA!$B$3:$I$23,8,0)=$D44,SUMIF('Rozpocet - Vyvoj aplikacii'!$B$3:$B$179,'TCO TO BE- SW'!X$2,'Rozpocet - Vyvoj aplikacii'!$J$3:$J$179),0),0)</f>
        <v>0</v>
      </c>
      <c r="Y44" s="576">
        <f>IFERROR(IF(VLOOKUP(Y$2,MODULY_CBA!$B$3:$I$23,8,0)=$D44,SUMIF('Rozpocet - Vyvoj aplikacii'!$B$3:$B$179,'TCO TO BE- SW'!Y$2,'Rozpocet - Vyvoj aplikacii'!$J$3:$J$179),0),0)</f>
        <v>0</v>
      </c>
      <c r="Z44" s="576">
        <f>IFERROR(IF(VLOOKUP(Z$2,MODULY_CBA!$B$3:$I$23,8,0)=$D44,SUMIF('Rozpocet - Vyvoj aplikacii'!$B$3:$B$179,'TCO TO BE- SW'!Z$2,'Rozpocet - Vyvoj aplikacii'!$J$3:$J$179),0),0)</f>
        <v>0</v>
      </c>
    </row>
    <row r="45" spans="1:26" outlineLevel="2">
      <c r="A45" s="875"/>
      <c r="B45" s="876"/>
      <c r="C45" s="876"/>
      <c r="D45" s="64">
        <v>9</v>
      </c>
      <c r="E45" s="68">
        <f t="shared" si="6"/>
        <v>0</v>
      </c>
      <c r="F45" s="576">
        <f>IFERROR(IF(VLOOKUP(F$2,MODULY_CBA!$B$3:$I$23,8,0)=$D45,SUMIF('Rozpocet - Vyvoj aplikacii'!$B$3:$B$179,'TCO TO BE- SW'!F$2,'Rozpocet - Vyvoj aplikacii'!$J$3:$J$179),0),0)</f>
        <v>0</v>
      </c>
      <c r="G45" s="576">
        <f>IFERROR(IF(VLOOKUP(G$2,MODULY_CBA!$B$3:$I$23,8,0)=$D45,SUMIF('Rozpocet - Vyvoj aplikacii'!$B$3:$B$179,'TCO TO BE- SW'!G$2,'Rozpocet - Vyvoj aplikacii'!$J$3:$J$179),0),0)</f>
        <v>0</v>
      </c>
      <c r="H45" s="576">
        <f>IFERROR(IF(VLOOKUP(H$2,MODULY_CBA!$B$3:$I$23,8,0)=$D45,SUMIF('Rozpocet - Vyvoj aplikacii'!$B$3:$B$179,'TCO TO BE- SW'!H$2,'Rozpocet - Vyvoj aplikacii'!$J$3:$J$179),0),0)</f>
        <v>0</v>
      </c>
      <c r="I45" s="576">
        <f>IFERROR(IF(VLOOKUP(I$2,MODULY_CBA!$B$3:$I$23,8,0)=$D45,SUMIF('Rozpocet - Vyvoj aplikacii'!$B$3:$B$179,'TCO TO BE- SW'!I$2,'Rozpocet - Vyvoj aplikacii'!$J$3:$J$179),0),0)</f>
        <v>0</v>
      </c>
      <c r="J45" s="576">
        <f>IFERROR(IF(VLOOKUP(J$2,MODULY_CBA!$B$3:$I$23,8,0)=$D45,SUMIF('Rozpocet - Vyvoj aplikacii'!$B$3:$B$179,'TCO TO BE- SW'!J$2,'Rozpocet - Vyvoj aplikacii'!$J$3:$J$179),0),0)</f>
        <v>0</v>
      </c>
      <c r="K45" s="576">
        <f>IFERROR(IF(VLOOKUP(K$2,MODULY_CBA!$B$3:$I$23,8,0)=$D45,SUMIF('Rozpocet - Vyvoj aplikacii'!$B$3:$B$179,'TCO TO BE- SW'!K$2,'Rozpocet - Vyvoj aplikacii'!$J$3:$J$179),0),0)</f>
        <v>0</v>
      </c>
      <c r="L45" s="576">
        <f>IFERROR(IF(VLOOKUP(L$2,MODULY_CBA!$B$3:$I$23,8,0)=$D45,SUMIF('Rozpocet - Vyvoj aplikacii'!$B$3:$B$179,'TCO TO BE- SW'!L$2,'Rozpocet - Vyvoj aplikacii'!$J$3:$J$179),0),0)</f>
        <v>0</v>
      </c>
      <c r="M45" s="576">
        <f>IFERROR(IF(VLOOKUP(M$2,MODULY_CBA!$B$3:$I$23,8,0)=$D45,SUMIF('Rozpocet - Vyvoj aplikacii'!$B$3:$B$179,'TCO TO BE- SW'!M$2,'Rozpocet - Vyvoj aplikacii'!$J$3:$J$179),0),0)</f>
        <v>0</v>
      </c>
      <c r="N45" s="576">
        <f>IFERROR(IF(VLOOKUP(N$2,MODULY_CBA!$B$3:$I$23,8,0)=$D45,SUMIF('Rozpocet - Vyvoj aplikacii'!$B$3:$B$179,'TCO TO BE- SW'!N$2,'Rozpocet - Vyvoj aplikacii'!$J$3:$J$179),0),0)</f>
        <v>0</v>
      </c>
      <c r="O45" s="576">
        <f>IFERROR(IF(VLOOKUP(O$2,MODULY_CBA!$B$3:$I$23,8,0)=$D45,SUMIF('Rozpocet - Vyvoj aplikacii'!$B$3:$B$179,'TCO TO BE- SW'!O$2,'Rozpocet - Vyvoj aplikacii'!$J$3:$J$179),0),0)</f>
        <v>0</v>
      </c>
      <c r="P45" s="576">
        <f>IFERROR(IF(VLOOKUP(P$2,MODULY_CBA!$B$3:$I$23,8,0)=$D45,SUMIF('Rozpocet - Vyvoj aplikacii'!$B$3:$B$179,'TCO TO BE- SW'!P$2,'Rozpocet - Vyvoj aplikacii'!$J$3:$J$179),0),0)</f>
        <v>0</v>
      </c>
      <c r="Q45" s="576">
        <f>IFERROR(IF(VLOOKUP(Q$2,MODULY_CBA!$B$3:$I$23,8,0)=$D45,SUMIF('Rozpocet - Vyvoj aplikacii'!$B$3:$B$179,'TCO TO BE- SW'!Q$2,'Rozpocet - Vyvoj aplikacii'!$J$3:$J$179),0),0)</f>
        <v>0</v>
      </c>
      <c r="R45" s="576">
        <f>IFERROR(IF(VLOOKUP(R$2,MODULY_CBA!$B$3:$I$23,8,0)=$D45,SUMIF('Rozpocet - Vyvoj aplikacii'!$B$3:$B$179,'TCO TO BE- SW'!R$2,'Rozpocet - Vyvoj aplikacii'!$J$3:$J$179),0),0)</f>
        <v>0</v>
      </c>
      <c r="S45" s="576">
        <f>IFERROR(IF(VLOOKUP(S$2,MODULY_CBA!$B$3:$I$23,8,0)=$D45,SUMIF('Rozpocet - Vyvoj aplikacii'!$B$3:$B$179,'TCO TO BE- SW'!S$2,'Rozpocet - Vyvoj aplikacii'!$J$3:$J$179),0),0)</f>
        <v>0</v>
      </c>
      <c r="T45" s="576">
        <f>IFERROR(IF(VLOOKUP(T$2,MODULY_CBA!$B$3:$I$23,8,0)=$D45,SUMIF('Rozpocet - Vyvoj aplikacii'!$B$3:$B$179,'TCO TO BE- SW'!T$2,'Rozpocet - Vyvoj aplikacii'!$J$3:$J$179),0),0)</f>
        <v>0</v>
      </c>
      <c r="U45" s="576">
        <f>IFERROR(IF(VLOOKUP(U$2,MODULY_CBA!$B$3:$I$23,8,0)=$D45,SUMIF('Rozpocet - Vyvoj aplikacii'!$B$3:$B$179,'TCO TO BE- SW'!U$2,'Rozpocet - Vyvoj aplikacii'!$J$3:$J$179),0),0)</f>
        <v>0</v>
      </c>
      <c r="V45" s="576">
        <f>IFERROR(IF(VLOOKUP(V$2,MODULY_CBA!$B$3:$I$23,8,0)=$D45,SUMIF('Rozpocet - Vyvoj aplikacii'!$B$3:$B$179,'TCO TO BE- SW'!V$2,'Rozpocet - Vyvoj aplikacii'!$J$3:$J$179),0),0)</f>
        <v>0</v>
      </c>
      <c r="W45" s="576">
        <f>IFERROR(IF(VLOOKUP(W$2,MODULY_CBA!$B$3:$I$23,8,0)=$D45,SUMIF('Rozpocet - Vyvoj aplikacii'!$B$3:$B$179,'TCO TO BE- SW'!W$2,'Rozpocet - Vyvoj aplikacii'!$J$3:$J$179),0),0)</f>
        <v>0</v>
      </c>
      <c r="X45" s="576">
        <f>IFERROR(IF(VLOOKUP(X$2,MODULY_CBA!$B$3:$I$23,8,0)=$D45,SUMIF('Rozpocet - Vyvoj aplikacii'!$B$3:$B$179,'TCO TO BE- SW'!X$2,'Rozpocet - Vyvoj aplikacii'!$J$3:$J$179),0),0)</f>
        <v>0</v>
      </c>
      <c r="Y45" s="576">
        <f>IFERROR(IF(VLOOKUP(Y$2,MODULY_CBA!$B$3:$I$23,8,0)=$D45,SUMIF('Rozpocet - Vyvoj aplikacii'!$B$3:$B$179,'TCO TO BE- SW'!Y$2,'Rozpocet - Vyvoj aplikacii'!$J$3:$J$179),0),0)</f>
        <v>0</v>
      </c>
      <c r="Z45" s="576">
        <f>IFERROR(IF(VLOOKUP(Z$2,MODULY_CBA!$B$3:$I$23,8,0)=$D45,SUMIF('Rozpocet - Vyvoj aplikacii'!$B$3:$B$179,'TCO TO BE- SW'!Z$2,'Rozpocet - Vyvoj aplikacii'!$J$3:$J$179),0),0)</f>
        <v>0</v>
      </c>
    </row>
    <row r="46" spans="1:26" ht="15.75" outlineLevel="2" thickBot="1">
      <c r="A46" s="875"/>
      <c r="B46" s="876"/>
      <c r="C46" s="876"/>
      <c r="D46" s="65">
        <v>10</v>
      </c>
      <c r="E46" s="69">
        <f t="shared" si="6"/>
        <v>0</v>
      </c>
      <c r="F46" s="577">
        <f>IFERROR(IF(VLOOKUP(F$2,MODULY_CBA!$B$3:$I$23,8,0)=$D46,SUMIF('Rozpocet - Vyvoj aplikacii'!$B$3:$B$179,'TCO TO BE- SW'!F$2,'Rozpocet - Vyvoj aplikacii'!$J$3:$J$179),0),0)</f>
        <v>0</v>
      </c>
      <c r="G46" s="577">
        <f>IFERROR(IF(VLOOKUP(G$2,MODULY_CBA!$B$3:$I$23,8,0)=$D46,SUMIF('Rozpocet - Vyvoj aplikacii'!$B$3:$B$179,'TCO TO BE- SW'!G$2,'Rozpocet - Vyvoj aplikacii'!$J$3:$J$179),0),0)</f>
        <v>0</v>
      </c>
      <c r="H46" s="577">
        <f>IFERROR(IF(VLOOKUP(H$2,MODULY_CBA!$B$3:$I$23,8,0)=$D46,SUMIF('Rozpocet - Vyvoj aplikacii'!$B$3:$B$179,'TCO TO BE- SW'!H$2,'Rozpocet - Vyvoj aplikacii'!$J$3:$J$179),0),0)</f>
        <v>0</v>
      </c>
      <c r="I46" s="577">
        <f>IFERROR(IF(VLOOKUP(I$2,MODULY_CBA!$B$3:$I$23,8,0)=$D46,SUMIF('Rozpocet - Vyvoj aplikacii'!$B$3:$B$179,'TCO TO BE- SW'!I$2,'Rozpocet - Vyvoj aplikacii'!$J$3:$J$179),0),0)</f>
        <v>0</v>
      </c>
      <c r="J46" s="577">
        <f>IFERROR(IF(VLOOKUP(J$2,MODULY_CBA!$B$3:$I$23,8,0)=$D46,SUMIF('Rozpocet - Vyvoj aplikacii'!$B$3:$B$179,'TCO TO BE- SW'!J$2,'Rozpocet - Vyvoj aplikacii'!$J$3:$J$179),0),0)</f>
        <v>0</v>
      </c>
      <c r="K46" s="577">
        <f>IFERROR(IF(VLOOKUP(K$2,MODULY_CBA!$B$3:$I$23,8,0)=$D46,SUMIF('Rozpocet - Vyvoj aplikacii'!$B$3:$B$179,'TCO TO BE- SW'!K$2,'Rozpocet - Vyvoj aplikacii'!$J$3:$J$179),0),0)</f>
        <v>0</v>
      </c>
      <c r="L46" s="577">
        <f>IFERROR(IF(VLOOKUP(L$2,MODULY_CBA!$B$3:$I$23,8,0)=$D46,SUMIF('Rozpocet - Vyvoj aplikacii'!$B$3:$B$179,'TCO TO BE- SW'!L$2,'Rozpocet - Vyvoj aplikacii'!$J$3:$J$179),0),0)</f>
        <v>0</v>
      </c>
      <c r="M46" s="577">
        <f>IFERROR(IF(VLOOKUP(M$2,MODULY_CBA!$B$3:$I$23,8,0)=$D46,SUMIF('Rozpocet - Vyvoj aplikacii'!$B$3:$B$179,'TCO TO BE- SW'!M$2,'Rozpocet - Vyvoj aplikacii'!$J$3:$J$179),0),0)</f>
        <v>0</v>
      </c>
      <c r="N46" s="577">
        <f>IFERROR(IF(VLOOKUP(N$2,MODULY_CBA!$B$3:$I$23,8,0)=$D46,SUMIF('Rozpocet - Vyvoj aplikacii'!$B$3:$B$179,'TCO TO BE- SW'!N$2,'Rozpocet - Vyvoj aplikacii'!$J$3:$J$179),0),0)</f>
        <v>0</v>
      </c>
      <c r="O46" s="577">
        <f>IFERROR(IF(VLOOKUP(O$2,MODULY_CBA!$B$3:$I$23,8,0)=$D46,SUMIF('Rozpocet - Vyvoj aplikacii'!$B$3:$B$179,'TCO TO BE- SW'!O$2,'Rozpocet - Vyvoj aplikacii'!$J$3:$J$179),0),0)</f>
        <v>0</v>
      </c>
      <c r="P46" s="577">
        <f>IFERROR(IF(VLOOKUP(P$2,MODULY_CBA!$B$3:$I$23,8,0)=$D46,SUMIF('Rozpocet - Vyvoj aplikacii'!$B$3:$B$179,'TCO TO BE- SW'!P$2,'Rozpocet - Vyvoj aplikacii'!$J$3:$J$179),0),0)</f>
        <v>0</v>
      </c>
      <c r="Q46" s="577">
        <f>IFERROR(IF(VLOOKUP(Q$2,MODULY_CBA!$B$3:$I$23,8,0)=$D46,SUMIF('Rozpocet - Vyvoj aplikacii'!$B$3:$B$179,'TCO TO BE- SW'!Q$2,'Rozpocet - Vyvoj aplikacii'!$J$3:$J$179),0),0)</f>
        <v>0</v>
      </c>
      <c r="R46" s="577">
        <f>IFERROR(IF(VLOOKUP(R$2,MODULY_CBA!$B$3:$I$23,8,0)=$D46,SUMIF('Rozpocet - Vyvoj aplikacii'!$B$3:$B$179,'TCO TO BE- SW'!R$2,'Rozpocet - Vyvoj aplikacii'!$J$3:$J$179),0),0)</f>
        <v>0</v>
      </c>
      <c r="S46" s="577">
        <f>IFERROR(IF(VLOOKUP(S$2,MODULY_CBA!$B$3:$I$23,8,0)=$D46,SUMIF('Rozpocet - Vyvoj aplikacii'!$B$3:$B$179,'TCO TO BE- SW'!S$2,'Rozpocet - Vyvoj aplikacii'!$J$3:$J$179),0),0)</f>
        <v>0</v>
      </c>
      <c r="T46" s="577">
        <f>IFERROR(IF(VLOOKUP(T$2,MODULY_CBA!$B$3:$I$23,8,0)=$D46,SUMIF('Rozpocet - Vyvoj aplikacii'!$B$3:$B$179,'TCO TO BE- SW'!T$2,'Rozpocet - Vyvoj aplikacii'!$J$3:$J$179),0),0)</f>
        <v>0</v>
      </c>
      <c r="U46" s="577">
        <f>IFERROR(IF(VLOOKUP(U$2,MODULY_CBA!$B$3:$I$23,8,0)=$D46,SUMIF('Rozpocet - Vyvoj aplikacii'!$B$3:$B$179,'TCO TO BE- SW'!U$2,'Rozpocet - Vyvoj aplikacii'!$J$3:$J$179),0),0)</f>
        <v>0</v>
      </c>
      <c r="V46" s="577">
        <f>IFERROR(IF(VLOOKUP(V$2,MODULY_CBA!$B$3:$I$23,8,0)=$D46,SUMIF('Rozpocet - Vyvoj aplikacii'!$B$3:$B$179,'TCO TO BE- SW'!V$2,'Rozpocet - Vyvoj aplikacii'!$J$3:$J$179),0),0)</f>
        <v>0</v>
      </c>
      <c r="W46" s="577">
        <f>IFERROR(IF(VLOOKUP(W$2,MODULY_CBA!$B$3:$I$23,8,0)=$D46,SUMIF('Rozpocet - Vyvoj aplikacii'!$B$3:$B$179,'TCO TO BE- SW'!W$2,'Rozpocet - Vyvoj aplikacii'!$J$3:$J$179),0),0)</f>
        <v>0</v>
      </c>
      <c r="X46" s="577">
        <f>IFERROR(IF(VLOOKUP(X$2,MODULY_CBA!$B$3:$I$23,8,0)=$D46,SUMIF('Rozpocet - Vyvoj aplikacii'!$B$3:$B$179,'TCO TO BE- SW'!X$2,'Rozpocet - Vyvoj aplikacii'!$J$3:$J$179),0),0)</f>
        <v>0</v>
      </c>
      <c r="Y46" s="577">
        <f>IFERROR(IF(VLOOKUP(Y$2,MODULY_CBA!$B$3:$I$23,8,0)=$D46,SUMIF('Rozpocet - Vyvoj aplikacii'!$B$3:$B$179,'TCO TO BE- SW'!Y$2,'Rozpocet - Vyvoj aplikacii'!$J$3:$J$179),0),0)</f>
        <v>0</v>
      </c>
      <c r="Z46" s="577">
        <f>IFERROR(IF(VLOOKUP(Z$2,MODULY_CBA!$B$3:$I$23,8,0)=$D46,SUMIF('Rozpocet - Vyvoj aplikacii'!$B$3:$B$179,'TCO TO BE- SW'!Z$2,'Rozpocet - Vyvoj aplikacii'!$J$3:$J$179),0),0)</f>
        <v>0</v>
      </c>
    </row>
    <row r="47" spans="1:26" outlineLevel="2">
      <c r="A47" s="875" t="s">
        <v>74</v>
      </c>
      <c r="B47" s="876" t="s">
        <v>76</v>
      </c>
      <c r="C47" s="876">
        <v>633013</v>
      </c>
      <c r="D47" s="63">
        <v>1</v>
      </c>
      <c r="E47" s="68">
        <f t="shared" si="6"/>
        <v>0</v>
      </c>
      <c r="F47" s="578">
        <v>0</v>
      </c>
      <c r="G47" s="578">
        <v>0</v>
      </c>
      <c r="H47" s="578">
        <v>0</v>
      </c>
      <c r="I47" s="578">
        <v>0</v>
      </c>
      <c r="J47" s="578">
        <v>0</v>
      </c>
      <c r="K47" s="578">
        <v>0</v>
      </c>
      <c r="L47" s="578">
        <v>0</v>
      </c>
      <c r="M47" s="578">
        <v>0</v>
      </c>
      <c r="N47" s="578">
        <v>0</v>
      </c>
      <c r="O47" s="578">
        <v>0</v>
      </c>
      <c r="P47" s="578">
        <v>0</v>
      </c>
      <c r="Q47" s="578">
        <v>0</v>
      </c>
      <c r="R47" s="578">
        <v>0</v>
      </c>
      <c r="S47" s="578">
        <v>0</v>
      </c>
      <c r="T47" s="578">
        <v>0</v>
      </c>
      <c r="U47" s="578">
        <v>0</v>
      </c>
      <c r="V47" s="578">
        <v>0</v>
      </c>
      <c r="W47" s="578">
        <v>0</v>
      </c>
      <c r="X47" s="578">
        <v>0</v>
      </c>
      <c r="Y47" s="578">
        <v>0</v>
      </c>
      <c r="Z47" s="578">
        <v>0</v>
      </c>
    </row>
    <row r="48" spans="1:26" outlineLevel="2">
      <c r="A48" s="875"/>
      <c r="B48" s="876"/>
      <c r="C48" s="876"/>
      <c r="D48" s="64">
        <v>2</v>
      </c>
      <c r="E48" s="68">
        <f t="shared" si="6"/>
        <v>0</v>
      </c>
      <c r="F48" s="579">
        <v>0</v>
      </c>
      <c r="G48" s="579">
        <v>0</v>
      </c>
      <c r="H48" s="579">
        <v>0</v>
      </c>
      <c r="I48" s="579">
        <v>0</v>
      </c>
      <c r="J48" s="579">
        <v>0</v>
      </c>
      <c r="K48" s="579">
        <v>0</v>
      </c>
      <c r="L48" s="579">
        <v>0</v>
      </c>
      <c r="M48" s="579">
        <v>0</v>
      </c>
      <c r="N48" s="579">
        <v>0</v>
      </c>
      <c r="O48" s="579">
        <v>0</v>
      </c>
      <c r="P48" s="579">
        <v>0</v>
      </c>
      <c r="Q48" s="579">
        <v>0</v>
      </c>
      <c r="R48" s="579">
        <v>0</v>
      </c>
      <c r="S48" s="579">
        <v>0</v>
      </c>
      <c r="T48" s="579">
        <v>0</v>
      </c>
      <c r="U48" s="579">
        <v>0</v>
      </c>
      <c r="V48" s="579">
        <v>0</v>
      </c>
      <c r="W48" s="579">
        <v>0</v>
      </c>
      <c r="X48" s="579">
        <v>0</v>
      </c>
      <c r="Y48" s="579">
        <v>0</v>
      </c>
      <c r="Z48" s="579">
        <v>0</v>
      </c>
    </row>
    <row r="49" spans="1:26" outlineLevel="2">
      <c r="A49" s="875"/>
      <c r="B49" s="876"/>
      <c r="C49" s="876"/>
      <c r="D49" s="64">
        <v>3</v>
      </c>
      <c r="E49" s="68">
        <f t="shared" si="6"/>
        <v>0</v>
      </c>
      <c r="F49" s="579">
        <v>0</v>
      </c>
      <c r="G49" s="579">
        <v>0</v>
      </c>
      <c r="H49" s="579">
        <v>0</v>
      </c>
      <c r="I49" s="579">
        <v>0</v>
      </c>
      <c r="J49" s="579">
        <v>0</v>
      </c>
      <c r="K49" s="579">
        <v>0</v>
      </c>
      <c r="L49" s="579">
        <v>0</v>
      </c>
      <c r="M49" s="579">
        <v>0</v>
      </c>
      <c r="N49" s="579">
        <v>0</v>
      </c>
      <c r="O49" s="579">
        <v>0</v>
      </c>
      <c r="P49" s="579">
        <v>0</v>
      </c>
      <c r="Q49" s="579">
        <v>0</v>
      </c>
      <c r="R49" s="579">
        <v>0</v>
      </c>
      <c r="S49" s="579">
        <v>0</v>
      </c>
      <c r="T49" s="579">
        <v>0</v>
      </c>
      <c r="U49" s="579">
        <v>0</v>
      </c>
      <c r="V49" s="579">
        <v>0</v>
      </c>
      <c r="W49" s="579">
        <v>0</v>
      </c>
      <c r="X49" s="579">
        <v>0</v>
      </c>
      <c r="Y49" s="579">
        <v>0</v>
      </c>
      <c r="Z49" s="579">
        <v>0</v>
      </c>
    </row>
    <row r="50" spans="1:26" outlineLevel="2">
      <c r="A50" s="875"/>
      <c r="B50" s="876"/>
      <c r="C50" s="876"/>
      <c r="D50" s="64">
        <v>4</v>
      </c>
      <c r="E50" s="68">
        <f t="shared" si="6"/>
        <v>0</v>
      </c>
      <c r="F50" s="579">
        <v>0</v>
      </c>
      <c r="G50" s="579">
        <v>0</v>
      </c>
      <c r="H50" s="579">
        <v>0</v>
      </c>
      <c r="I50" s="579">
        <v>0</v>
      </c>
      <c r="J50" s="579">
        <v>0</v>
      </c>
      <c r="K50" s="579">
        <v>0</v>
      </c>
      <c r="L50" s="579">
        <v>0</v>
      </c>
      <c r="M50" s="579">
        <v>0</v>
      </c>
      <c r="N50" s="579">
        <v>0</v>
      </c>
      <c r="O50" s="579">
        <v>0</v>
      </c>
      <c r="P50" s="579">
        <v>0</v>
      </c>
      <c r="Q50" s="579">
        <v>0</v>
      </c>
      <c r="R50" s="579">
        <v>0</v>
      </c>
      <c r="S50" s="579">
        <v>0</v>
      </c>
      <c r="T50" s="579">
        <v>0</v>
      </c>
      <c r="U50" s="579">
        <v>0</v>
      </c>
      <c r="V50" s="579">
        <v>0</v>
      </c>
      <c r="W50" s="579">
        <v>0</v>
      </c>
      <c r="X50" s="579">
        <v>0</v>
      </c>
      <c r="Y50" s="579">
        <v>0</v>
      </c>
      <c r="Z50" s="579">
        <v>0</v>
      </c>
    </row>
    <row r="51" spans="1:26" outlineLevel="2">
      <c r="A51" s="875"/>
      <c r="B51" s="876"/>
      <c r="C51" s="876"/>
      <c r="D51" s="64">
        <v>5</v>
      </c>
      <c r="E51" s="68">
        <f t="shared" si="6"/>
        <v>0</v>
      </c>
      <c r="F51" s="579">
        <v>0</v>
      </c>
      <c r="G51" s="579">
        <v>0</v>
      </c>
      <c r="H51" s="579">
        <v>0</v>
      </c>
      <c r="I51" s="579">
        <v>0</v>
      </c>
      <c r="J51" s="579">
        <v>0</v>
      </c>
      <c r="K51" s="579">
        <v>0</v>
      </c>
      <c r="L51" s="579">
        <v>0</v>
      </c>
      <c r="M51" s="579">
        <v>0</v>
      </c>
      <c r="N51" s="579">
        <v>0</v>
      </c>
      <c r="O51" s="579">
        <v>0</v>
      </c>
      <c r="P51" s="579">
        <v>0</v>
      </c>
      <c r="Q51" s="579">
        <v>0</v>
      </c>
      <c r="R51" s="579">
        <v>0</v>
      </c>
      <c r="S51" s="579">
        <v>0</v>
      </c>
      <c r="T51" s="579">
        <v>0</v>
      </c>
      <c r="U51" s="579">
        <v>0</v>
      </c>
      <c r="V51" s="579">
        <v>0</v>
      </c>
      <c r="W51" s="579">
        <v>0</v>
      </c>
      <c r="X51" s="579">
        <v>0</v>
      </c>
      <c r="Y51" s="579">
        <v>0</v>
      </c>
      <c r="Z51" s="579">
        <v>0</v>
      </c>
    </row>
    <row r="52" spans="1:26" outlineLevel="2">
      <c r="A52" s="875"/>
      <c r="B52" s="876"/>
      <c r="C52" s="876"/>
      <c r="D52" s="64">
        <v>6</v>
      </c>
      <c r="E52" s="68">
        <f t="shared" si="6"/>
        <v>0</v>
      </c>
      <c r="F52" s="579">
        <v>0</v>
      </c>
      <c r="G52" s="579">
        <v>0</v>
      </c>
      <c r="H52" s="579">
        <v>0</v>
      </c>
      <c r="I52" s="579">
        <v>0</v>
      </c>
      <c r="J52" s="579">
        <v>0</v>
      </c>
      <c r="K52" s="579">
        <v>0</v>
      </c>
      <c r="L52" s="579">
        <v>0</v>
      </c>
      <c r="M52" s="579">
        <v>0</v>
      </c>
      <c r="N52" s="579">
        <v>0</v>
      </c>
      <c r="O52" s="579">
        <v>0</v>
      </c>
      <c r="P52" s="579">
        <v>0</v>
      </c>
      <c r="Q52" s="579">
        <v>0</v>
      </c>
      <c r="R52" s="579">
        <v>0</v>
      </c>
      <c r="S52" s="579">
        <v>0</v>
      </c>
      <c r="T52" s="579">
        <v>0</v>
      </c>
      <c r="U52" s="579">
        <v>0</v>
      </c>
      <c r="V52" s="579">
        <v>0</v>
      </c>
      <c r="W52" s="579">
        <v>0</v>
      </c>
      <c r="X52" s="579">
        <v>0</v>
      </c>
      <c r="Y52" s="579">
        <v>0</v>
      </c>
      <c r="Z52" s="579">
        <v>0</v>
      </c>
    </row>
    <row r="53" spans="1:26" outlineLevel="2">
      <c r="A53" s="875"/>
      <c r="B53" s="876"/>
      <c r="C53" s="876"/>
      <c r="D53" s="64">
        <v>7</v>
      </c>
      <c r="E53" s="68">
        <f t="shared" si="6"/>
        <v>0</v>
      </c>
      <c r="F53" s="579">
        <v>0</v>
      </c>
      <c r="G53" s="579">
        <v>0</v>
      </c>
      <c r="H53" s="579">
        <v>0</v>
      </c>
      <c r="I53" s="579">
        <v>0</v>
      </c>
      <c r="J53" s="579">
        <v>0</v>
      </c>
      <c r="K53" s="579">
        <v>0</v>
      </c>
      <c r="L53" s="579">
        <v>0</v>
      </c>
      <c r="M53" s="579">
        <v>0</v>
      </c>
      <c r="N53" s="579">
        <v>0</v>
      </c>
      <c r="O53" s="579">
        <v>0</v>
      </c>
      <c r="P53" s="579">
        <v>0</v>
      </c>
      <c r="Q53" s="579">
        <v>0</v>
      </c>
      <c r="R53" s="579">
        <v>0</v>
      </c>
      <c r="S53" s="579">
        <v>0</v>
      </c>
      <c r="T53" s="579">
        <v>0</v>
      </c>
      <c r="U53" s="579">
        <v>0</v>
      </c>
      <c r="V53" s="579">
        <v>0</v>
      </c>
      <c r="W53" s="579">
        <v>0</v>
      </c>
      <c r="X53" s="579">
        <v>0</v>
      </c>
      <c r="Y53" s="579">
        <v>0</v>
      </c>
      <c r="Z53" s="579">
        <v>0</v>
      </c>
    </row>
    <row r="54" spans="1:26" outlineLevel="2">
      <c r="A54" s="875"/>
      <c r="B54" s="876"/>
      <c r="C54" s="876"/>
      <c r="D54" s="64">
        <v>8</v>
      </c>
      <c r="E54" s="68">
        <f t="shared" si="6"/>
        <v>0</v>
      </c>
      <c r="F54" s="579">
        <v>0</v>
      </c>
      <c r="G54" s="579">
        <v>0</v>
      </c>
      <c r="H54" s="579">
        <v>0</v>
      </c>
      <c r="I54" s="579">
        <v>0</v>
      </c>
      <c r="J54" s="579">
        <v>0</v>
      </c>
      <c r="K54" s="579">
        <v>0</v>
      </c>
      <c r="L54" s="579">
        <v>0</v>
      </c>
      <c r="M54" s="579">
        <v>0</v>
      </c>
      <c r="N54" s="579">
        <v>0</v>
      </c>
      <c r="O54" s="579">
        <v>0</v>
      </c>
      <c r="P54" s="579">
        <v>0</v>
      </c>
      <c r="Q54" s="579">
        <v>0</v>
      </c>
      <c r="R54" s="579">
        <v>0</v>
      </c>
      <c r="S54" s="579">
        <v>0</v>
      </c>
      <c r="T54" s="579">
        <v>0</v>
      </c>
      <c r="U54" s="579">
        <v>0</v>
      </c>
      <c r="V54" s="579">
        <v>0</v>
      </c>
      <c r="W54" s="579">
        <v>0</v>
      </c>
      <c r="X54" s="579">
        <v>0</v>
      </c>
      <c r="Y54" s="579">
        <v>0</v>
      </c>
      <c r="Z54" s="579">
        <v>0</v>
      </c>
    </row>
    <row r="55" spans="1:26" outlineLevel="2">
      <c r="A55" s="875"/>
      <c r="B55" s="876"/>
      <c r="C55" s="876"/>
      <c r="D55" s="64">
        <v>9</v>
      </c>
      <c r="E55" s="68">
        <f t="shared" si="6"/>
        <v>0</v>
      </c>
      <c r="F55" s="579">
        <v>0</v>
      </c>
      <c r="G55" s="579">
        <v>0</v>
      </c>
      <c r="H55" s="579">
        <v>0</v>
      </c>
      <c r="I55" s="579">
        <v>0</v>
      </c>
      <c r="J55" s="579">
        <v>0</v>
      </c>
      <c r="K55" s="579">
        <v>0</v>
      </c>
      <c r="L55" s="579">
        <v>0</v>
      </c>
      <c r="M55" s="579">
        <v>0</v>
      </c>
      <c r="N55" s="579">
        <v>0</v>
      </c>
      <c r="O55" s="579">
        <v>0</v>
      </c>
      <c r="P55" s="579">
        <v>0</v>
      </c>
      <c r="Q55" s="579">
        <v>0</v>
      </c>
      <c r="R55" s="579">
        <v>0</v>
      </c>
      <c r="S55" s="579">
        <v>0</v>
      </c>
      <c r="T55" s="579">
        <v>0</v>
      </c>
      <c r="U55" s="579">
        <v>0</v>
      </c>
      <c r="V55" s="579">
        <v>0</v>
      </c>
      <c r="W55" s="579">
        <v>0</v>
      </c>
      <c r="X55" s="579">
        <v>0</v>
      </c>
      <c r="Y55" s="579">
        <v>0</v>
      </c>
      <c r="Z55" s="579">
        <v>0</v>
      </c>
    </row>
    <row r="56" spans="1:26" ht="15.75" outlineLevel="2" thickBot="1">
      <c r="A56" s="875"/>
      <c r="B56" s="876"/>
      <c r="C56" s="876"/>
      <c r="D56" s="65">
        <v>10</v>
      </c>
      <c r="E56" s="69">
        <f t="shared" si="6"/>
        <v>0</v>
      </c>
      <c r="F56" s="583">
        <v>0</v>
      </c>
      <c r="G56" s="583">
        <v>0</v>
      </c>
      <c r="H56" s="583">
        <v>0</v>
      </c>
      <c r="I56" s="583">
        <v>0</v>
      </c>
      <c r="J56" s="583">
        <v>0</v>
      </c>
      <c r="K56" s="583">
        <v>0</v>
      </c>
      <c r="L56" s="583">
        <v>0</v>
      </c>
      <c r="M56" s="583">
        <v>0</v>
      </c>
      <c r="N56" s="583">
        <v>0</v>
      </c>
      <c r="O56" s="583">
        <v>0</v>
      </c>
      <c r="P56" s="583">
        <v>0</v>
      </c>
      <c r="Q56" s="583">
        <v>0</v>
      </c>
      <c r="R56" s="583">
        <v>0</v>
      </c>
      <c r="S56" s="583">
        <v>0</v>
      </c>
      <c r="T56" s="583">
        <v>0</v>
      </c>
      <c r="U56" s="583">
        <v>0</v>
      </c>
      <c r="V56" s="583">
        <v>0</v>
      </c>
      <c r="W56" s="583">
        <v>0</v>
      </c>
      <c r="X56" s="583">
        <v>0</v>
      </c>
      <c r="Y56" s="583">
        <v>0</v>
      </c>
      <c r="Z56" s="583">
        <v>0</v>
      </c>
    </row>
    <row r="57" spans="1:26" outlineLevel="2">
      <c r="A57" s="875" t="s">
        <v>304</v>
      </c>
      <c r="B57" s="876" t="s">
        <v>532</v>
      </c>
      <c r="C57" s="876">
        <v>610</v>
      </c>
      <c r="D57" s="63">
        <v>1</v>
      </c>
      <c r="E57" s="68">
        <f t="shared" ref="E57:E66" si="7">SUM(F57:Z57)</f>
        <v>0</v>
      </c>
      <c r="F57" s="575">
        <f>IFERROR(IF(VLOOKUP(F$2,MODULY_CBA!$B$3:$L$23,8,0)=$D57,SUMIF('Rozpocet - Vyvoj aplikacii'!$B$3:$B$179,'TCO TO BE- SW'!F$2,'Rozpocet - Vyvoj aplikacii'!$I$3:$I$179),0),0)</f>
        <v>0</v>
      </c>
      <c r="G57" s="575">
        <f>IFERROR(IF(VLOOKUP(G$2,MODULY_CBA!$B$3:$L$23,8,0)=$D57,SUMIF('Rozpocet - Vyvoj aplikacii'!$B$3:$B$179,'TCO TO BE- SW'!G$2,'Rozpocet - Vyvoj aplikacii'!$I$3:$I$179),0),0)</f>
        <v>0</v>
      </c>
      <c r="H57" s="575">
        <f>IFERROR(IF(VLOOKUP(H$2,MODULY_CBA!$B$3:$L$23,8,0)=$D57,SUMIF('Rozpocet - Vyvoj aplikacii'!$B$3:$B$179,'TCO TO BE- SW'!H$2,'Rozpocet - Vyvoj aplikacii'!$I$3:$I$179),0),0)</f>
        <v>0</v>
      </c>
      <c r="I57" s="575">
        <f>IFERROR(IF(VLOOKUP(I$2,MODULY_CBA!$B$3:$L$23,8,0)=$D57,SUMIF('Rozpocet - Vyvoj aplikacii'!$B$3:$B$179,'TCO TO BE- SW'!I$2,'Rozpocet - Vyvoj aplikacii'!$I$3:$I$179),0),0)</f>
        <v>0</v>
      </c>
      <c r="J57" s="575">
        <f>IFERROR(IF(VLOOKUP(J$2,MODULY_CBA!$B$3:$L$23,8,0)=$D57,SUMIF('Rozpocet - Vyvoj aplikacii'!$B$3:$B$179,'TCO TO BE- SW'!J$2,'Rozpocet - Vyvoj aplikacii'!$I$3:$I$179),0),0)</f>
        <v>0</v>
      </c>
      <c r="K57" s="575">
        <f>IFERROR(IF(VLOOKUP(K$2,MODULY_CBA!$B$3:$L$23,8,0)=$D57,SUMIF('Rozpocet - Vyvoj aplikacii'!$B$3:$B$179,'TCO TO BE- SW'!K$2,'Rozpocet - Vyvoj aplikacii'!$I$3:$I$179),0),0)</f>
        <v>0</v>
      </c>
      <c r="L57" s="575">
        <f>IFERROR(IF(VLOOKUP(L$2,MODULY_CBA!$B$3:$L$23,8,0)=$D57,SUMIF('Rozpocet - Vyvoj aplikacii'!$B$3:$B$179,'TCO TO BE- SW'!L$2,'Rozpocet - Vyvoj aplikacii'!$I$3:$I$179),0),0)</f>
        <v>0</v>
      </c>
      <c r="M57" s="575">
        <f>IFERROR(IF(VLOOKUP(M$2,MODULY_CBA!$B$3:$L$23,8,0)=$D57,SUMIF('Rozpocet - Vyvoj aplikacii'!$B$3:$B$179,'TCO TO BE- SW'!M$2,'Rozpocet - Vyvoj aplikacii'!$I$3:$I$179),0),0)</f>
        <v>0</v>
      </c>
      <c r="N57" s="575">
        <f>IFERROR(IF(VLOOKUP(N$2,MODULY_CBA!$B$3:$L$23,8,0)=$D57,SUMIF('Rozpocet - Vyvoj aplikacii'!$B$3:$B$179,'TCO TO BE- SW'!N$2,'Rozpocet - Vyvoj aplikacii'!$I$3:$I$179),0),0)</f>
        <v>0</v>
      </c>
      <c r="O57" s="575">
        <f>IFERROR(IF(VLOOKUP(O$2,MODULY_CBA!$B$3:$L$23,8,0)=$D57,SUMIF('Rozpocet - Vyvoj aplikacii'!$B$3:$B$179,'TCO TO BE- SW'!O$2,'Rozpocet - Vyvoj aplikacii'!$I$3:$I$179),0),0)</f>
        <v>0</v>
      </c>
      <c r="P57" s="575">
        <f>IFERROR(IF(VLOOKUP(P$2,MODULY_CBA!$B$3:$L$23,8,0)=$D57,SUMIF('Rozpocet - Vyvoj aplikacii'!$B$3:$B$179,'TCO TO BE- SW'!P$2,'Rozpocet - Vyvoj aplikacii'!$I$3:$I$179),0),0)</f>
        <v>0</v>
      </c>
      <c r="Q57" s="575">
        <f>IFERROR(IF(VLOOKUP(Q$2,MODULY_CBA!$B$3:$L$23,8,0)=$D57,SUMIF('Rozpocet - Vyvoj aplikacii'!$B$3:$B$179,'TCO TO BE- SW'!Q$2,'Rozpocet - Vyvoj aplikacii'!$I$3:$I$179),0),0)</f>
        <v>0</v>
      </c>
      <c r="R57" s="575">
        <f>IFERROR(IF(VLOOKUP(R$2,MODULY_CBA!$B$3:$L$23,8,0)=$D57,SUMIF('Rozpocet - Vyvoj aplikacii'!$B$3:$B$179,'TCO TO BE- SW'!R$2,'Rozpocet - Vyvoj aplikacii'!$I$3:$I$179),0),0)</f>
        <v>0</v>
      </c>
      <c r="S57" s="575">
        <f>IFERROR(IF(VLOOKUP(S$2,MODULY_CBA!$B$3:$L$23,8,0)=$D57,SUMIF('Rozpocet - Vyvoj aplikacii'!$B$3:$B$179,'TCO TO BE- SW'!S$2,'Rozpocet - Vyvoj aplikacii'!$I$3:$I$179),0),0)</f>
        <v>0</v>
      </c>
      <c r="T57" s="575">
        <f>IFERROR(IF(VLOOKUP(T$2,MODULY_CBA!$B$3:$L$23,8,0)=$D57,SUMIF('Rozpocet - Vyvoj aplikacii'!$B$3:$B$179,'TCO TO BE- SW'!T$2,'Rozpocet - Vyvoj aplikacii'!$I$3:$I$179),0),0)</f>
        <v>0</v>
      </c>
      <c r="U57" s="575">
        <f>IFERROR(IF(VLOOKUP(U$2,MODULY_CBA!$B$3:$L$23,8,0)=$D57,SUMIF('Rozpocet - Vyvoj aplikacii'!$B$3:$B$179,'TCO TO BE- SW'!U$2,'Rozpocet - Vyvoj aplikacii'!$I$3:$I$179),0),0)</f>
        <v>0</v>
      </c>
      <c r="V57" s="575">
        <f>IFERROR(IF(VLOOKUP(V$2,MODULY_CBA!$B$3:$L$23,8,0)=$D57,SUMIF('Rozpocet - Vyvoj aplikacii'!$B$3:$B$179,'TCO TO BE- SW'!V$2,'Rozpocet - Vyvoj aplikacii'!$I$3:$I$179),0),0)</f>
        <v>0</v>
      </c>
      <c r="W57" s="575">
        <f>IFERROR(IF(VLOOKUP(W$2,MODULY_CBA!$B$3:$L$23,8,0)=$D57,SUMIF('Rozpocet - Vyvoj aplikacii'!$B$3:$B$179,'TCO TO BE- SW'!W$2,'Rozpocet - Vyvoj aplikacii'!$I$3:$I$179),0),0)</f>
        <v>0</v>
      </c>
      <c r="X57" s="575">
        <f>IFERROR(IF(VLOOKUP(X$2,MODULY_CBA!$B$3:$L$23,8,0)=$D57,SUMIF('Rozpocet - Vyvoj aplikacii'!$B$3:$B$179,'TCO TO BE- SW'!X$2,'Rozpocet - Vyvoj aplikacii'!$I$3:$I$179),0),0)</f>
        <v>0</v>
      </c>
      <c r="Y57" s="575">
        <f>IFERROR(IF(VLOOKUP(Y$2,MODULY_CBA!$B$3:$L$23,8,0)=$D57,SUMIF('Rozpocet - Vyvoj aplikacii'!$B$3:$B$179,'TCO TO BE- SW'!Y$2,'Rozpocet - Vyvoj aplikacii'!$I$3:$I$179),0),0)</f>
        <v>0</v>
      </c>
      <c r="Z57" s="575">
        <f>IFERROR(IF(VLOOKUP(Z$2,MODULY_CBA!$B$3:$L$23,8,0)=$D57,SUMIF('Rozpocet - Vyvoj aplikacii'!$B$3:$B$179,'TCO TO BE- SW'!Z$2,'Rozpocet - Vyvoj aplikacii'!$I$3:$I$179),0),0)</f>
        <v>0</v>
      </c>
    </row>
    <row r="58" spans="1:26" outlineLevel="2">
      <c r="A58" s="875"/>
      <c r="B58" s="876"/>
      <c r="C58" s="876"/>
      <c r="D58" s="64">
        <v>2</v>
      </c>
      <c r="E58" s="68">
        <f t="shared" si="7"/>
        <v>0</v>
      </c>
      <c r="F58" s="576">
        <f>IFERROR(IF(VLOOKUP(F$2,MODULY_CBA!$B$3:$L$23,8,0)=$D58,SUMIF('Rozpocet - Vyvoj aplikacii'!$B$3:$B$179,'TCO TO BE- SW'!F$2,'Rozpocet - Vyvoj aplikacii'!$I$3:$I$179),0),0)</f>
        <v>0</v>
      </c>
      <c r="G58" s="576">
        <f>IFERROR(IF(VLOOKUP(G$2,MODULY_CBA!$B$3:$L$23,8,0)=$D58,SUMIF('Rozpocet - Vyvoj aplikacii'!$B$3:$B$179,'TCO TO BE- SW'!G$2,'Rozpocet - Vyvoj aplikacii'!$I$3:$I$179),0),0)</f>
        <v>0</v>
      </c>
      <c r="H58" s="576">
        <f>IFERROR(IF(VLOOKUP(H$2,MODULY_CBA!$B$3:$L$23,8,0)=$D58,SUMIF('Rozpocet - Vyvoj aplikacii'!$B$3:$B$179,'TCO TO BE- SW'!H$2,'Rozpocet - Vyvoj aplikacii'!$I$3:$I$179),0),0)</f>
        <v>0</v>
      </c>
      <c r="I58" s="576">
        <f>IFERROR(IF(VLOOKUP(I$2,MODULY_CBA!$B$3:$L$23,8,0)=$D58,SUMIF('Rozpocet - Vyvoj aplikacii'!$B$3:$B$179,'TCO TO BE- SW'!I$2,'Rozpocet - Vyvoj aplikacii'!$I$3:$I$179),0),0)</f>
        <v>0</v>
      </c>
      <c r="J58" s="576">
        <f>IFERROR(IF(VLOOKUP(J$2,MODULY_CBA!$B$3:$L$23,8,0)=$D58,SUMIF('Rozpocet - Vyvoj aplikacii'!$B$3:$B$179,'TCO TO BE- SW'!J$2,'Rozpocet - Vyvoj aplikacii'!$I$3:$I$179),0),0)</f>
        <v>0</v>
      </c>
      <c r="K58" s="576">
        <f>IFERROR(IF(VLOOKUP(K$2,MODULY_CBA!$B$3:$L$23,8,0)=$D58,SUMIF('Rozpocet - Vyvoj aplikacii'!$B$3:$B$179,'TCO TO BE- SW'!K$2,'Rozpocet - Vyvoj aplikacii'!$I$3:$I$179),0),0)</f>
        <v>0</v>
      </c>
      <c r="L58" s="576">
        <f>IFERROR(IF(VLOOKUP(L$2,MODULY_CBA!$B$3:$L$23,8,0)=$D58,SUMIF('Rozpocet - Vyvoj aplikacii'!$B$3:$B$179,'TCO TO BE- SW'!L$2,'Rozpocet - Vyvoj aplikacii'!$I$3:$I$179),0),0)</f>
        <v>0</v>
      </c>
      <c r="M58" s="576">
        <f>IFERROR(IF(VLOOKUP(M$2,MODULY_CBA!$B$3:$L$23,8,0)=$D58,SUMIF('Rozpocet - Vyvoj aplikacii'!$B$3:$B$179,'TCO TO BE- SW'!M$2,'Rozpocet - Vyvoj aplikacii'!$I$3:$I$179),0),0)</f>
        <v>0</v>
      </c>
      <c r="N58" s="576">
        <f>IFERROR(IF(VLOOKUP(N$2,MODULY_CBA!$B$3:$L$23,8,0)=$D58,SUMIF('Rozpocet - Vyvoj aplikacii'!$B$3:$B$179,'TCO TO BE- SW'!N$2,'Rozpocet - Vyvoj aplikacii'!$I$3:$I$179),0),0)</f>
        <v>0</v>
      </c>
      <c r="O58" s="576">
        <f>IFERROR(IF(VLOOKUP(O$2,MODULY_CBA!$B$3:$L$23,8,0)=$D58,SUMIF('Rozpocet - Vyvoj aplikacii'!$B$3:$B$179,'TCO TO BE- SW'!O$2,'Rozpocet - Vyvoj aplikacii'!$I$3:$I$179),0),0)</f>
        <v>0</v>
      </c>
      <c r="P58" s="576">
        <f>IFERROR(IF(VLOOKUP(P$2,MODULY_CBA!$B$3:$L$23,8,0)=$D58,SUMIF('Rozpocet - Vyvoj aplikacii'!$B$3:$B$179,'TCO TO BE- SW'!P$2,'Rozpocet - Vyvoj aplikacii'!$I$3:$I$179),0),0)</f>
        <v>0</v>
      </c>
      <c r="Q58" s="576">
        <f>IFERROR(IF(VLOOKUP(Q$2,MODULY_CBA!$B$3:$L$23,8,0)=$D58,SUMIF('Rozpocet - Vyvoj aplikacii'!$B$3:$B$179,'TCO TO BE- SW'!Q$2,'Rozpocet - Vyvoj aplikacii'!$I$3:$I$179),0),0)</f>
        <v>0</v>
      </c>
      <c r="R58" s="576">
        <f>IFERROR(IF(VLOOKUP(R$2,MODULY_CBA!$B$3:$L$23,8,0)=$D58,SUMIF('Rozpocet - Vyvoj aplikacii'!$B$3:$B$179,'TCO TO BE- SW'!R$2,'Rozpocet - Vyvoj aplikacii'!$I$3:$I$179),0),0)</f>
        <v>0</v>
      </c>
      <c r="S58" s="576">
        <f>IFERROR(IF(VLOOKUP(S$2,MODULY_CBA!$B$3:$L$23,8,0)=$D58,SUMIF('Rozpocet - Vyvoj aplikacii'!$B$3:$B$179,'TCO TO BE- SW'!S$2,'Rozpocet - Vyvoj aplikacii'!$I$3:$I$179),0),0)</f>
        <v>0</v>
      </c>
      <c r="T58" s="576">
        <f>IFERROR(IF(VLOOKUP(T$2,MODULY_CBA!$B$3:$L$23,8,0)=$D58,SUMIF('Rozpocet - Vyvoj aplikacii'!$B$3:$B$179,'TCO TO BE- SW'!T$2,'Rozpocet - Vyvoj aplikacii'!$I$3:$I$179),0),0)</f>
        <v>0</v>
      </c>
      <c r="U58" s="576">
        <f>IFERROR(IF(VLOOKUP(U$2,MODULY_CBA!$B$3:$L$23,8,0)=$D58,SUMIF('Rozpocet - Vyvoj aplikacii'!$B$3:$B$179,'TCO TO BE- SW'!U$2,'Rozpocet - Vyvoj aplikacii'!$I$3:$I$179),0),0)</f>
        <v>0</v>
      </c>
      <c r="V58" s="576">
        <f>IFERROR(IF(VLOOKUP(V$2,MODULY_CBA!$B$3:$L$23,8,0)=$D58,SUMIF('Rozpocet - Vyvoj aplikacii'!$B$3:$B$179,'TCO TO BE- SW'!V$2,'Rozpocet - Vyvoj aplikacii'!$I$3:$I$179),0),0)</f>
        <v>0</v>
      </c>
      <c r="W58" s="576">
        <f>IFERROR(IF(VLOOKUP(W$2,MODULY_CBA!$B$3:$L$23,8,0)=$D58,SUMIF('Rozpocet - Vyvoj aplikacii'!$B$3:$B$179,'TCO TO BE- SW'!W$2,'Rozpocet - Vyvoj aplikacii'!$I$3:$I$179),0),0)</f>
        <v>0</v>
      </c>
      <c r="X58" s="576">
        <f>IFERROR(IF(VLOOKUP(X$2,MODULY_CBA!$B$3:$L$23,8,0)=$D58,SUMIF('Rozpocet - Vyvoj aplikacii'!$B$3:$B$179,'TCO TO BE- SW'!X$2,'Rozpocet - Vyvoj aplikacii'!$I$3:$I$179),0),0)</f>
        <v>0</v>
      </c>
      <c r="Y58" s="576">
        <f>IFERROR(IF(VLOOKUP(Y$2,MODULY_CBA!$B$3:$L$23,8,0)=$D58,SUMIF('Rozpocet - Vyvoj aplikacii'!$B$3:$B$179,'TCO TO BE- SW'!Y$2,'Rozpocet - Vyvoj aplikacii'!$I$3:$I$179),0),0)</f>
        <v>0</v>
      </c>
      <c r="Z58" s="576">
        <f>IFERROR(IF(VLOOKUP(Z$2,MODULY_CBA!$B$3:$L$23,8,0)=$D58,SUMIF('Rozpocet - Vyvoj aplikacii'!$B$3:$B$179,'TCO TO BE- SW'!Z$2,'Rozpocet - Vyvoj aplikacii'!$I$3:$I$179),0),0)</f>
        <v>0</v>
      </c>
    </row>
    <row r="59" spans="1:26" outlineLevel="2">
      <c r="A59" s="875"/>
      <c r="B59" s="876"/>
      <c r="C59" s="876"/>
      <c r="D59" s="64">
        <v>3</v>
      </c>
      <c r="E59" s="68">
        <f t="shared" si="7"/>
        <v>740209.85600000015</v>
      </c>
      <c r="F59" s="576">
        <f>IFERROR(IF(VLOOKUP(F$2,MODULY_CBA!$B$3:$L$23,8,0)=$D59,SUMIF('Rozpocet - Vyvoj aplikacii'!$B$3:$B$179,'TCO TO BE- SW'!F$2,'Rozpocet - Vyvoj aplikacii'!$I$3:$I$179),0),0)</f>
        <v>47460.985357663187</v>
      </c>
      <c r="G59" s="576">
        <f>IFERROR(IF(VLOOKUP(G$2,MODULY_CBA!$B$3:$L$23,8,0)=$D59,SUMIF('Rozpocet - Vyvoj aplikacii'!$B$3:$B$179,'TCO TO BE- SW'!G$2,'Rozpocet - Vyvoj aplikacii'!$I$3:$I$179),0),0)</f>
        <v>160000.64467594665</v>
      </c>
      <c r="H59" s="576">
        <f>IFERROR(IF(VLOOKUP(H$2,MODULY_CBA!$B$3:$L$23,8,0)=$D59,SUMIF('Rozpocet - Vyvoj aplikacii'!$B$3:$B$179,'TCO TO BE- SW'!H$2,'Rozpocet - Vyvoj aplikacii'!$I$3:$I$179),0),0)</f>
        <v>158185.48888049048</v>
      </c>
      <c r="I59" s="576">
        <f>IFERROR(IF(VLOOKUP(I$2,MODULY_CBA!$B$3:$L$23,8,0)=$D59,SUMIF('Rozpocet - Vyvoj aplikacii'!$B$3:$B$179,'TCO TO BE- SW'!I$2,'Rozpocet - Vyvoj aplikacii'!$I$3:$I$179),0),0)</f>
        <v>31444.90480952038</v>
      </c>
      <c r="J59" s="576">
        <f>IFERROR(IF(VLOOKUP(J$2,MODULY_CBA!$B$3:$L$23,8,0)=$D59,SUMIF('Rozpocet - Vyvoj aplikacii'!$B$3:$B$179,'TCO TO BE- SW'!J$2,'Rozpocet - Vyvoj aplikacii'!$I$3:$I$179),0),0)</f>
        <v>94388.101363721624</v>
      </c>
      <c r="K59" s="576">
        <f>IFERROR(IF(VLOOKUP(K$2,MODULY_CBA!$B$3:$L$23,8,0)=$D59,SUMIF('Rozpocet - Vyvoj aplikacii'!$B$3:$B$179,'TCO TO BE- SW'!K$2,'Rozpocet - Vyvoj aplikacii'!$I$3:$I$179),0),0)</f>
        <v>26479.919839596107</v>
      </c>
      <c r="L59" s="576">
        <f>IFERROR(IF(VLOOKUP(L$2,MODULY_CBA!$B$3:$L$23,8,0)=$D59,SUMIF('Rozpocet - Vyvoj aplikacii'!$B$3:$B$179,'TCO TO BE- SW'!L$2,'Rozpocet - Vyvoj aplikacii'!$I$3:$I$179),0),0)</f>
        <v>8755.4573663180672</v>
      </c>
      <c r="M59" s="576">
        <f>IFERROR(IF(VLOOKUP(M$2,MODULY_CBA!$B$3:$L$23,8,0)=$D59,SUMIF('Rozpocet - Vyvoj aplikacii'!$B$3:$B$179,'TCO TO BE- SW'!M$2,'Rozpocet - Vyvoj aplikacii'!$I$3:$I$179),0),0)</f>
        <v>7474.1709224666438</v>
      </c>
      <c r="N59" s="576">
        <f>IFERROR(IF(VLOOKUP(N$2,MODULY_CBA!$B$3:$L$23,8,0)=$D59,SUMIF('Rozpocet - Vyvoj aplikacii'!$B$3:$B$179,'TCO TO BE- SW'!N$2,'Rozpocet - Vyvoj aplikacii'!$I$3:$I$179),0),0)</f>
        <v>21835.256480634696</v>
      </c>
      <c r="O59" s="576">
        <f>IFERROR(IF(VLOOKUP(O$2,MODULY_CBA!$B$3:$L$23,8,0)=$D59,SUMIF('Rozpocet - Vyvoj aplikacii'!$B$3:$B$179,'TCO TO BE- SW'!O$2,'Rozpocet - Vyvoj aplikacii'!$I$3:$I$179),0),0)</f>
        <v>25999.437423151823</v>
      </c>
      <c r="P59" s="576">
        <f>IFERROR(IF(VLOOKUP(P$2,MODULY_CBA!$B$3:$L$23,8,0)=$D59,SUMIF('Rozpocet - Vyvoj aplikacii'!$B$3:$B$179,'TCO TO BE- SW'!P$2,'Rozpocet - Vyvoj aplikacii'!$I$3:$I$179),0),0)</f>
        <v>5925.9498028128392</v>
      </c>
      <c r="Q59" s="576">
        <f>IFERROR(IF(VLOOKUP(Q$2,MODULY_CBA!$B$3:$L$23,8,0)=$D59,SUMIF('Rozpocet - Vyvoj aplikacii'!$B$3:$B$179,'TCO TO BE- SW'!Q$2,'Rozpocet - Vyvoj aplikacii'!$I$3:$I$179),0),0)</f>
        <v>1334.6733790119006</v>
      </c>
      <c r="R59" s="576">
        <f>IFERROR(IF(VLOOKUP(R$2,MODULY_CBA!$B$3:$L$23,8,0)=$D59,SUMIF('Rozpocet - Vyvoj aplikacii'!$B$3:$B$179,'TCO TO BE- SW'!R$2,'Rozpocet - Vyvoj aplikacii'!$I$3:$I$179),0),0)</f>
        <v>10517.226226613777</v>
      </c>
      <c r="S59" s="576">
        <f>IFERROR(IF(VLOOKUP(S$2,MODULY_CBA!$B$3:$L$23,8,0)=$D59,SUMIF('Rozpocet - Vyvoj aplikacii'!$B$3:$B$179,'TCO TO BE- SW'!S$2,'Rozpocet - Vyvoj aplikacii'!$I$3:$I$179),0),0)</f>
        <v>7207.2362466642635</v>
      </c>
      <c r="T59" s="576">
        <f>IFERROR(IF(VLOOKUP(T$2,MODULY_CBA!$B$3:$L$23,8,0)=$D59,SUMIF('Rozpocet - Vyvoj aplikacii'!$B$3:$B$179,'TCO TO BE- SW'!T$2,'Rozpocet - Vyvoj aplikacii'!$I$3:$I$179),0),0)</f>
        <v>21568.321804832314</v>
      </c>
      <c r="U59" s="576">
        <f>IFERROR(IF(VLOOKUP(U$2,MODULY_CBA!$B$3:$L$23,8,0)=$D59,SUMIF('Rozpocet - Vyvoj aplikacii'!$B$3:$B$179,'TCO TO BE- SW'!U$2,'Rozpocet - Vyvoj aplikacii'!$I$3:$I$179),0),0)</f>
        <v>16816.88457554995</v>
      </c>
      <c r="V59" s="576">
        <f>IFERROR(IF(VLOOKUP(V$2,MODULY_CBA!$B$3:$L$23,8,0)=$D59,SUMIF('Rozpocet - Vyvoj aplikacii'!$B$3:$B$179,'TCO TO BE- SW'!V$2,'Rozpocet - Vyvoj aplikacii'!$I$3:$I$179),0),0)</f>
        <v>14521.246363649479</v>
      </c>
      <c r="W59" s="576">
        <f>IFERROR(IF(VLOOKUP(W$2,MODULY_CBA!$B$3:$L$23,8,0)=$D59,SUMIF('Rozpocet - Vyvoj aplikacii'!$B$3:$B$179,'TCO TO BE- SW'!W$2,'Rozpocet - Vyvoj aplikacii'!$I$3:$I$179),0),0)</f>
        <v>32032.161096285614</v>
      </c>
      <c r="X59" s="576">
        <f>IFERROR(IF(VLOOKUP(X$2,MODULY_CBA!$B$3:$L$23,8,0)=$D59,SUMIF('Rozpocet - Vyvoj aplikacii'!$B$3:$B$179,'TCO TO BE- SW'!X$2,'Rozpocet - Vyvoj aplikacii'!$I$3:$I$179),0),0)</f>
        <v>48261.789385070333</v>
      </c>
      <c r="Y59" s="576">
        <f>IFERROR(IF(VLOOKUP(Y$2,MODULY_CBA!$B$3:$L$23,8,0)=$D59,SUMIF('Rozpocet - Vyvoj aplikacii'!$B$3:$B$179,'TCO TO BE- SW'!Y$2,'Rozpocet - Vyvoj aplikacii'!$I$3:$I$179),0),0)</f>
        <v>0</v>
      </c>
      <c r="Z59" s="576">
        <f>IFERROR(IF(VLOOKUP(Z$2,MODULY_CBA!$B$3:$L$23,8,0)=$D59,SUMIF('Rozpocet - Vyvoj aplikacii'!$B$3:$B$179,'TCO TO BE- SW'!Z$2,'Rozpocet - Vyvoj aplikacii'!$I$3:$I$179),0),0)</f>
        <v>0</v>
      </c>
    </row>
    <row r="60" spans="1:26" outlineLevel="2">
      <c r="A60" s="875"/>
      <c r="B60" s="876"/>
      <c r="C60" s="876"/>
      <c r="D60" s="64">
        <v>4</v>
      </c>
      <c r="E60" s="68">
        <f t="shared" si="7"/>
        <v>0</v>
      </c>
      <c r="F60" s="576">
        <f>IFERROR(IF(VLOOKUP(F$2,MODULY_CBA!$B$3:$L$23,8,0)=$D60,SUMIF('Rozpocet - Vyvoj aplikacii'!$B$3:$B$179,'TCO TO BE- SW'!F$2,'Rozpocet - Vyvoj aplikacii'!$I$3:$I$179),0),0)</f>
        <v>0</v>
      </c>
      <c r="G60" s="576">
        <f>IFERROR(IF(VLOOKUP(G$2,MODULY_CBA!$B$3:$L$23,8,0)=$D60,SUMIF('Rozpocet - Vyvoj aplikacii'!$B$3:$B$179,'TCO TO BE- SW'!G$2,'Rozpocet - Vyvoj aplikacii'!$I$3:$I$179),0),0)</f>
        <v>0</v>
      </c>
      <c r="H60" s="576">
        <f>IFERROR(IF(VLOOKUP(H$2,MODULY_CBA!$B$3:$L$23,8,0)=$D60,SUMIF('Rozpocet - Vyvoj aplikacii'!$B$3:$B$179,'TCO TO BE- SW'!H$2,'Rozpocet - Vyvoj aplikacii'!$I$3:$I$179),0),0)</f>
        <v>0</v>
      </c>
      <c r="I60" s="576">
        <f>IFERROR(IF(VLOOKUP(I$2,MODULY_CBA!$B$3:$L$23,8,0)=$D60,SUMIF('Rozpocet - Vyvoj aplikacii'!$B$3:$B$179,'TCO TO BE- SW'!I$2,'Rozpocet - Vyvoj aplikacii'!$I$3:$I$179),0),0)</f>
        <v>0</v>
      </c>
      <c r="J60" s="576">
        <f>IFERROR(IF(VLOOKUP(J$2,MODULY_CBA!$B$3:$L$23,8,0)=$D60,SUMIF('Rozpocet - Vyvoj aplikacii'!$B$3:$B$179,'TCO TO BE- SW'!J$2,'Rozpocet - Vyvoj aplikacii'!$I$3:$I$179),0),0)</f>
        <v>0</v>
      </c>
      <c r="K60" s="576">
        <f>IFERROR(IF(VLOOKUP(K$2,MODULY_CBA!$B$3:$L$23,8,0)=$D60,SUMIF('Rozpocet - Vyvoj aplikacii'!$B$3:$B$179,'TCO TO BE- SW'!K$2,'Rozpocet - Vyvoj aplikacii'!$I$3:$I$179),0),0)</f>
        <v>0</v>
      </c>
      <c r="L60" s="576">
        <f>IFERROR(IF(VLOOKUP(L$2,MODULY_CBA!$B$3:$L$23,8,0)=$D60,SUMIF('Rozpocet - Vyvoj aplikacii'!$B$3:$B$179,'TCO TO BE- SW'!L$2,'Rozpocet - Vyvoj aplikacii'!$I$3:$I$179),0),0)</f>
        <v>0</v>
      </c>
      <c r="M60" s="576">
        <f>IFERROR(IF(VLOOKUP(M$2,MODULY_CBA!$B$3:$L$23,8,0)=$D60,SUMIF('Rozpocet - Vyvoj aplikacii'!$B$3:$B$179,'TCO TO BE- SW'!M$2,'Rozpocet - Vyvoj aplikacii'!$I$3:$I$179),0),0)</f>
        <v>0</v>
      </c>
      <c r="N60" s="576">
        <f>IFERROR(IF(VLOOKUP(N$2,MODULY_CBA!$B$3:$L$23,8,0)=$D60,SUMIF('Rozpocet - Vyvoj aplikacii'!$B$3:$B$179,'TCO TO BE- SW'!N$2,'Rozpocet - Vyvoj aplikacii'!$I$3:$I$179),0),0)</f>
        <v>0</v>
      </c>
      <c r="O60" s="576">
        <f>IFERROR(IF(VLOOKUP(O$2,MODULY_CBA!$B$3:$L$23,8,0)=$D60,SUMIF('Rozpocet - Vyvoj aplikacii'!$B$3:$B$179,'TCO TO BE- SW'!O$2,'Rozpocet - Vyvoj aplikacii'!$I$3:$I$179),0),0)</f>
        <v>0</v>
      </c>
      <c r="P60" s="576">
        <f>IFERROR(IF(VLOOKUP(P$2,MODULY_CBA!$B$3:$L$23,8,0)=$D60,SUMIF('Rozpocet - Vyvoj aplikacii'!$B$3:$B$179,'TCO TO BE- SW'!P$2,'Rozpocet - Vyvoj aplikacii'!$I$3:$I$179),0),0)</f>
        <v>0</v>
      </c>
      <c r="Q60" s="576">
        <f>IFERROR(IF(VLOOKUP(Q$2,MODULY_CBA!$B$3:$L$23,8,0)=$D60,SUMIF('Rozpocet - Vyvoj aplikacii'!$B$3:$B$179,'TCO TO BE- SW'!Q$2,'Rozpocet - Vyvoj aplikacii'!$I$3:$I$179),0),0)</f>
        <v>0</v>
      </c>
      <c r="R60" s="576">
        <f>IFERROR(IF(VLOOKUP(R$2,MODULY_CBA!$B$3:$L$23,8,0)=$D60,SUMIF('Rozpocet - Vyvoj aplikacii'!$B$3:$B$179,'TCO TO BE- SW'!R$2,'Rozpocet - Vyvoj aplikacii'!$I$3:$I$179),0),0)</f>
        <v>0</v>
      </c>
      <c r="S60" s="576">
        <f>IFERROR(IF(VLOOKUP(S$2,MODULY_CBA!$B$3:$L$23,8,0)=$D60,SUMIF('Rozpocet - Vyvoj aplikacii'!$B$3:$B$179,'TCO TO BE- SW'!S$2,'Rozpocet - Vyvoj aplikacii'!$I$3:$I$179),0),0)</f>
        <v>0</v>
      </c>
      <c r="T60" s="576">
        <f>IFERROR(IF(VLOOKUP(T$2,MODULY_CBA!$B$3:$L$23,8,0)=$D60,SUMIF('Rozpocet - Vyvoj aplikacii'!$B$3:$B$179,'TCO TO BE- SW'!T$2,'Rozpocet - Vyvoj aplikacii'!$I$3:$I$179),0),0)</f>
        <v>0</v>
      </c>
      <c r="U60" s="576">
        <f>IFERROR(IF(VLOOKUP(U$2,MODULY_CBA!$B$3:$L$23,8,0)=$D60,SUMIF('Rozpocet - Vyvoj aplikacii'!$B$3:$B$179,'TCO TO BE- SW'!U$2,'Rozpocet - Vyvoj aplikacii'!$I$3:$I$179),0),0)</f>
        <v>0</v>
      </c>
      <c r="V60" s="576">
        <f>IFERROR(IF(VLOOKUP(V$2,MODULY_CBA!$B$3:$L$23,8,0)=$D60,SUMIF('Rozpocet - Vyvoj aplikacii'!$B$3:$B$179,'TCO TO BE- SW'!V$2,'Rozpocet - Vyvoj aplikacii'!$I$3:$I$179),0),0)</f>
        <v>0</v>
      </c>
      <c r="W60" s="576">
        <f>IFERROR(IF(VLOOKUP(W$2,MODULY_CBA!$B$3:$L$23,8,0)=$D60,SUMIF('Rozpocet - Vyvoj aplikacii'!$B$3:$B$179,'TCO TO BE- SW'!W$2,'Rozpocet - Vyvoj aplikacii'!$I$3:$I$179),0),0)</f>
        <v>0</v>
      </c>
      <c r="X60" s="576">
        <f>IFERROR(IF(VLOOKUP(X$2,MODULY_CBA!$B$3:$L$23,8,0)=$D60,SUMIF('Rozpocet - Vyvoj aplikacii'!$B$3:$B$179,'TCO TO BE- SW'!X$2,'Rozpocet - Vyvoj aplikacii'!$I$3:$I$179),0),0)</f>
        <v>0</v>
      </c>
      <c r="Y60" s="576">
        <f>IFERROR(IF(VLOOKUP(Y$2,MODULY_CBA!$B$3:$L$23,8,0)=$D60,SUMIF('Rozpocet - Vyvoj aplikacii'!$B$3:$B$179,'TCO TO BE- SW'!Y$2,'Rozpocet - Vyvoj aplikacii'!$I$3:$I$179),0),0)</f>
        <v>0</v>
      </c>
      <c r="Z60" s="576">
        <f>IFERROR(IF(VLOOKUP(Z$2,MODULY_CBA!$B$3:$L$23,8,0)=$D60,SUMIF('Rozpocet - Vyvoj aplikacii'!$B$3:$B$179,'TCO TO BE- SW'!Z$2,'Rozpocet - Vyvoj aplikacii'!$I$3:$I$179),0),0)</f>
        <v>0</v>
      </c>
    </row>
    <row r="61" spans="1:26" outlineLevel="2">
      <c r="A61" s="875"/>
      <c r="B61" s="876"/>
      <c r="C61" s="876"/>
      <c r="D61" s="64">
        <v>5</v>
      </c>
      <c r="E61" s="68">
        <f t="shared" si="7"/>
        <v>0</v>
      </c>
      <c r="F61" s="576">
        <f>IFERROR(IF(VLOOKUP(F$2,MODULY_CBA!$B$3:$L$23,8,0)=$D61,SUMIF('Rozpocet - Vyvoj aplikacii'!$B$3:$B$179,'TCO TO BE- SW'!F$2,'Rozpocet - Vyvoj aplikacii'!$I$3:$I$179),0),0)</f>
        <v>0</v>
      </c>
      <c r="G61" s="576">
        <f>IFERROR(IF(VLOOKUP(G$2,MODULY_CBA!$B$3:$L$23,8,0)=$D61,SUMIF('Rozpocet - Vyvoj aplikacii'!$B$3:$B$179,'TCO TO BE- SW'!G$2,'Rozpocet - Vyvoj aplikacii'!$I$3:$I$179),0),0)</f>
        <v>0</v>
      </c>
      <c r="H61" s="576">
        <f>IFERROR(IF(VLOOKUP(H$2,MODULY_CBA!$B$3:$L$23,8,0)=$D61,SUMIF('Rozpocet - Vyvoj aplikacii'!$B$3:$B$179,'TCO TO BE- SW'!H$2,'Rozpocet - Vyvoj aplikacii'!$I$3:$I$179),0),0)</f>
        <v>0</v>
      </c>
      <c r="I61" s="576">
        <f>IFERROR(IF(VLOOKUP(I$2,MODULY_CBA!$B$3:$L$23,8,0)=$D61,SUMIF('Rozpocet - Vyvoj aplikacii'!$B$3:$B$179,'TCO TO BE- SW'!I$2,'Rozpocet - Vyvoj aplikacii'!$I$3:$I$179),0),0)</f>
        <v>0</v>
      </c>
      <c r="J61" s="576">
        <f>IFERROR(IF(VLOOKUP(J$2,MODULY_CBA!$B$3:$L$23,8,0)=$D61,SUMIF('Rozpocet - Vyvoj aplikacii'!$B$3:$B$179,'TCO TO BE- SW'!J$2,'Rozpocet - Vyvoj aplikacii'!$I$3:$I$179),0),0)</f>
        <v>0</v>
      </c>
      <c r="K61" s="576">
        <f>IFERROR(IF(VLOOKUP(K$2,MODULY_CBA!$B$3:$L$23,8,0)=$D61,SUMIF('Rozpocet - Vyvoj aplikacii'!$B$3:$B$179,'TCO TO BE- SW'!K$2,'Rozpocet - Vyvoj aplikacii'!$I$3:$I$179),0),0)</f>
        <v>0</v>
      </c>
      <c r="L61" s="576">
        <f>IFERROR(IF(VLOOKUP(L$2,MODULY_CBA!$B$3:$L$23,8,0)=$D61,SUMIF('Rozpocet - Vyvoj aplikacii'!$B$3:$B$179,'TCO TO BE- SW'!L$2,'Rozpocet - Vyvoj aplikacii'!$I$3:$I$179),0),0)</f>
        <v>0</v>
      </c>
      <c r="M61" s="576">
        <f>IFERROR(IF(VLOOKUP(M$2,MODULY_CBA!$B$3:$L$23,8,0)=$D61,SUMIF('Rozpocet - Vyvoj aplikacii'!$B$3:$B$179,'TCO TO BE- SW'!M$2,'Rozpocet - Vyvoj aplikacii'!$I$3:$I$179),0),0)</f>
        <v>0</v>
      </c>
      <c r="N61" s="576">
        <f>IFERROR(IF(VLOOKUP(N$2,MODULY_CBA!$B$3:$L$23,8,0)=$D61,SUMIF('Rozpocet - Vyvoj aplikacii'!$B$3:$B$179,'TCO TO BE- SW'!N$2,'Rozpocet - Vyvoj aplikacii'!$I$3:$I$179),0),0)</f>
        <v>0</v>
      </c>
      <c r="O61" s="576">
        <f>IFERROR(IF(VLOOKUP(O$2,MODULY_CBA!$B$3:$L$23,8,0)=$D61,SUMIF('Rozpocet - Vyvoj aplikacii'!$B$3:$B$179,'TCO TO BE- SW'!O$2,'Rozpocet - Vyvoj aplikacii'!$I$3:$I$179),0),0)</f>
        <v>0</v>
      </c>
      <c r="P61" s="576">
        <f>IFERROR(IF(VLOOKUP(P$2,MODULY_CBA!$B$3:$L$23,8,0)=$D61,SUMIF('Rozpocet - Vyvoj aplikacii'!$B$3:$B$179,'TCO TO BE- SW'!P$2,'Rozpocet - Vyvoj aplikacii'!$I$3:$I$179),0),0)</f>
        <v>0</v>
      </c>
      <c r="Q61" s="576">
        <f>IFERROR(IF(VLOOKUP(Q$2,MODULY_CBA!$B$3:$L$23,8,0)=$D61,SUMIF('Rozpocet - Vyvoj aplikacii'!$B$3:$B$179,'TCO TO BE- SW'!Q$2,'Rozpocet - Vyvoj aplikacii'!$I$3:$I$179),0),0)</f>
        <v>0</v>
      </c>
      <c r="R61" s="576">
        <f>IFERROR(IF(VLOOKUP(R$2,MODULY_CBA!$B$3:$L$23,8,0)=$D61,SUMIF('Rozpocet - Vyvoj aplikacii'!$B$3:$B$179,'TCO TO BE- SW'!R$2,'Rozpocet - Vyvoj aplikacii'!$I$3:$I$179),0),0)</f>
        <v>0</v>
      </c>
      <c r="S61" s="576">
        <f>IFERROR(IF(VLOOKUP(S$2,MODULY_CBA!$B$3:$L$23,8,0)=$D61,SUMIF('Rozpocet - Vyvoj aplikacii'!$B$3:$B$179,'TCO TO BE- SW'!S$2,'Rozpocet - Vyvoj aplikacii'!$I$3:$I$179),0),0)</f>
        <v>0</v>
      </c>
      <c r="T61" s="576">
        <f>IFERROR(IF(VLOOKUP(T$2,MODULY_CBA!$B$3:$L$23,8,0)=$D61,SUMIF('Rozpocet - Vyvoj aplikacii'!$B$3:$B$179,'TCO TO BE- SW'!T$2,'Rozpocet - Vyvoj aplikacii'!$I$3:$I$179),0),0)</f>
        <v>0</v>
      </c>
      <c r="U61" s="576">
        <f>IFERROR(IF(VLOOKUP(U$2,MODULY_CBA!$B$3:$L$23,8,0)=$D61,SUMIF('Rozpocet - Vyvoj aplikacii'!$B$3:$B$179,'TCO TO BE- SW'!U$2,'Rozpocet - Vyvoj aplikacii'!$I$3:$I$179),0),0)</f>
        <v>0</v>
      </c>
      <c r="V61" s="576">
        <f>IFERROR(IF(VLOOKUP(V$2,MODULY_CBA!$B$3:$L$23,8,0)=$D61,SUMIF('Rozpocet - Vyvoj aplikacii'!$B$3:$B$179,'TCO TO BE- SW'!V$2,'Rozpocet - Vyvoj aplikacii'!$I$3:$I$179),0),0)</f>
        <v>0</v>
      </c>
      <c r="W61" s="576">
        <f>IFERROR(IF(VLOOKUP(W$2,MODULY_CBA!$B$3:$L$23,8,0)=$D61,SUMIF('Rozpocet - Vyvoj aplikacii'!$B$3:$B$179,'TCO TO BE- SW'!W$2,'Rozpocet - Vyvoj aplikacii'!$I$3:$I$179),0),0)</f>
        <v>0</v>
      </c>
      <c r="X61" s="576">
        <f>IFERROR(IF(VLOOKUP(X$2,MODULY_CBA!$B$3:$L$23,8,0)=$D61,SUMIF('Rozpocet - Vyvoj aplikacii'!$B$3:$B$179,'TCO TO BE- SW'!X$2,'Rozpocet - Vyvoj aplikacii'!$I$3:$I$179),0),0)</f>
        <v>0</v>
      </c>
      <c r="Y61" s="576">
        <f>IFERROR(IF(VLOOKUP(Y$2,MODULY_CBA!$B$3:$L$23,8,0)=$D61,SUMIF('Rozpocet - Vyvoj aplikacii'!$B$3:$B$179,'TCO TO BE- SW'!Y$2,'Rozpocet - Vyvoj aplikacii'!$I$3:$I$179),0),0)</f>
        <v>0</v>
      </c>
      <c r="Z61" s="576">
        <f>IFERROR(IF(VLOOKUP(Z$2,MODULY_CBA!$B$3:$L$23,8,0)=$D61,SUMIF('Rozpocet - Vyvoj aplikacii'!$B$3:$B$179,'TCO TO BE- SW'!Z$2,'Rozpocet - Vyvoj aplikacii'!$I$3:$I$179),0),0)</f>
        <v>0</v>
      </c>
    </row>
    <row r="62" spans="1:26" outlineLevel="2">
      <c r="A62" s="875"/>
      <c r="B62" s="876"/>
      <c r="C62" s="876"/>
      <c r="D62" s="64">
        <v>6</v>
      </c>
      <c r="E62" s="68">
        <f t="shared" si="7"/>
        <v>0</v>
      </c>
      <c r="F62" s="576">
        <f>IFERROR(IF(VLOOKUP(F$2,MODULY_CBA!$B$3:$L$23,8,0)=$D62,SUMIF('Rozpocet - Vyvoj aplikacii'!$B$3:$B$179,'TCO TO BE- SW'!F$2,'Rozpocet - Vyvoj aplikacii'!$I$3:$I$179),0),0)</f>
        <v>0</v>
      </c>
      <c r="G62" s="576">
        <f>IFERROR(IF(VLOOKUP(G$2,MODULY_CBA!$B$3:$L$23,8,0)=$D62,SUMIF('Rozpocet - Vyvoj aplikacii'!$B$3:$B$179,'TCO TO BE- SW'!G$2,'Rozpocet - Vyvoj aplikacii'!$I$3:$I$179),0),0)</f>
        <v>0</v>
      </c>
      <c r="H62" s="576">
        <f>IFERROR(IF(VLOOKUP(H$2,MODULY_CBA!$B$3:$L$23,8,0)=$D62,SUMIF('Rozpocet - Vyvoj aplikacii'!$B$3:$B$179,'TCO TO BE- SW'!H$2,'Rozpocet - Vyvoj aplikacii'!$I$3:$I$179),0),0)</f>
        <v>0</v>
      </c>
      <c r="I62" s="576">
        <f>IFERROR(IF(VLOOKUP(I$2,MODULY_CBA!$B$3:$L$23,8,0)=$D62,SUMIF('Rozpocet - Vyvoj aplikacii'!$B$3:$B$179,'TCO TO BE- SW'!I$2,'Rozpocet - Vyvoj aplikacii'!$I$3:$I$179),0),0)</f>
        <v>0</v>
      </c>
      <c r="J62" s="576">
        <f>IFERROR(IF(VLOOKUP(J$2,MODULY_CBA!$B$3:$L$23,8,0)=$D62,SUMIF('Rozpocet - Vyvoj aplikacii'!$B$3:$B$179,'TCO TO BE- SW'!J$2,'Rozpocet - Vyvoj aplikacii'!$I$3:$I$179),0),0)</f>
        <v>0</v>
      </c>
      <c r="K62" s="576">
        <f>IFERROR(IF(VLOOKUP(K$2,MODULY_CBA!$B$3:$L$23,8,0)=$D62,SUMIF('Rozpocet - Vyvoj aplikacii'!$B$3:$B$179,'TCO TO BE- SW'!K$2,'Rozpocet - Vyvoj aplikacii'!$I$3:$I$179),0),0)</f>
        <v>0</v>
      </c>
      <c r="L62" s="576">
        <f>IFERROR(IF(VLOOKUP(L$2,MODULY_CBA!$B$3:$L$23,8,0)=$D62,SUMIF('Rozpocet - Vyvoj aplikacii'!$B$3:$B$179,'TCO TO BE- SW'!L$2,'Rozpocet - Vyvoj aplikacii'!$I$3:$I$179),0),0)</f>
        <v>0</v>
      </c>
      <c r="M62" s="576">
        <f>IFERROR(IF(VLOOKUP(M$2,MODULY_CBA!$B$3:$L$23,8,0)=$D62,SUMIF('Rozpocet - Vyvoj aplikacii'!$B$3:$B$179,'TCO TO BE- SW'!M$2,'Rozpocet - Vyvoj aplikacii'!$I$3:$I$179),0),0)</f>
        <v>0</v>
      </c>
      <c r="N62" s="576">
        <f>IFERROR(IF(VLOOKUP(N$2,MODULY_CBA!$B$3:$L$23,8,0)=$D62,SUMIF('Rozpocet - Vyvoj aplikacii'!$B$3:$B$179,'TCO TO BE- SW'!N$2,'Rozpocet - Vyvoj aplikacii'!$I$3:$I$179),0),0)</f>
        <v>0</v>
      </c>
      <c r="O62" s="576">
        <f>IFERROR(IF(VLOOKUP(O$2,MODULY_CBA!$B$3:$L$23,8,0)=$D62,SUMIF('Rozpocet - Vyvoj aplikacii'!$B$3:$B$179,'TCO TO BE- SW'!O$2,'Rozpocet - Vyvoj aplikacii'!$I$3:$I$179),0),0)</f>
        <v>0</v>
      </c>
      <c r="P62" s="576">
        <f>IFERROR(IF(VLOOKUP(P$2,MODULY_CBA!$B$3:$L$23,8,0)=$D62,SUMIF('Rozpocet - Vyvoj aplikacii'!$B$3:$B$179,'TCO TO BE- SW'!P$2,'Rozpocet - Vyvoj aplikacii'!$I$3:$I$179),0),0)</f>
        <v>0</v>
      </c>
      <c r="Q62" s="576">
        <f>IFERROR(IF(VLOOKUP(Q$2,MODULY_CBA!$B$3:$L$23,8,0)=$D62,SUMIF('Rozpocet - Vyvoj aplikacii'!$B$3:$B$179,'TCO TO BE- SW'!Q$2,'Rozpocet - Vyvoj aplikacii'!$I$3:$I$179),0),0)</f>
        <v>0</v>
      </c>
      <c r="R62" s="576">
        <f>IFERROR(IF(VLOOKUP(R$2,MODULY_CBA!$B$3:$L$23,8,0)=$D62,SUMIF('Rozpocet - Vyvoj aplikacii'!$B$3:$B$179,'TCO TO BE- SW'!R$2,'Rozpocet - Vyvoj aplikacii'!$I$3:$I$179),0),0)</f>
        <v>0</v>
      </c>
      <c r="S62" s="576">
        <f>IFERROR(IF(VLOOKUP(S$2,MODULY_CBA!$B$3:$L$23,8,0)=$D62,SUMIF('Rozpocet - Vyvoj aplikacii'!$B$3:$B$179,'TCO TO BE- SW'!S$2,'Rozpocet - Vyvoj aplikacii'!$I$3:$I$179),0),0)</f>
        <v>0</v>
      </c>
      <c r="T62" s="576">
        <f>IFERROR(IF(VLOOKUP(T$2,MODULY_CBA!$B$3:$L$23,8,0)=$D62,SUMIF('Rozpocet - Vyvoj aplikacii'!$B$3:$B$179,'TCO TO BE- SW'!T$2,'Rozpocet - Vyvoj aplikacii'!$I$3:$I$179),0),0)</f>
        <v>0</v>
      </c>
      <c r="U62" s="576">
        <f>IFERROR(IF(VLOOKUP(U$2,MODULY_CBA!$B$3:$L$23,8,0)=$D62,SUMIF('Rozpocet - Vyvoj aplikacii'!$B$3:$B$179,'TCO TO BE- SW'!U$2,'Rozpocet - Vyvoj aplikacii'!$I$3:$I$179),0),0)</f>
        <v>0</v>
      </c>
      <c r="V62" s="576">
        <f>IFERROR(IF(VLOOKUP(V$2,MODULY_CBA!$B$3:$L$23,8,0)=$D62,SUMIF('Rozpocet - Vyvoj aplikacii'!$B$3:$B$179,'TCO TO BE- SW'!V$2,'Rozpocet - Vyvoj aplikacii'!$I$3:$I$179),0),0)</f>
        <v>0</v>
      </c>
      <c r="W62" s="576">
        <f>IFERROR(IF(VLOOKUP(W$2,MODULY_CBA!$B$3:$L$23,8,0)=$D62,SUMIF('Rozpocet - Vyvoj aplikacii'!$B$3:$B$179,'TCO TO BE- SW'!W$2,'Rozpocet - Vyvoj aplikacii'!$I$3:$I$179),0),0)</f>
        <v>0</v>
      </c>
      <c r="X62" s="576">
        <f>IFERROR(IF(VLOOKUP(X$2,MODULY_CBA!$B$3:$L$23,8,0)=$D62,SUMIF('Rozpocet - Vyvoj aplikacii'!$B$3:$B$179,'TCO TO BE- SW'!X$2,'Rozpocet - Vyvoj aplikacii'!$I$3:$I$179),0),0)</f>
        <v>0</v>
      </c>
      <c r="Y62" s="576">
        <f>IFERROR(IF(VLOOKUP(Y$2,MODULY_CBA!$B$3:$L$23,8,0)=$D62,SUMIF('Rozpocet - Vyvoj aplikacii'!$B$3:$B$179,'TCO TO BE- SW'!Y$2,'Rozpocet - Vyvoj aplikacii'!$I$3:$I$179),0),0)</f>
        <v>0</v>
      </c>
      <c r="Z62" s="576">
        <f>IFERROR(IF(VLOOKUP(Z$2,MODULY_CBA!$B$3:$L$23,8,0)=$D62,SUMIF('Rozpocet - Vyvoj aplikacii'!$B$3:$B$179,'TCO TO BE- SW'!Z$2,'Rozpocet - Vyvoj aplikacii'!$I$3:$I$179),0),0)</f>
        <v>0</v>
      </c>
    </row>
    <row r="63" spans="1:26" outlineLevel="2">
      <c r="A63" s="875"/>
      <c r="B63" s="876"/>
      <c r="C63" s="876"/>
      <c r="D63" s="64">
        <v>7</v>
      </c>
      <c r="E63" s="68">
        <f t="shared" si="7"/>
        <v>0</v>
      </c>
      <c r="F63" s="576">
        <f>IFERROR(IF(VLOOKUP(F$2,MODULY_CBA!$B$3:$L$23,8,0)=$D63,SUMIF('Rozpocet - Vyvoj aplikacii'!$B$3:$B$179,'TCO TO BE- SW'!F$2,'Rozpocet - Vyvoj aplikacii'!$I$3:$I$179),0),0)</f>
        <v>0</v>
      </c>
      <c r="G63" s="576">
        <f>IFERROR(IF(VLOOKUP(G$2,MODULY_CBA!$B$3:$L$23,8,0)=$D63,SUMIF('Rozpocet - Vyvoj aplikacii'!$B$3:$B$179,'TCO TO BE- SW'!G$2,'Rozpocet - Vyvoj aplikacii'!$I$3:$I$179),0),0)</f>
        <v>0</v>
      </c>
      <c r="H63" s="576">
        <f>IFERROR(IF(VLOOKUP(H$2,MODULY_CBA!$B$3:$L$23,8,0)=$D63,SUMIF('Rozpocet - Vyvoj aplikacii'!$B$3:$B$179,'TCO TO BE- SW'!H$2,'Rozpocet - Vyvoj aplikacii'!$I$3:$I$179),0),0)</f>
        <v>0</v>
      </c>
      <c r="I63" s="576">
        <f>IFERROR(IF(VLOOKUP(I$2,MODULY_CBA!$B$3:$L$23,8,0)=$D63,SUMIF('Rozpocet - Vyvoj aplikacii'!$B$3:$B$179,'TCO TO BE- SW'!I$2,'Rozpocet - Vyvoj aplikacii'!$I$3:$I$179),0),0)</f>
        <v>0</v>
      </c>
      <c r="J63" s="576">
        <f>IFERROR(IF(VLOOKUP(J$2,MODULY_CBA!$B$3:$L$23,8,0)=$D63,SUMIF('Rozpocet - Vyvoj aplikacii'!$B$3:$B$179,'TCO TO BE- SW'!J$2,'Rozpocet - Vyvoj aplikacii'!$I$3:$I$179),0),0)</f>
        <v>0</v>
      </c>
      <c r="K63" s="576">
        <f>IFERROR(IF(VLOOKUP(K$2,MODULY_CBA!$B$3:$L$23,8,0)=$D63,SUMIF('Rozpocet - Vyvoj aplikacii'!$B$3:$B$179,'TCO TO BE- SW'!K$2,'Rozpocet - Vyvoj aplikacii'!$I$3:$I$179),0),0)</f>
        <v>0</v>
      </c>
      <c r="L63" s="576">
        <f>IFERROR(IF(VLOOKUP(L$2,MODULY_CBA!$B$3:$L$23,8,0)=$D63,SUMIF('Rozpocet - Vyvoj aplikacii'!$B$3:$B$179,'TCO TO BE- SW'!L$2,'Rozpocet - Vyvoj aplikacii'!$I$3:$I$179),0),0)</f>
        <v>0</v>
      </c>
      <c r="M63" s="576">
        <f>IFERROR(IF(VLOOKUP(M$2,MODULY_CBA!$B$3:$L$23,8,0)=$D63,SUMIF('Rozpocet - Vyvoj aplikacii'!$B$3:$B$179,'TCO TO BE- SW'!M$2,'Rozpocet - Vyvoj aplikacii'!$I$3:$I$179),0),0)</f>
        <v>0</v>
      </c>
      <c r="N63" s="576">
        <f>IFERROR(IF(VLOOKUP(N$2,MODULY_CBA!$B$3:$L$23,8,0)=$D63,SUMIF('Rozpocet - Vyvoj aplikacii'!$B$3:$B$179,'TCO TO BE- SW'!N$2,'Rozpocet - Vyvoj aplikacii'!$I$3:$I$179),0),0)</f>
        <v>0</v>
      </c>
      <c r="O63" s="576">
        <f>IFERROR(IF(VLOOKUP(O$2,MODULY_CBA!$B$3:$L$23,8,0)=$D63,SUMIF('Rozpocet - Vyvoj aplikacii'!$B$3:$B$179,'TCO TO BE- SW'!O$2,'Rozpocet - Vyvoj aplikacii'!$I$3:$I$179),0),0)</f>
        <v>0</v>
      </c>
      <c r="P63" s="576">
        <f>IFERROR(IF(VLOOKUP(P$2,MODULY_CBA!$B$3:$L$23,8,0)=$D63,SUMIF('Rozpocet - Vyvoj aplikacii'!$B$3:$B$179,'TCO TO BE- SW'!P$2,'Rozpocet - Vyvoj aplikacii'!$I$3:$I$179),0),0)</f>
        <v>0</v>
      </c>
      <c r="Q63" s="576">
        <f>IFERROR(IF(VLOOKUP(Q$2,MODULY_CBA!$B$3:$L$23,8,0)=$D63,SUMIF('Rozpocet - Vyvoj aplikacii'!$B$3:$B$179,'TCO TO BE- SW'!Q$2,'Rozpocet - Vyvoj aplikacii'!$I$3:$I$179),0),0)</f>
        <v>0</v>
      </c>
      <c r="R63" s="576">
        <f>IFERROR(IF(VLOOKUP(R$2,MODULY_CBA!$B$3:$L$23,8,0)=$D63,SUMIF('Rozpocet - Vyvoj aplikacii'!$B$3:$B$179,'TCO TO BE- SW'!R$2,'Rozpocet - Vyvoj aplikacii'!$I$3:$I$179),0),0)</f>
        <v>0</v>
      </c>
      <c r="S63" s="576">
        <f>IFERROR(IF(VLOOKUP(S$2,MODULY_CBA!$B$3:$L$23,8,0)=$D63,SUMIF('Rozpocet - Vyvoj aplikacii'!$B$3:$B$179,'TCO TO BE- SW'!S$2,'Rozpocet - Vyvoj aplikacii'!$I$3:$I$179),0),0)</f>
        <v>0</v>
      </c>
      <c r="T63" s="576">
        <f>IFERROR(IF(VLOOKUP(T$2,MODULY_CBA!$B$3:$L$23,8,0)=$D63,SUMIF('Rozpocet - Vyvoj aplikacii'!$B$3:$B$179,'TCO TO BE- SW'!T$2,'Rozpocet - Vyvoj aplikacii'!$I$3:$I$179),0),0)</f>
        <v>0</v>
      </c>
      <c r="U63" s="576">
        <f>IFERROR(IF(VLOOKUP(U$2,MODULY_CBA!$B$3:$L$23,8,0)=$D63,SUMIF('Rozpocet - Vyvoj aplikacii'!$B$3:$B$179,'TCO TO BE- SW'!U$2,'Rozpocet - Vyvoj aplikacii'!$I$3:$I$179),0),0)</f>
        <v>0</v>
      </c>
      <c r="V63" s="576">
        <f>IFERROR(IF(VLOOKUP(V$2,MODULY_CBA!$B$3:$L$23,8,0)=$D63,SUMIF('Rozpocet - Vyvoj aplikacii'!$B$3:$B$179,'TCO TO BE- SW'!V$2,'Rozpocet - Vyvoj aplikacii'!$I$3:$I$179),0),0)</f>
        <v>0</v>
      </c>
      <c r="W63" s="576">
        <f>IFERROR(IF(VLOOKUP(W$2,MODULY_CBA!$B$3:$L$23,8,0)=$D63,SUMIF('Rozpocet - Vyvoj aplikacii'!$B$3:$B$179,'TCO TO BE- SW'!W$2,'Rozpocet - Vyvoj aplikacii'!$I$3:$I$179),0),0)</f>
        <v>0</v>
      </c>
      <c r="X63" s="576">
        <f>IFERROR(IF(VLOOKUP(X$2,MODULY_CBA!$B$3:$L$23,8,0)=$D63,SUMIF('Rozpocet - Vyvoj aplikacii'!$B$3:$B$179,'TCO TO BE- SW'!X$2,'Rozpocet - Vyvoj aplikacii'!$I$3:$I$179),0),0)</f>
        <v>0</v>
      </c>
      <c r="Y63" s="576">
        <f>IFERROR(IF(VLOOKUP(Y$2,MODULY_CBA!$B$3:$L$23,8,0)=$D63,SUMIF('Rozpocet - Vyvoj aplikacii'!$B$3:$B$179,'TCO TO BE- SW'!Y$2,'Rozpocet - Vyvoj aplikacii'!$I$3:$I$179),0),0)</f>
        <v>0</v>
      </c>
      <c r="Z63" s="576">
        <f>IFERROR(IF(VLOOKUP(Z$2,MODULY_CBA!$B$3:$L$23,8,0)=$D63,SUMIF('Rozpocet - Vyvoj aplikacii'!$B$3:$B$179,'TCO TO BE- SW'!Z$2,'Rozpocet - Vyvoj aplikacii'!$I$3:$I$179),0),0)</f>
        <v>0</v>
      </c>
    </row>
    <row r="64" spans="1:26" outlineLevel="2">
      <c r="A64" s="875"/>
      <c r="B64" s="876"/>
      <c r="C64" s="876"/>
      <c r="D64" s="64">
        <v>8</v>
      </c>
      <c r="E64" s="68">
        <f t="shared" si="7"/>
        <v>0</v>
      </c>
      <c r="F64" s="576">
        <f>IFERROR(IF(VLOOKUP(F$2,MODULY_CBA!$B$3:$L$23,8,0)=$D64,SUMIF('Rozpocet - Vyvoj aplikacii'!$B$3:$B$179,'TCO TO BE- SW'!F$2,'Rozpocet - Vyvoj aplikacii'!$I$3:$I$179),0),0)</f>
        <v>0</v>
      </c>
      <c r="G64" s="576">
        <f>IFERROR(IF(VLOOKUP(G$2,MODULY_CBA!$B$3:$L$23,8,0)=$D64,SUMIF('Rozpocet - Vyvoj aplikacii'!$B$3:$B$179,'TCO TO BE- SW'!G$2,'Rozpocet - Vyvoj aplikacii'!$I$3:$I$179),0),0)</f>
        <v>0</v>
      </c>
      <c r="H64" s="576">
        <f>IFERROR(IF(VLOOKUP(H$2,MODULY_CBA!$B$3:$L$23,8,0)=$D64,SUMIF('Rozpocet - Vyvoj aplikacii'!$B$3:$B$179,'TCO TO BE- SW'!H$2,'Rozpocet - Vyvoj aplikacii'!$I$3:$I$179),0),0)</f>
        <v>0</v>
      </c>
      <c r="I64" s="576">
        <f>IFERROR(IF(VLOOKUP(I$2,MODULY_CBA!$B$3:$L$23,8,0)=$D64,SUMIF('Rozpocet - Vyvoj aplikacii'!$B$3:$B$179,'TCO TO BE- SW'!I$2,'Rozpocet - Vyvoj aplikacii'!$I$3:$I$179),0),0)</f>
        <v>0</v>
      </c>
      <c r="J64" s="576">
        <f>IFERROR(IF(VLOOKUP(J$2,MODULY_CBA!$B$3:$L$23,8,0)=$D64,SUMIF('Rozpocet - Vyvoj aplikacii'!$B$3:$B$179,'TCO TO BE- SW'!J$2,'Rozpocet - Vyvoj aplikacii'!$I$3:$I$179),0),0)</f>
        <v>0</v>
      </c>
      <c r="K64" s="576">
        <f>IFERROR(IF(VLOOKUP(K$2,MODULY_CBA!$B$3:$L$23,8,0)=$D64,SUMIF('Rozpocet - Vyvoj aplikacii'!$B$3:$B$179,'TCO TO BE- SW'!K$2,'Rozpocet - Vyvoj aplikacii'!$I$3:$I$179),0),0)</f>
        <v>0</v>
      </c>
      <c r="L64" s="576">
        <f>IFERROR(IF(VLOOKUP(L$2,MODULY_CBA!$B$3:$L$23,8,0)=$D64,SUMIF('Rozpocet - Vyvoj aplikacii'!$B$3:$B$179,'TCO TO BE- SW'!L$2,'Rozpocet - Vyvoj aplikacii'!$I$3:$I$179),0),0)</f>
        <v>0</v>
      </c>
      <c r="M64" s="576">
        <f>IFERROR(IF(VLOOKUP(M$2,MODULY_CBA!$B$3:$L$23,8,0)=$D64,SUMIF('Rozpocet - Vyvoj aplikacii'!$B$3:$B$179,'TCO TO BE- SW'!M$2,'Rozpocet - Vyvoj aplikacii'!$I$3:$I$179),0),0)</f>
        <v>0</v>
      </c>
      <c r="N64" s="576">
        <f>IFERROR(IF(VLOOKUP(N$2,MODULY_CBA!$B$3:$L$23,8,0)=$D64,SUMIF('Rozpocet - Vyvoj aplikacii'!$B$3:$B$179,'TCO TO BE- SW'!N$2,'Rozpocet - Vyvoj aplikacii'!$I$3:$I$179),0),0)</f>
        <v>0</v>
      </c>
      <c r="O64" s="576">
        <f>IFERROR(IF(VLOOKUP(O$2,MODULY_CBA!$B$3:$L$23,8,0)=$D64,SUMIF('Rozpocet - Vyvoj aplikacii'!$B$3:$B$179,'TCO TO BE- SW'!O$2,'Rozpocet - Vyvoj aplikacii'!$I$3:$I$179),0),0)</f>
        <v>0</v>
      </c>
      <c r="P64" s="576">
        <f>IFERROR(IF(VLOOKUP(P$2,MODULY_CBA!$B$3:$L$23,8,0)=$D64,SUMIF('Rozpocet - Vyvoj aplikacii'!$B$3:$B$179,'TCO TO BE- SW'!P$2,'Rozpocet - Vyvoj aplikacii'!$I$3:$I$179),0),0)</f>
        <v>0</v>
      </c>
      <c r="Q64" s="576">
        <f>IFERROR(IF(VLOOKUP(Q$2,MODULY_CBA!$B$3:$L$23,8,0)=$D64,SUMIF('Rozpocet - Vyvoj aplikacii'!$B$3:$B$179,'TCO TO BE- SW'!Q$2,'Rozpocet - Vyvoj aplikacii'!$I$3:$I$179),0),0)</f>
        <v>0</v>
      </c>
      <c r="R64" s="576">
        <f>IFERROR(IF(VLOOKUP(R$2,MODULY_CBA!$B$3:$L$23,8,0)=$D64,SUMIF('Rozpocet - Vyvoj aplikacii'!$B$3:$B$179,'TCO TO BE- SW'!R$2,'Rozpocet - Vyvoj aplikacii'!$I$3:$I$179),0),0)</f>
        <v>0</v>
      </c>
      <c r="S64" s="576">
        <f>IFERROR(IF(VLOOKUP(S$2,MODULY_CBA!$B$3:$L$23,8,0)=$D64,SUMIF('Rozpocet - Vyvoj aplikacii'!$B$3:$B$179,'TCO TO BE- SW'!S$2,'Rozpocet - Vyvoj aplikacii'!$I$3:$I$179),0),0)</f>
        <v>0</v>
      </c>
      <c r="T64" s="576">
        <f>IFERROR(IF(VLOOKUP(T$2,MODULY_CBA!$B$3:$L$23,8,0)=$D64,SUMIF('Rozpocet - Vyvoj aplikacii'!$B$3:$B$179,'TCO TO BE- SW'!T$2,'Rozpocet - Vyvoj aplikacii'!$I$3:$I$179),0),0)</f>
        <v>0</v>
      </c>
      <c r="U64" s="576">
        <f>IFERROR(IF(VLOOKUP(U$2,MODULY_CBA!$B$3:$L$23,8,0)=$D64,SUMIF('Rozpocet - Vyvoj aplikacii'!$B$3:$B$179,'TCO TO BE- SW'!U$2,'Rozpocet - Vyvoj aplikacii'!$I$3:$I$179),0),0)</f>
        <v>0</v>
      </c>
      <c r="V64" s="576">
        <f>IFERROR(IF(VLOOKUP(V$2,MODULY_CBA!$B$3:$L$23,8,0)=$D64,SUMIF('Rozpocet - Vyvoj aplikacii'!$B$3:$B$179,'TCO TO BE- SW'!V$2,'Rozpocet - Vyvoj aplikacii'!$I$3:$I$179),0),0)</f>
        <v>0</v>
      </c>
      <c r="W64" s="576">
        <f>IFERROR(IF(VLOOKUP(W$2,MODULY_CBA!$B$3:$L$23,8,0)=$D64,SUMIF('Rozpocet - Vyvoj aplikacii'!$B$3:$B$179,'TCO TO BE- SW'!W$2,'Rozpocet - Vyvoj aplikacii'!$I$3:$I$179),0),0)</f>
        <v>0</v>
      </c>
      <c r="X64" s="576">
        <f>IFERROR(IF(VLOOKUP(X$2,MODULY_CBA!$B$3:$L$23,8,0)=$D64,SUMIF('Rozpocet - Vyvoj aplikacii'!$B$3:$B$179,'TCO TO BE- SW'!X$2,'Rozpocet - Vyvoj aplikacii'!$I$3:$I$179),0),0)</f>
        <v>0</v>
      </c>
      <c r="Y64" s="576">
        <f>IFERROR(IF(VLOOKUP(Y$2,MODULY_CBA!$B$3:$L$23,8,0)=$D64,SUMIF('Rozpocet - Vyvoj aplikacii'!$B$3:$B$179,'TCO TO BE- SW'!Y$2,'Rozpocet - Vyvoj aplikacii'!$I$3:$I$179),0),0)</f>
        <v>0</v>
      </c>
      <c r="Z64" s="576">
        <f>IFERROR(IF(VLOOKUP(Z$2,MODULY_CBA!$B$3:$L$23,8,0)=$D64,SUMIF('Rozpocet - Vyvoj aplikacii'!$B$3:$B$179,'TCO TO BE- SW'!Z$2,'Rozpocet - Vyvoj aplikacii'!$I$3:$I$179),0),0)</f>
        <v>0</v>
      </c>
    </row>
    <row r="65" spans="1:26" outlineLevel="2">
      <c r="A65" s="875"/>
      <c r="B65" s="876"/>
      <c r="C65" s="876"/>
      <c r="D65" s="64">
        <v>9</v>
      </c>
      <c r="E65" s="68">
        <f t="shared" si="7"/>
        <v>0</v>
      </c>
      <c r="F65" s="576">
        <f>IFERROR(IF(VLOOKUP(F$2,MODULY_CBA!$B$3:$L$23,8,0)=$D65,SUMIF('Rozpocet - Vyvoj aplikacii'!$B$3:$B$179,'TCO TO BE- SW'!F$2,'Rozpocet - Vyvoj aplikacii'!$I$3:$I$179),0),0)</f>
        <v>0</v>
      </c>
      <c r="G65" s="576">
        <f>IFERROR(IF(VLOOKUP(G$2,MODULY_CBA!$B$3:$L$23,8,0)=$D65,SUMIF('Rozpocet - Vyvoj aplikacii'!$B$3:$B$179,'TCO TO BE- SW'!G$2,'Rozpocet - Vyvoj aplikacii'!$I$3:$I$179),0),0)</f>
        <v>0</v>
      </c>
      <c r="H65" s="576">
        <f>IFERROR(IF(VLOOKUP(H$2,MODULY_CBA!$B$3:$L$23,8,0)=$D65,SUMIF('Rozpocet - Vyvoj aplikacii'!$B$3:$B$179,'TCO TO BE- SW'!H$2,'Rozpocet - Vyvoj aplikacii'!$I$3:$I$179),0),0)</f>
        <v>0</v>
      </c>
      <c r="I65" s="576">
        <f>IFERROR(IF(VLOOKUP(I$2,MODULY_CBA!$B$3:$L$23,8,0)=$D65,SUMIF('Rozpocet - Vyvoj aplikacii'!$B$3:$B$179,'TCO TO BE- SW'!I$2,'Rozpocet - Vyvoj aplikacii'!$I$3:$I$179),0),0)</f>
        <v>0</v>
      </c>
      <c r="J65" s="576">
        <f>IFERROR(IF(VLOOKUP(J$2,MODULY_CBA!$B$3:$L$23,8,0)=$D65,SUMIF('Rozpocet - Vyvoj aplikacii'!$B$3:$B$179,'TCO TO BE- SW'!J$2,'Rozpocet - Vyvoj aplikacii'!$I$3:$I$179),0),0)</f>
        <v>0</v>
      </c>
      <c r="K65" s="576">
        <f>IFERROR(IF(VLOOKUP(K$2,MODULY_CBA!$B$3:$L$23,8,0)=$D65,SUMIF('Rozpocet - Vyvoj aplikacii'!$B$3:$B$179,'TCO TO BE- SW'!K$2,'Rozpocet - Vyvoj aplikacii'!$I$3:$I$179),0),0)</f>
        <v>0</v>
      </c>
      <c r="L65" s="576">
        <f>IFERROR(IF(VLOOKUP(L$2,MODULY_CBA!$B$3:$L$23,8,0)=$D65,SUMIF('Rozpocet - Vyvoj aplikacii'!$B$3:$B$179,'TCO TO BE- SW'!L$2,'Rozpocet - Vyvoj aplikacii'!$I$3:$I$179),0),0)</f>
        <v>0</v>
      </c>
      <c r="M65" s="576">
        <f>IFERROR(IF(VLOOKUP(M$2,MODULY_CBA!$B$3:$L$23,8,0)=$D65,SUMIF('Rozpocet - Vyvoj aplikacii'!$B$3:$B$179,'TCO TO BE- SW'!M$2,'Rozpocet - Vyvoj aplikacii'!$I$3:$I$179),0),0)</f>
        <v>0</v>
      </c>
      <c r="N65" s="576">
        <f>IFERROR(IF(VLOOKUP(N$2,MODULY_CBA!$B$3:$L$23,8,0)=$D65,SUMIF('Rozpocet - Vyvoj aplikacii'!$B$3:$B$179,'TCO TO BE- SW'!N$2,'Rozpocet - Vyvoj aplikacii'!$I$3:$I$179),0),0)</f>
        <v>0</v>
      </c>
      <c r="O65" s="576">
        <f>IFERROR(IF(VLOOKUP(O$2,MODULY_CBA!$B$3:$L$23,8,0)=$D65,SUMIF('Rozpocet - Vyvoj aplikacii'!$B$3:$B$179,'TCO TO BE- SW'!O$2,'Rozpocet - Vyvoj aplikacii'!$I$3:$I$179),0),0)</f>
        <v>0</v>
      </c>
      <c r="P65" s="576">
        <f>IFERROR(IF(VLOOKUP(P$2,MODULY_CBA!$B$3:$L$23,8,0)=$D65,SUMIF('Rozpocet - Vyvoj aplikacii'!$B$3:$B$179,'TCO TO BE- SW'!P$2,'Rozpocet - Vyvoj aplikacii'!$I$3:$I$179),0),0)</f>
        <v>0</v>
      </c>
      <c r="Q65" s="576">
        <f>IFERROR(IF(VLOOKUP(Q$2,MODULY_CBA!$B$3:$L$23,8,0)=$D65,SUMIF('Rozpocet - Vyvoj aplikacii'!$B$3:$B$179,'TCO TO BE- SW'!Q$2,'Rozpocet - Vyvoj aplikacii'!$I$3:$I$179),0),0)</f>
        <v>0</v>
      </c>
      <c r="R65" s="576">
        <f>IFERROR(IF(VLOOKUP(R$2,MODULY_CBA!$B$3:$L$23,8,0)=$D65,SUMIF('Rozpocet - Vyvoj aplikacii'!$B$3:$B$179,'TCO TO BE- SW'!R$2,'Rozpocet - Vyvoj aplikacii'!$I$3:$I$179),0),0)</f>
        <v>0</v>
      </c>
      <c r="S65" s="576">
        <f>IFERROR(IF(VLOOKUP(S$2,MODULY_CBA!$B$3:$L$23,8,0)=$D65,SUMIF('Rozpocet - Vyvoj aplikacii'!$B$3:$B$179,'TCO TO BE- SW'!S$2,'Rozpocet - Vyvoj aplikacii'!$I$3:$I$179),0),0)</f>
        <v>0</v>
      </c>
      <c r="T65" s="576">
        <f>IFERROR(IF(VLOOKUP(T$2,MODULY_CBA!$B$3:$L$23,8,0)=$D65,SUMIF('Rozpocet - Vyvoj aplikacii'!$B$3:$B$179,'TCO TO BE- SW'!T$2,'Rozpocet - Vyvoj aplikacii'!$I$3:$I$179),0),0)</f>
        <v>0</v>
      </c>
      <c r="U65" s="576">
        <f>IFERROR(IF(VLOOKUP(U$2,MODULY_CBA!$B$3:$L$23,8,0)=$D65,SUMIF('Rozpocet - Vyvoj aplikacii'!$B$3:$B$179,'TCO TO BE- SW'!U$2,'Rozpocet - Vyvoj aplikacii'!$I$3:$I$179),0),0)</f>
        <v>0</v>
      </c>
      <c r="V65" s="576">
        <f>IFERROR(IF(VLOOKUP(V$2,MODULY_CBA!$B$3:$L$23,8,0)=$D65,SUMIF('Rozpocet - Vyvoj aplikacii'!$B$3:$B$179,'TCO TO BE- SW'!V$2,'Rozpocet - Vyvoj aplikacii'!$I$3:$I$179),0),0)</f>
        <v>0</v>
      </c>
      <c r="W65" s="576">
        <f>IFERROR(IF(VLOOKUP(W$2,MODULY_CBA!$B$3:$L$23,8,0)=$D65,SUMIF('Rozpocet - Vyvoj aplikacii'!$B$3:$B$179,'TCO TO BE- SW'!W$2,'Rozpocet - Vyvoj aplikacii'!$I$3:$I$179),0),0)</f>
        <v>0</v>
      </c>
      <c r="X65" s="576">
        <f>IFERROR(IF(VLOOKUP(X$2,MODULY_CBA!$B$3:$L$23,8,0)=$D65,SUMIF('Rozpocet - Vyvoj aplikacii'!$B$3:$B$179,'TCO TO BE- SW'!X$2,'Rozpocet - Vyvoj aplikacii'!$I$3:$I$179),0),0)</f>
        <v>0</v>
      </c>
      <c r="Y65" s="576">
        <f>IFERROR(IF(VLOOKUP(Y$2,MODULY_CBA!$B$3:$L$23,8,0)=$D65,SUMIF('Rozpocet - Vyvoj aplikacii'!$B$3:$B$179,'TCO TO BE- SW'!Y$2,'Rozpocet - Vyvoj aplikacii'!$I$3:$I$179),0),0)</f>
        <v>0</v>
      </c>
      <c r="Z65" s="576">
        <f>IFERROR(IF(VLOOKUP(Z$2,MODULY_CBA!$B$3:$L$23,8,0)=$D65,SUMIF('Rozpocet - Vyvoj aplikacii'!$B$3:$B$179,'TCO TO BE- SW'!Z$2,'Rozpocet - Vyvoj aplikacii'!$I$3:$I$179),0),0)</f>
        <v>0</v>
      </c>
    </row>
    <row r="66" spans="1:26" ht="15.75" outlineLevel="2" thickBot="1">
      <c r="A66" s="875"/>
      <c r="B66" s="876"/>
      <c r="C66" s="876"/>
      <c r="D66" s="65">
        <v>10</v>
      </c>
      <c r="E66" s="69">
        <f t="shared" si="7"/>
        <v>0</v>
      </c>
      <c r="F66" s="577">
        <f>IFERROR(IF(VLOOKUP(F$2,MODULY_CBA!$B$3:$L$23,8,0)=$D66,SUMIF('Rozpocet - Vyvoj aplikacii'!$B$3:$B$179,'TCO TO BE- SW'!F$2,'Rozpocet - Vyvoj aplikacii'!$I$3:$I$179),0),0)</f>
        <v>0</v>
      </c>
      <c r="G66" s="577">
        <f>IFERROR(IF(VLOOKUP(G$2,MODULY_CBA!$B$3:$L$23,8,0)=$D66,SUMIF('Rozpocet - Vyvoj aplikacii'!$B$3:$B$179,'TCO TO BE- SW'!G$2,'Rozpocet - Vyvoj aplikacii'!$I$3:$I$179),0),0)</f>
        <v>0</v>
      </c>
      <c r="H66" s="577">
        <f>IFERROR(IF(VLOOKUP(H$2,MODULY_CBA!$B$3:$L$23,8,0)=$D66,SUMIF('Rozpocet - Vyvoj aplikacii'!$B$3:$B$179,'TCO TO BE- SW'!H$2,'Rozpocet - Vyvoj aplikacii'!$I$3:$I$179),0),0)</f>
        <v>0</v>
      </c>
      <c r="I66" s="577">
        <f>IFERROR(IF(VLOOKUP(I$2,MODULY_CBA!$B$3:$L$23,8,0)=$D66,SUMIF('Rozpocet - Vyvoj aplikacii'!$B$3:$B$179,'TCO TO BE- SW'!I$2,'Rozpocet - Vyvoj aplikacii'!$I$3:$I$179),0),0)</f>
        <v>0</v>
      </c>
      <c r="J66" s="577">
        <f>IFERROR(IF(VLOOKUP(J$2,MODULY_CBA!$B$3:$L$23,8,0)=$D66,SUMIF('Rozpocet - Vyvoj aplikacii'!$B$3:$B$179,'TCO TO BE- SW'!J$2,'Rozpocet - Vyvoj aplikacii'!$I$3:$I$179),0),0)</f>
        <v>0</v>
      </c>
      <c r="K66" s="577">
        <f>IFERROR(IF(VLOOKUP(K$2,MODULY_CBA!$B$3:$L$23,8,0)=$D66,SUMIF('Rozpocet - Vyvoj aplikacii'!$B$3:$B$179,'TCO TO BE- SW'!K$2,'Rozpocet - Vyvoj aplikacii'!$I$3:$I$179),0),0)</f>
        <v>0</v>
      </c>
      <c r="L66" s="577">
        <f>IFERROR(IF(VLOOKUP(L$2,MODULY_CBA!$B$3:$L$23,8,0)=$D66,SUMIF('Rozpocet - Vyvoj aplikacii'!$B$3:$B$179,'TCO TO BE- SW'!L$2,'Rozpocet - Vyvoj aplikacii'!$I$3:$I$179),0),0)</f>
        <v>0</v>
      </c>
      <c r="M66" s="577">
        <f>IFERROR(IF(VLOOKUP(M$2,MODULY_CBA!$B$3:$L$23,8,0)=$D66,SUMIF('Rozpocet - Vyvoj aplikacii'!$B$3:$B$179,'TCO TO BE- SW'!M$2,'Rozpocet - Vyvoj aplikacii'!$I$3:$I$179),0),0)</f>
        <v>0</v>
      </c>
      <c r="N66" s="577">
        <f>IFERROR(IF(VLOOKUP(N$2,MODULY_CBA!$B$3:$L$23,8,0)=$D66,SUMIF('Rozpocet - Vyvoj aplikacii'!$B$3:$B$179,'TCO TO BE- SW'!N$2,'Rozpocet - Vyvoj aplikacii'!$I$3:$I$179),0),0)</f>
        <v>0</v>
      </c>
      <c r="O66" s="577">
        <f>IFERROR(IF(VLOOKUP(O$2,MODULY_CBA!$B$3:$L$23,8,0)=$D66,SUMIF('Rozpocet - Vyvoj aplikacii'!$B$3:$B$179,'TCO TO BE- SW'!O$2,'Rozpocet - Vyvoj aplikacii'!$I$3:$I$179),0),0)</f>
        <v>0</v>
      </c>
      <c r="P66" s="577">
        <f>IFERROR(IF(VLOOKUP(P$2,MODULY_CBA!$B$3:$L$23,8,0)=$D66,SUMIF('Rozpocet - Vyvoj aplikacii'!$B$3:$B$179,'TCO TO BE- SW'!P$2,'Rozpocet - Vyvoj aplikacii'!$I$3:$I$179),0),0)</f>
        <v>0</v>
      </c>
      <c r="Q66" s="577">
        <f>IFERROR(IF(VLOOKUP(Q$2,MODULY_CBA!$B$3:$L$23,8,0)=$D66,SUMIF('Rozpocet - Vyvoj aplikacii'!$B$3:$B$179,'TCO TO BE- SW'!Q$2,'Rozpocet - Vyvoj aplikacii'!$I$3:$I$179),0),0)</f>
        <v>0</v>
      </c>
      <c r="R66" s="577">
        <f>IFERROR(IF(VLOOKUP(R$2,MODULY_CBA!$B$3:$L$23,8,0)=$D66,SUMIF('Rozpocet - Vyvoj aplikacii'!$B$3:$B$179,'TCO TO BE- SW'!R$2,'Rozpocet - Vyvoj aplikacii'!$I$3:$I$179),0),0)</f>
        <v>0</v>
      </c>
      <c r="S66" s="577">
        <f>IFERROR(IF(VLOOKUP(S$2,MODULY_CBA!$B$3:$L$23,8,0)=$D66,SUMIF('Rozpocet - Vyvoj aplikacii'!$B$3:$B$179,'TCO TO BE- SW'!S$2,'Rozpocet - Vyvoj aplikacii'!$I$3:$I$179),0),0)</f>
        <v>0</v>
      </c>
      <c r="T66" s="577">
        <f>IFERROR(IF(VLOOKUP(T$2,MODULY_CBA!$B$3:$L$23,8,0)=$D66,SUMIF('Rozpocet - Vyvoj aplikacii'!$B$3:$B$179,'TCO TO BE- SW'!T$2,'Rozpocet - Vyvoj aplikacii'!$I$3:$I$179),0),0)</f>
        <v>0</v>
      </c>
      <c r="U66" s="577">
        <f>IFERROR(IF(VLOOKUP(U$2,MODULY_CBA!$B$3:$L$23,8,0)=$D66,SUMIF('Rozpocet - Vyvoj aplikacii'!$B$3:$B$179,'TCO TO BE- SW'!U$2,'Rozpocet - Vyvoj aplikacii'!$I$3:$I$179),0),0)</f>
        <v>0</v>
      </c>
      <c r="V66" s="577">
        <f>IFERROR(IF(VLOOKUP(V$2,MODULY_CBA!$B$3:$L$23,8,0)=$D66,SUMIF('Rozpocet - Vyvoj aplikacii'!$B$3:$B$179,'TCO TO BE- SW'!V$2,'Rozpocet - Vyvoj aplikacii'!$I$3:$I$179),0),0)</f>
        <v>0</v>
      </c>
      <c r="W66" s="577">
        <f>IFERROR(IF(VLOOKUP(W$2,MODULY_CBA!$B$3:$L$23,8,0)=$D66,SUMIF('Rozpocet - Vyvoj aplikacii'!$B$3:$B$179,'TCO TO BE- SW'!W$2,'Rozpocet - Vyvoj aplikacii'!$I$3:$I$179),0),0)</f>
        <v>0</v>
      </c>
      <c r="X66" s="577">
        <f>IFERROR(IF(VLOOKUP(X$2,MODULY_CBA!$B$3:$L$23,8,0)=$D66,SUMIF('Rozpocet - Vyvoj aplikacii'!$B$3:$B$179,'TCO TO BE- SW'!X$2,'Rozpocet - Vyvoj aplikacii'!$I$3:$I$179),0),0)</f>
        <v>0</v>
      </c>
      <c r="Y66" s="577">
        <f>IFERROR(IF(VLOOKUP(Y$2,MODULY_CBA!$B$3:$L$23,8,0)=$D66,SUMIF('Rozpocet - Vyvoj aplikacii'!$B$3:$B$179,'TCO TO BE- SW'!Y$2,'Rozpocet - Vyvoj aplikacii'!$I$3:$I$179),0),0)</f>
        <v>0</v>
      </c>
      <c r="Z66" s="577">
        <f>IFERROR(IF(VLOOKUP(Z$2,MODULY_CBA!$B$3:$L$23,8,0)=$D66,SUMIF('Rozpocet - Vyvoj aplikacii'!$B$3:$B$179,'TCO TO BE- SW'!Z$2,'Rozpocet - Vyvoj aplikacii'!$I$3:$I$179),0),0)</f>
        <v>0</v>
      </c>
    </row>
    <row r="67" spans="1:26" outlineLevel="2">
      <c r="A67" s="875" t="s">
        <v>75</v>
      </c>
      <c r="B67" s="876" t="s">
        <v>76</v>
      </c>
      <c r="C67" s="876">
        <v>637040</v>
      </c>
      <c r="D67" s="63">
        <v>1</v>
      </c>
      <c r="E67" s="68">
        <f t="shared" si="6"/>
        <v>0</v>
      </c>
      <c r="F67" s="578">
        <v>0</v>
      </c>
      <c r="G67" s="578">
        <v>0</v>
      </c>
      <c r="H67" s="578">
        <v>0</v>
      </c>
      <c r="I67" s="578">
        <v>0</v>
      </c>
      <c r="J67" s="578">
        <v>0</v>
      </c>
      <c r="K67" s="578">
        <v>0</v>
      </c>
      <c r="L67" s="578">
        <v>0</v>
      </c>
      <c r="M67" s="578">
        <v>0</v>
      </c>
      <c r="N67" s="578">
        <v>0</v>
      </c>
      <c r="O67" s="578">
        <v>0</v>
      </c>
      <c r="P67" s="578">
        <v>0</v>
      </c>
      <c r="Q67" s="578">
        <v>0</v>
      </c>
      <c r="R67" s="578">
        <v>0</v>
      </c>
      <c r="S67" s="578">
        <v>0</v>
      </c>
      <c r="T67" s="578">
        <v>0</v>
      </c>
      <c r="U67" s="578">
        <v>0</v>
      </c>
      <c r="V67" s="578">
        <v>0</v>
      </c>
      <c r="W67" s="578">
        <v>0</v>
      </c>
      <c r="X67" s="578">
        <v>0</v>
      </c>
      <c r="Y67" s="578">
        <v>0</v>
      </c>
      <c r="Z67" s="578">
        <v>0</v>
      </c>
    </row>
    <row r="68" spans="1:26" outlineLevel="2">
      <c r="A68" s="875"/>
      <c r="B68" s="876"/>
      <c r="C68" s="876"/>
      <c r="D68" s="64">
        <v>2</v>
      </c>
      <c r="E68" s="68">
        <f t="shared" si="6"/>
        <v>0</v>
      </c>
      <c r="F68" s="579">
        <v>0</v>
      </c>
      <c r="G68" s="579">
        <v>0</v>
      </c>
      <c r="H68" s="579">
        <v>0</v>
      </c>
      <c r="I68" s="579">
        <v>0</v>
      </c>
      <c r="J68" s="579">
        <v>0</v>
      </c>
      <c r="K68" s="579">
        <v>0</v>
      </c>
      <c r="L68" s="579">
        <v>0</v>
      </c>
      <c r="M68" s="579">
        <v>0</v>
      </c>
      <c r="N68" s="579">
        <v>0</v>
      </c>
      <c r="O68" s="579">
        <v>0</v>
      </c>
      <c r="P68" s="579">
        <v>0</v>
      </c>
      <c r="Q68" s="579">
        <v>0</v>
      </c>
      <c r="R68" s="579">
        <v>0</v>
      </c>
      <c r="S68" s="579">
        <v>0</v>
      </c>
      <c r="T68" s="579">
        <v>0</v>
      </c>
      <c r="U68" s="579">
        <v>0</v>
      </c>
      <c r="V68" s="579">
        <v>0</v>
      </c>
      <c r="W68" s="579">
        <v>0</v>
      </c>
      <c r="X68" s="579">
        <v>0</v>
      </c>
      <c r="Y68" s="579">
        <v>0</v>
      </c>
      <c r="Z68" s="579">
        <v>0</v>
      </c>
    </row>
    <row r="69" spans="1:26" outlineLevel="2">
      <c r="A69" s="875"/>
      <c r="B69" s="876"/>
      <c r="C69" s="876"/>
      <c r="D69" s="64">
        <v>3</v>
      </c>
      <c r="E69" s="68">
        <f t="shared" si="6"/>
        <v>0</v>
      </c>
      <c r="F69" s="579">
        <v>0</v>
      </c>
      <c r="G69" s="579">
        <v>0</v>
      </c>
      <c r="H69" s="579">
        <v>0</v>
      </c>
      <c r="I69" s="579">
        <v>0</v>
      </c>
      <c r="J69" s="579">
        <v>0</v>
      </c>
      <c r="K69" s="579">
        <v>0</v>
      </c>
      <c r="L69" s="579">
        <v>0</v>
      </c>
      <c r="M69" s="579">
        <v>0</v>
      </c>
      <c r="N69" s="579">
        <v>0</v>
      </c>
      <c r="O69" s="579">
        <v>0</v>
      </c>
      <c r="P69" s="579">
        <v>0</v>
      </c>
      <c r="Q69" s="579">
        <v>0</v>
      </c>
      <c r="R69" s="579">
        <v>0</v>
      </c>
      <c r="S69" s="579">
        <v>0</v>
      </c>
      <c r="T69" s="579">
        <v>0</v>
      </c>
      <c r="U69" s="579">
        <v>0</v>
      </c>
      <c r="V69" s="579">
        <v>0</v>
      </c>
      <c r="W69" s="579">
        <v>0</v>
      </c>
      <c r="X69" s="579">
        <v>0</v>
      </c>
      <c r="Y69" s="579">
        <v>0</v>
      </c>
      <c r="Z69" s="579">
        <v>0</v>
      </c>
    </row>
    <row r="70" spans="1:26" outlineLevel="2">
      <c r="A70" s="875"/>
      <c r="B70" s="876"/>
      <c r="C70" s="876"/>
      <c r="D70" s="64">
        <v>4</v>
      </c>
      <c r="E70" s="68">
        <f t="shared" si="6"/>
        <v>0</v>
      </c>
      <c r="F70" s="579">
        <v>0</v>
      </c>
      <c r="G70" s="579">
        <v>0</v>
      </c>
      <c r="H70" s="579">
        <v>0</v>
      </c>
      <c r="I70" s="579">
        <v>0</v>
      </c>
      <c r="J70" s="579">
        <v>0</v>
      </c>
      <c r="K70" s="579">
        <v>0</v>
      </c>
      <c r="L70" s="579">
        <v>0</v>
      </c>
      <c r="M70" s="579">
        <v>0</v>
      </c>
      <c r="N70" s="579">
        <v>0</v>
      </c>
      <c r="O70" s="579">
        <v>0</v>
      </c>
      <c r="P70" s="579">
        <v>0</v>
      </c>
      <c r="Q70" s="579">
        <v>0</v>
      </c>
      <c r="R70" s="579">
        <v>0</v>
      </c>
      <c r="S70" s="579">
        <v>0</v>
      </c>
      <c r="T70" s="579">
        <v>0</v>
      </c>
      <c r="U70" s="579">
        <v>0</v>
      </c>
      <c r="V70" s="579">
        <v>0</v>
      </c>
      <c r="W70" s="579">
        <v>0</v>
      </c>
      <c r="X70" s="579">
        <v>0</v>
      </c>
      <c r="Y70" s="579">
        <v>0</v>
      </c>
      <c r="Z70" s="579">
        <v>0</v>
      </c>
    </row>
    <row r="71" spans="1:26" outlineLevel="2">
      <c r="A71" s="875"/>
      <c r="B71" s="876"/>
      <c r="C71" s="876"/>
      <c r="D71" s="64">
        <v>5</v>
      </c>
      <c r="E71" s="68">
        <f t="shared" si="6"/>
        <v>0</v>
      </c>
      <c r="F71" s="579">
        <v>0</v>
      </c>
      <c r="G71" s="579">
        <v>0</v>
      </c>
      <c r="H71" s="579">
        <v>0</v>
      </c>
      <c r="I71" s="579">
        <v>0</v>
      </c>
      <c r="J71" s="579">
        <v>0</v>
      </c>
      <c r="K71" s="579">
        <v>0</v>
      </c>
      <c r="L71" s="579">
        <v>0</v>
      </c>
      <c r="M71" s="579">
        <v>0</v>
      </c>
      <c r="N71" s="579">
        <v>0</v>
      </c>
      <c r="O71" s="579">
        <v>0</v>
      </c>
      <c r="P71" s="579">
        <v>0</v>
      </c>
      <c r="Q71" s="579">
        <v>0</v>
      </c>
      <c r="R71" s="579">
        <v>0</v>
      </c>
      <c r="S71" s="579">
        <v>0</v>
      </c>
      <c r="T71" s="579">
        <v>0</v>
      </c>
      <c r="U71" s="579">
        <v>0</v>
      </c>
      <c r="V71" s="579">
        <v>0</v>
      </c>
      <c r="W71" s="579">
        <v>0</v>
      </c>
      <c r="X71" s="579">
        <v>0</v>
      </c>
      <c r="Y71" s="579">
        <v>0</v>
      </c>
      <c r="Z71" s="579">
        <v>0</v>
      </c>
    </row>
    <row r="72" spans="1:26" outlineLevel="2">
      <c r="A72" s="875"/>
      <c r="B72" s="876"/>
      <c r="C72" s="876"/>
      <c r="D72" s="64">
        <v>6</v>
      </c>
      <c r="E72" s="68">
        <f t="shared" si="6"/>
        <v>0</v>
      </c>
      <c r="F72" s="579">
        <v>0</v>
      </c>
      <c r="G72" s="579">
        <v>0</v>
      </c>
      <c r="H72" s="579">
        <v>0</v>
      </c>
      <c r="I72" s="579">
        <v>0</v>
      </c>
      <c r="J72" s="579">
        <v>0</v>
      </c>
      <c r="K72" s="579">
        <v>0</v>
      </c>
      <c r="L72" s="579">
        <v>0</v>
      </c>
      <c r="M72" s="579">
        <v>0</v>
      </c>
      <c r="N72" s="579">
        <v>0</v>
      </c>
      <c r="O72" s="579">
        <v>0</v>
      </c>
      <c r="P72" s="579">
        <v>0</v>
      </c>
      <c r="Q72" s="579">
        <v>0</v>
      </c>
      <c r="R72" s="579">
        <v>0</v>
      </c>
      <c r="S72" s="579">
        <v>0</v>
      </c>
      <c r="T72" s="579">
        <v>0</v>
      </c>
      <c r="U72" s="579">
        <v>0</v>
      </c>
      <c r="V72" s="579">
        <v>0</v>
      </c>
      <c r="W72" s="579">
        <v>0</v>
      </c>
      <c r="X72" s="579">
        <v>0</v>
      </c>
      <c r="Y72" s="579">
        <v>0</v>
      </c>
      <c r="Z72" s="579">
        <v>0</v>
      </c>
    </row>
    <row r="73" spans="1:26" outlineLevel="2">
      <c r="A73" s="875"/>
      <c r="B73" s="876"/>
      <c r="C73" s="876"/>
      <c r="D73" s="64">
        <v>7</v>
      </c>
      <c r="E73" s="68">
        <f t="shared" si="6"/>
        <v>0</v>
      </c>
      <c r="F73" s="579">
        <v>0</v>
      </c>
      <c r="G73" s="579">
        <v>0</v>
      </c>
      <c r="H73" s="579">
        <v>0</v>
      </c>
      <c r="I73" s="579">
        <v>0</v>
      </c>
      <c r="J73" s="579">
        <v>0</v>
      </c>
      <c r="K73" s="579">
        <v>0</v>
      </c>
      <c r="L73" s="579">
        <v>0</v>
      </c>
      <c r="M73" s="579">
        <v>0</v>
      </c>
      <c r="N73" s="579">
        <v>0</v>
      </c>
      <c r="O73" s="579">
        <v>0</v>
      </c>
      <c r="P73" s="579">
        <v>0</v>
      </c>
      <c r="Q73" s="579">
        <v>0</v>
      </c>
      <c r="R73" s="579">
        <v>0</v>
      </c>
      <c r="S73" s="579">
        <v>0</v>
      </c>
      <c r="T73" s="579">
        <v>0</v>
      </c>
      <c r="U73" s="579">
        <v>0</v>
      </c>
      <c r="V73" s="579">
        <v>0</v>
      </c>
      <c r="W73" s="579">
        <v>0</v>
      </c>
      <c r="X73" s="579">
        <v>0</v>
      </c>
      <c r="Y73" s="579">
        <v>0</v>
      </c>
      <c r="Z73" s="579">
        <v>0</v>
      </c>
    </row>
    <row r="74" spans="1:26" outlineLevel="2">
      <c r="A74" s="875"/>
      <c r="B74" s="876"/>
      <c r="C74" s="876"/>
      <c r="D74" s="64">
        <v>8</v>
      </c>
      <c r="E74" s="68">
        <f t="shared" si="6"/>
        <v>0</v>
      </c>
      <c r="F74" s="579">
        <v>0</v>
      </c>
      <c r="G74" s="579">
        <v>0</v>
      </c>
      <c r="H74" s="579">
        <v>0</v>
      </c>
      <c r="I74" s="579">
        <v>0</v>
      </c>
      <c r="J74" s="579">
        <v>0</v>
      </c>
      <c r="K74" s="579">
        <v>0</v>
      </c>
      <c r="L74" s="579">
        <v>0</v>
      </c>
      <c r="M74" s="579">
        <v>0</v>
      </c>
      <c r="N74" s="579">
        <v>0</v>
      </c>
      <c r="O74" s="579">
        <v>0</v>
      </c>
      <c r="P74" s="579">
        <v>0</v>
      </c>
      <c r="Q74" s="579">
        <v>0</v>
      </c>
      <c r="R74" s="579">
        <v>0</v>
      </c>
      <c r="S74" s="579">
        <v>0</v>
      </c>
      <c r="T74" s="579">
        <v>0</v>
      </c>
      <c r="U74" s="579">
        <v>0</v>
      </c>
      <c r="V74" s="579">
        <v>0</v>
      </c>
      <c r="W74" s="579">
        <v>0</v>
      </c>
      <c r="X74" s="579">
        <v>0</v>
      </c>
      <c r="Y74" s="579">
        <v>0</v>
      </c>
      <c r="Z74" s="579">
        <v>0</v>
      </c>
    </row>
    <row r="75" spans="1:26" outlineLevel="2">
      <c r="A75" s="875"/>
      <c r="B75" s="876"/>
      <c r="C75" s="876"/>
      <c r="D75" s="64">
        <v>9</v>
      </c>
      <c r="E75" s="68">
        <f t="shared" si="6"/>
        <v>0</v>
      </c>
      <c r="F75" s="579">
        <v>0</v>
      </c>
      <c r="G75" s="579">
        <v>0</v>
      </c>
      <c r="H75" s="579">
        <v>0</v>
      </c>
      <c r="I75" s="579">
        <v>0</v>
      </c>
      <c r="J75" s="579">
        <v>0</v>
      </c>
      <c r="K75" s="579">
        <v>0</v>
      </c>
      <c r="L75" s="579">
        <v>0</v>
      </c>
      <c r="M75" s="579">
        <v>0</v>
      </c>
      <c r="N75" s="579">
        <v>0</v>
      </c>
      <c r="O75" s="579">
        <v>0</v>
      </c>
      <c r="P75" s="579">
        <v>0</v>
      </c>
      <c r="Q75" s="579">
        <v>0</v>
      </c>
      <c r="R75" s="579">
        <v>0</v>
      </c>
      <c r="S75" s="579">
        <v>0</v>
      </c>
      <c r="T75" s="579">
        <v>0</v>
      </c>
      <c r="U75" s="579">
        <v>0</v>
      </c>
      <c r="V75" s="579">
        <v>0</v>
      </c>
      <c r="W75" s="579">
        <v>0</v>
      </c>
      <c r="X75" s="579">
        <v>0</v>
      </c>
      <c r="Y75" s="579">
        <v>0</v>
      </c>
      <c r="Z75" s="579">
        <v>0</v>
      </c>
    </row>
    <row r="76" spans="1:26" ht="15.75" outlineLevel="2" thickBot="1">
      <c r="A76" s="875"/>
      <c r="B76" s="876"/>
      <c r="C76" s="876"/>
      <c r="D76" s="65">
        <v>10</v>
      </c>
      <c r="E76" s="69">
        <f t="shared" si="6"/>
        <v>0</v>
      </c>
      <c r="F76" s="583">
        <v>0</v>
      </c>
      <c r="G76" s="583">
        <v>0</v>
      </c>
      <c r="H76" s="583">
        <v>0</v>
      </c>
      <c r="I76" s="583">
        <v>0</v>
      </c>
      <c r="J76" s="583">
        <v>0</v>
      </c>
      <c r="K76" s="583">
        <v>0</v>
      </c>
      <c r="L76" s="583">
        <v>0</v>
      </c>
      <c r="M76" s="583">
        <v>0</v>
      </c>
      <c r="N76" s="583">
        <v>0</v>
      </c>
      <c r="O76" s="583">
        <v>0</v>
      </c>
      <c r="P76" s="583">
        <v>0</v>
      </c>
      <c r="Q76" s="583">
        <v>0</v>
      </c>
      <c r="R76" s="583">
        <v>0</v>
      </c>
      <c r="S76" s="583">
        <v>0</v>
      </c>
      <c r="T76" s="583">
        <v>0</v>
      </c>
      <c r="U76" s="583">
        <v>0</v>
      </c>
      <c r="V76" s="583">
        <v>0</v>
      </c>
      <c r="W76" s="583">
        <v>0</v>
      </c>
      <c r="X76" s="583">
        <v>0</v>
      </c>
      <c r="Y76" s="583">
        <v>0</v>
      </c>
      <c r="Z76" s="583">
        <v>0</v>
      </c>
    </row>
    <row r="77" spans="1:26" ht="15.75" thickBot="1">
      <c r="A77" s="882" t="s">
        <v>77</v>
      </c>
      <c r="B77" s="883"/>
      <c r="C77" s="883"/>
      <c r="D77" s="75"/>
      <c r="E77" s="72">
        <f t="shared" ref="E77:F77" si="8">E78+E99</f>
        <v>6212201.0129004624</v>
      </c>
      <c r="F77" s="73">
        <f t="shared" si="8"/>
        <v>391121.1880477466</v>
      </c>
      <c r="G77" s="73">
        <f t="shared" ref="G77:Z77" si="9">G78+G99</f>
        <v>1421607.7695325459</v>
      </c>
      <c r="H77" s="73">
        <f t="shared" si="9"/>
        <v>1312790.6469894857</v>
      </c>
      <c r="I77" s="73">
        <f t="shared" si="9"/>
        <v>260541.03604281656</v>
      </c>
      <c r="J77" s="73">
        <f t="shared" si="9"/>
        <v>782065.45284159575</v>
      </c>
      <c r="K77" s="73">
        <f t="shared" si="9"/>
        <v>219402.9777202667</v>
      </c>
      <c r="L77" s="73">
        <f t="shared" si="9"/>
        <v>63476.466336407815</v>
      </c>
      <c r="M77" s="73">
        <f t="shared" si="9"/>
        <v>54187.227360348086</v>
      </c>
      <c r="N77" s="73">
        <f t="shared" si="9"/>
        <v>180918.98767659083</v>
      </c>
      <c r="O77" s="73">
        <f t="shared" si="9"/>
        <v>215421.87530195536</v>
      </c>
      <c r="P77" s="73">
        <f t="shared" si="9"/>
        <v>49100.263159172559</v>
      </c>
      <c r="Q77" s="73">
        <f t="shared" si="9"/>
        <v>11058.617828642469</v>
      </c>
      <c r="R77" s="73">
        <f t="shared" si="9"/>
        <v>87141.908489702648</v>
      </c>
      <c r="S77" s="73">
        <f t="shared" si="9"/>
        <v>59716.536274669335</v>
      </c>
      <c r="T77" s="73">
        <f t="shared" si="9"/>
        <v>178707.26411086231</v>
      </c>
      <c r="U77" s="73">
        <f t="shared" si="9"/>
        <v>139338.58464089513</v>
      </c>
      <c r="V77" s="73">
        <f t="shared" si="9"/>
        <v>120317.76197563008</v>
      </c>
      <c r="W77" s="73">
        <f t="shared" si="9"/>
        <v>265406.82788741926</v>
      </c>
      <c r="X77" s="73">
        <f t="shared" si="9"/>
        <v>399879.62068371172</v>
      </c>
      <c r="Y77" s="73">
        <f t="shared" si="9"/>
        <v>0</v>
      </c>
      <c r="Z77" s="73">
        <f t="shared" si="9"/>
        <v>0</v>
      </c>
    </row>
    <row r="78" spans="1:26" ht="15.75" outlineLevel="1" thickBot="1">
      <c r="A78" s="17" t="s">
        <v>103</v>
      </c>
      <c r="B78" s="17"/>
      <c r="C78" s="17"/>
      <c r="D78" s="27"/>
      <c r="E78" s="108">
        <f t="shared" ref="E78:F78" si="10">SUM(E79:E98)</f>
        <v>0</v>
      </c>
      <c r="F78" s="109">
        <f t="shared" si="10"/>
        <v>0</v>
      </c>
      <c r="G78" s="109">
        <f t="shared" ref="G78:Z78" si="11">SUM(G79:G98)</f>
        <v>0</v>
      </c>
      <c r="H78" s="109">
        <f t="shared" si="11"/>
        <v>0</v>
      </c>
      <c r="I78" s="109">
        <f t="shared" si="11"/>
        <v>0</v>
      </c>
      <c r="J78" s="109">
        <f t="shared" si="11"/>
        <v>0</v>
      </c>
      <c r="K78" s="109">
        <f t="shared" si="11"/>
        <v>0</v>
      </c>
      <c r="L78" s="109">
        <f t="shared" si="11"/>
        <v>0</v>
      </c>
      <c r="M78" s="109">
        <f t="shared" si="11"/>
        <v>0</v>
      </c>
      <c r="N78" s="109">
        <f t="shared" si="11"/>
        <v>0</v>
      </c>
      <c r="O78" s="109">
        <f t="shared" si="11"/>
        <v>0</v>
      </c>
      <c r="P78" s="109">
        <f t="shared" si="11"/>
        <v>0</v>
      </c>
      <c r="Q78" s="109">
        <f t="shared" si="11"/>
        <v>0</v>
      </c>
      <c r="R78" s="109">
        <f t="shared" si="11"/>
        <v>0</v>
      </c>
      <c r="S78" s="109">
        <f t="shared" si="11"/>
        <v>0</v>
      </c>
      <c r="T78" s="109">
        <f t="shared" si="11"/>
        <v>0</v>
      </c>
      <c r="U78" s="109">
        <f t="shared" si="11"/>
        <v>0</v>
      </c>
      <c r="V78" s="109">
        <f t="shared" si="11"/>
        <v>0</v>
      </c>
      <c r="W78" s="109">
        <f t="shared" si="11"/>
        <v>0</v>
      </c>
      <c r="X78" s="109">
        <f t="shared" si="11"/>
        <v>0</v>
      </c>
      <c r="Y78" s="109">
        <f t="shared" si="11"/>
        <v>0</v>
      </c>
      <c r="Z78" s="109">
        <f t="shared" si="11"/>
        <v>0</v>
      </c>
    </row>
    <row r="79" spans="1:26" outlineLevel="2">
      <c r="A79" s="875" t="s">
        <v>78</v>
      </c>
      <c r="B79" s="876" t="s">
        <v>79</v>
      </c>
      <c r="C79" s="876">
        <v>635009</v>
      </c>
      <c r="D79" s="63">
        <v>1</v>
      </c>
      <c r="E79" s="60">
        <f t="shared" ref="E79:E98" si="12">SUM(F79:Z79)</f>
        <v>0</v>
      </c>
      <c r="F79" s="584">
        <f>IFERROR(IF(VLOOKUP(F$2,MODULY_CBA!$B$3:$N$23,13,0)&lt;='TCO TO BE- SW'!$D79,SUM('TCO TO BE- SW'!F$6:F$15)*VLOOKUP('TCO TO BE- SW'!F$2,MODULY_CBA!$B$3:$M$23,12,0),0),0)</f>
        <v>0</v>
      </c>
      <c r="G79" s="584">
        <f>IFERROR(IF(VLOOKUP(G$2,MODULY_CBA!$B$3:$N$23,13,0)&lt;='TCO TO BE- SW'!$D79,SUM('TCO TO BE- SW'!G$6:G$15)*VLOOKUP('TCO TO BE- SW'!G$2,MODULY_CBA!$B$3:$M$23,12,0),0),0)</f>
        <v>0</v>
      </c>
      <c r="H79" s="584">
        <f>IFERROR(IF(VLOOKUP(H$2,MODULY_CBA!$B$3:$N$23,13,0)&lt;='TCO TO BE- SW'!$D79,SUM('TCO TO BE- SW'!H$6:H$15)*VLOOKUP('TCO TO BE- SW'!H$2,MODULY_CBA!$B$3:$M$23,12,0),0),0)</f>
        <v>0</v>
      </c>
      <c r="I79" s="584">
        <f>IFERROR(IF(VLOOKUP(I$2,MODULY_CBA!$B$3:$N$23,13,0)&lt;='TCO TO BE- SW'!$D79,SUM('TCO TO BE- SW'!I$6:I$15)*VLOOKUP('TCO TO BE- SW'!I$2,MODULY_CBA!$B$3:$M$23,12,0),0),0)</f>
        <v>0</v>
      </c>
      <c r="J79" s="584">
        <f>IFERROR(IF(VLOOKUP(J$2,MODULY_CBA!$B$3:$N$23,13,0)&lt;='TCO TO BE- SW'!$D79,SUM('TCO TO BE- SW'!J$6:J$15)*VLOOKUP('TCO TO BE- SW'!J$2,MODULY_CBA!$B$3:$M$23,12,0),0),0)</f>
        <v>0</v>
      </c>
      <c r="K79" s="584">
        <f>IFERROR(IF(VLOOKUP(K$2,MODULY_CBA!$B$3:$N$23,13,0)&lt;='TCO TO BE- SW'!$D79,SUM('TCO TO BE- SW'!K$6:K$15)*VLOOKUP('TCO TO BE- SW'!K$2,MODULY_CBA!$B$3:$M$23,12,0),0),0)</f>
        <v>0</v>
      </c>
      <c r="L79" s="584">
        <f>IFERROR(IF(VLOOKUP(L$2,MODULY_CBA!$B$3:$N$23,13,0)&lt;='TCO TO BE- SW'!$D79,SUM('TCO TO BE- SW'!L$6:L$15)*VLOOKUP('TCO TO BE- SW'!L$2,MODULY_CBA!$B$3:$M$23,12,0),0),0)</f>
        <v>0</v>
      </c>
      <c r="M79" s="584">
        <f>IFERROR(IF(VLOOKUP(M$2,MODULY_CBA!$B$3:$N$23,13,0)&lt;='TCO TO BE- SW'!$D79,SUM('TCO TO BE- SW'!M$6:M$15)*VLOOKUP('TCO TO BE- SW'!M$2,MODULY_CBA!$B$3:$M$23,12,0),0),0)</f>
        <v>0</v>
      </c>
      <c r="N79" s="584">
        <f>IFERROR(IF(VLOOKUP(N$2,MODULY_CBA!$B$3:$N$23,13,0)&lt;='TCO TO BE- SW'!$D79,SUM('TCO TO BE- SW'!N$6:N$15)*VLOOKUP('TCO TO BE- SW'!N$2,MODULY_CBA!$B$3:$M$23,12,0),0),0)</f>
        <v>0</v>
      </c>
      <c r="O79" s="584">
        <f>IFERROR(IF(VLOOKUP(O$2,MODULY_CBA!$B$3:$N$23,13,0)&lt;='TCO TO BE- SW'!$D79,SUM('TCO TO BE- SW'!O$6:O$15)*VLOOKUP('TCO TO BE- SW'!O$2,MODULY_CBA!$B$3:$M$23,12,0),0),0)</f>
        <v>0</v>
      </c>
      <c r="P79" s="584">
        <f>IFERROR(IF(VLOOKUP(P$2,MODULY_CBA!$B$3:$N$23,13,0)&lt;='TCO TO BE- SW'!$D79,SUM('TCO TO BE- SW'!P$6:P$15)*VLOOKUP('TCO TO BE- SW'!P$2,MODULY_CBA!$B$3:$M$23,12,0),0),0)</f>
        <v>0</v>
      </c>
      <c r="Q79" s="584">
        <f>IFERROR(IF(VLOOKUP(Q$2,MODULY_CBA!$B$3:$N$23,13,0)&lt;='TCO TO BE- SW'!$D79,SUM('TCO TO BE- SW'!Q$6:Q$15)*VLOOKUP('TCO TO BE- SW'!Q$2,MODULY_CBA!$B$3:$M$23,12,0),0),0)</f>
        <v>0</v>
      </c>
      <c r="R79" s="584">
        <f>IFERROR(IF(VLOOKUP(R$2,MODULY_CBA!$B$3:$N$23,13,0)&lt;='TCO TO BE- SW'!$D79,SUM('TCO TO BE- SW'!R$6:R$15)*VLOOKUP('TCO TO BE- SW'!R$2,MODULY_CBA!$B$3:$M$23,12,0),0),0)</f>
        <v>0</v>
      </c>
      <c r="S79" s="584">
        <f>IFERROR(IF(VLOOKUP(S$2,MODULY_CBA!$B$3:$N$23,13,0)&lt;='TCO TO BE- SW'!$D79,SUM('TCO TO BE- SW'!S$6:S$15)*VLOOKUP('TCO TO BE- SW'!S$2,MODULY_CBA!$B$3:$M$23,12,0),0),0)</f>
        <v>0</v>
      </c>
      <c r="T79" s="584">
        <f>IFERROR(IF(VLOOKUP(T$2,MODULY_CBA!$B$3:$N$23,13,0)&lt;='TCO TO BE- SW'!$D79,SUM('TCO TO BE- SW'!T$6:T$15)*VLOOKUP('TCO TO BE- SW'!T$2,MODULY_CBA!$B$3:$M$23,12,0),0),0)</f>
        <v>0</v>
      </c>
      <c r="U79" s="584">
        <f>IFERROR(IF(VLOOKUP(U$2,MODULY_CBA!$B$3:$N$23,13,0)&lt;='TCO TO BE- SW'!$D79,SUM('TCO TO BE- SW'!U$6:U$15)*VLOOKUP('TCO TO BE- SW'!U$2,MODULY_CBA!$B$3:$M$23,12,0),0),0)</f>
        <v>0</v>
      </c>
      <c r="V79" s="584">
        <f>IFERROR(IF(VLOOKUP(V$2,MODULY_CBA!$B$3:$N$23,13,0)&lt;='TCO TO BE- SW'!$D79,SUM('TCO TO BE- SW'!V$6:V$15)*VLOOKUP('TCO TO BE- SW'!V$2,MODULY_CBA!$B$3:$M$23,12,0),0),0)</f>
        <v>0</v>
      </c>
      <c r="W79" s="584">
        <f>IFERROR(IF(VLOOKUP(W$2,MODULY_CBA!$B$3:$N$23,13,0)&lt;='TCO TO BE- SW'!$D79,SUM('TCO TO BE- SW'!W$6:W$15)*VLOOKUP('TCO TO BE- SW'!W$2,MODULY_CBA!$B$3:$M$23,12,0),0),0)</f>
        <v>0</v>
      </c>
      <c r="X79" s="584">
        <f>IFERROR(IF(VLOOKUP(X$2,MODULY_CBA!$B$3:$N$23,13,0)&lt;='TCO TO BE- SW'!$D79,SUM('TCO TO BE- SW'!X$6:X$15)*VLOOKUP('TCO TO BE- SW'!X$2,MODULY_CBA!$B$3:$M$23,12,0),0),0)</f>
        <v>0</v>
      </c>
      <c r="Y79" s="584">
        <f>IFERROR(IF(VLOOKUP(Y$2,MODULY_CBA!$B$3:$N$23,13,0)&lt;='TCO TO BE- SW'!$D79,SUM('TCO TO BE- SW'!Y$6:Y$15)*VLOOKUP('TCO TO BE- SW'!Y$2,MODULY_CBA!$B$3:$M$23,12,0),0),0)</f>
        <v>0</v>
      </c>
      <c r="Z79" s="584">
        <f>IFERROR(IF(VLOOKUP(Z$2,MODULY_CBA!$B$3:$N$23,13,0)&lt;='TCO TO BE- SW'!$D79,SUM('TCO TO BE- SW'!Z$6:Z$15)*VLOOKUP('TCO TO BE- SW'!Z$2,MODULY_CBA!$B$3:$M$23,12,0),0),0)</f>
        <v>0</v>
      </c>
    </row>
    <row r="80" spans="1:26" outlineLevel="2">
      <c r="A80" s="875"/>
      <c r="B80" s="876"/>
      <c r="C80" s="876"/>
      <c r="D80" s="64">
        <v>2</v>
      </c>
      <c r="E80" s="61">
        <f t="shared" si="12"/>
        <v>0</v>
      </c>
      <c r="F80" s="585">
        <f>IFERROR(IF(VLOOKUP(F$2,MODULY_CBA!$B$3:$N$23,13,0)&lt;='TCO TO BE- SW'!$D80,SUM('TCO TO BE- SW'!F$6:F$15)*VLOOKUP('TCO TO BE- SW'!F$2,MODULY_CBA!$B$3:$M$23,12,0),0),0)</f>
        <v>0</v>
      </c>
      <c r="G80" s="585">
        <f>IFERROR(IF(VLOOKUP(G$2,MODULY_CBA!$B$3:$N$23,13,0)&lt;='TCO TO BE- SW'!$D80,SUM('TCO TO BE- SW'!G$6:G$15)*VLOOKUP('TCO TO BE- SW'!G$2,MODULY_CBA!$B$3:$M$23,12,0),0),0)</f>
        <v>0</v>
      </c>
      <c r="H80" s="585">
        <f>IFERROR(IF(VLOOKUP(H$2,MODULY_CBA!$B$3:$N$23,13,0)&lt;='TCO TO BE- SW'!$D80,SUM('TCO TO BE- SW'!H$6:H$15)*VLOOKUP('TCO TO BE- SW'!H$2,MODULY_CBA!$B$3:$M$23,12,0),0),0)</f>
        <v>0</v>
      </c>
      <c r="I80" s="585">
        <f>IFERROR(IF(VLOOKUP(I$2,MODULY_CBA!$B$3:$N$23,13,0)&lt;='TCO TO BE- SW'!$D80,SUM('TCO TO BE- SW'!I$6:I$15)*VLOOKUP('TCO TO BE- SW'!I$2,MODULY_CBA!$B$3:$M$23,12,0),0),0)</f>
        <v>0</v>
      </c>
      <c r="J80" s="585">
        <f>IFERROR(IF(VLOOKUP(J$2,MODULY_CBA!$B$3:$N$23,13,0)&lt;='TCO TO BE- SW'!$D80,SUM('TCO TO BE- SW'!J$6:J$15)*VLOOKUP('TCO TO BE- SW'!J$2,MODULY_CBA!$B$3:$M$23,12,0),0),0)</f>
        <v>0</v>
      </c>
      <c r="K80" s="585">
        <f>IFERROR(IF(VLOOKUP(K$2,MODULY_CBA!$B$3:$N$23,13,0)&lt;='TCO TO BE- SW'!$D80,SUM('TCO TO BE- SW'!K$6:K$15)*VLOOKUP('TCO TO BE- SW'!K$2,MODULY_CBA!$B$3:$M$23,12,0),0),0)</f>
        <v>0</v>
      </c>
      <c r="L80" s="585">
        <f>IFERROR(IF(VLOOKUP(L$2,MODULY_CBA!$B$3:$N$23,13,0)&lt;='TCO TO BE- SW'!$D80,SUM('TCO TO BE- SW'!L$6:L$15)*VLOOKUP('TCO TO BE- SW'!L$2,MODULY_CBA!$B$3:$M$23,12,0),0),0)</f>
        <v>0</v>
      </c>
      <c r="M80" s="585">
        <f>IFERROR(IF(VLOOKUP(M$2,MODULY_CBA!$B$3:$N$23,13,0)&lt;='TCO TO BE- SW'!$D80,SUM('TCO TO BE- SW'!M$6:M$15)*VLOOKUP('TCO TO BE- SW'!M$2,MODULY_CBA!$B$3:$M$23,12,0),0),0)</f>
        <v>0</v>
      </c>
      <c r="N80" s="585">
        <f>IFERROR(IF(VLOOKUP(N$2,MODULY_CBA!$B$3:$N$23,13,0)&lt;='TCO TO BE- SW'!$D80,SUM('TCO TO BE- SW'!N$6:N$15)*VLOOKUP('TCO TO BE- SW'!N$2,MODULY_CBA!$B$3:$M$23,12,0),0),0)</f>
        <v>0</v>
      </c>
      <c r="O80" s="585">
        <f>IFERROR(IF(VLOOKUP(O$2,MODULY_CBA!$B$3:$N$23,13,0)&lt;='TCO TO BE- SW'!$D80,SUM('TCO TO BE- SW'!O$6:O$15)*VLOOKUP('TCO TO BE- SW'!O$2,MODULY_CBA!$B$3:$M$23,12,0),0),0)</f>
        <v>0</v>
      </c>
      <c r="P80" s="585">
        <f>IFERROR(IF(VLOOKUP(P$2,MODULY_CBA!$B$3:$N$23,13,0)&lt;='TCO TO BE- SW'!$D80,SUM('TCO TO BE- SW'!P$6:P$15)*VLOOKUP('TCO TO BE- SW'!P$2,MODULY_CBA!$B$3:$M$23,12,0),0),0)</f>
        <v>0</v>
      </c>
      <c r="Q80" s="585">
        <f>IFERROR(IF(VLOOKUP(Q$2,MODULY_CBA!$B$3:$N$23,13,0)&lt;='TCO TO BE- SW'!$D80,SUM('TCO TO BE- SW'!Q$6:Q$15)*VLOOKUP('TCO TO BE- SW'!Q$2,MODULY_CBA!$B$3:$M$23,12,0),0),0)</f>
        <v>0</v>
      </c>
      <c r="R80" s="585">
        <f>IFERROR(IF(VLOOKUP(R$2,MODULY_CBA!$B$3:$N$23,13,0)&lt;='TCO TO BE- SW'!$D80,SUM('TCO TO BE- SW'!R$6:R$15)*VLOOKUP('TCO TO BE- SW'!R$2,MODULY_CBA!$B$3:$M$23,12,0),0),0)</f>
        <v>0</v>
      </c>
      <c r="S80" s="585">
        <f>IFERROR(IF(VLOOKUP(S$2,MODULY_CBA!$B$3:$N$23,13,0)&lt;='TCO TO BE- SW'!$D80,SUM('TCO TO BE- SW'!S$6:S$15)*VLOOKUP('TCO TO BE- SW'!S$2,MODULY_CBA!$B$3:$M$23,12,0),0),0)</f>
        <v>0</v>
      </c>
      <c r="T80" s="585">
        <f>IFERROR(IF(VLOOKUP(T$2,MODULY_CBA!$B$3:$N$23,13,0)&lt;='TCO TO BE- SW'!$D80,SUM('TCO TO BE- SW'!T$6:T$15)*VLOOKUP('TCO TO BE- SW'!T$2,MODULY_CBA!$B$3:$M$23,12,0),0),0)</f>
        <v>0</v>
      </c>
      <c r="U80" s="585">
        <f>IFERROR(IF(VLOOKUP(U$2,MODULY_CBA!$B$3:$N$23,13,0)&lt;='TCO TO BE- SW'!$D80,SUM('TCO TO BE- SW'!U$6:U$15)*VLOOKUP('TCO TO BE- SW'!U$2,MODULY_CBA!$B$3:$M$23,12,0),0),0)</f>
        <v>0</v>
      </c>
      <c r="V80" s="585">
        <f>IFERROR(IF(VLOOKUP(V$2,MODULY_CBA!$B$3:$N$23,13,0)&lt;='TCO TO BE- SW'!$D80,SUM('TCO TO BE- SW'!V$6:V$15)*VLOOKUP('TCO TO BE- SW'!V$2,MODULY_CBA!$B$3:$M$23,12,0),0),0)</f>
        <v>0</v>
      </c>
      <c r="W80" s="585">
        <f>IFERROR(IF(VLOOKUP(W$2,MODULY_CBA!$B$3:$N$23,13,0)&lt;='TCO TO BE- SW'!$D80,SUM('TCO TO BE- SW'!W$6:W$15)*VLOOKUP('TCO TO BE- SW'!W$2,MODULY_CBA!$B$3:$M$23,12,0),0),0)</f>
        <v>0</v>
      </c>
      <c r="X80" s="585">
        <f>IFERROR(IF(VLOOKUP(X$2,MODULY_CBA!$B$3:$N$23,13,0)&lt;='TCO TO BE- SW'!$D80,SUM('TCO TO BE- SW'!X$6:X$15)*VLOOKUP('TCO TO BE- SW'!X$2,MODULY_CBA!$B$3:$M$23,12,0),0),0)</f>
        <v>0</v>
      </c>
      <c r="Y80" s="585">
        <f>IFERROR(IF(VLOOKUP(Y$2,MODULY_CBA!$B$3:$N$23,13,0)&lt;='TCO TO BE- SW'!$D80,SUM('TCO TO BE- SW'!Y$6:Y$15)*VLOOKUP('TCO TO BE- SW'!Y$2,MODULY_CBA!$B$3:$M$23,12,0),0),0)</f>
        <v>0</v>
      </c>
      <c r="Z80" s="585">
        <f>IFERROR(IF(VLOOKUP(Z$2,MODULY_CBA!$B$3:$N$23,13,0)&lt;='TCO TO BE- SW'!$D80,SUM('TCO TO BE- SW'!Z$6:Z$15)*VLOOKUP('TCO TO BE- SW'!Z$2,MODULY_CBA!$B$3:$M$23,12,0),0),0)</f>
        <v>0</v>
      </c>
    </row>
    <row r="81" spans="1:26" outlineLevel="2">
      <c r="A81" s="875"/>
      <c r="B81" s="876"/>
      <c r="C81" s="876"/>
      <c r="D81" s="64">
        <v>3</v>
      </c>
      <c r="E81" s="61">
        <f t="shared" si="12"/>
        <v>0</v>
      </c>
      <c r="F81" s="586">
        <f>IFERROR(IF(VLOOKUP(F$2,MODULY_CBA!$B$3:$N$23,13,0)&lt;='TCO TO BE- SW'!$D81,SUM('TCO TO BE- SW'!F$6:F$15)*VLOOKUP('TCO TO BE- SW'!F$2,MODULY_CBA!$B$3:$M$23,12,0),0),0)</f>
        <v>0</v>
      </c>
      <c r="G81" s="586">
        <f>IFERROR(IF(VLOOKUP(G$2,MODULY_CBA!$B$3:$N$23,13,0)&lt;='TCO TO BE- SW'!$D81,SUM('TCO TO BE- SW'!G$6:G$15)*VLOOKUP('TCO TO BE- SW'!G$2,MODULY_CBA!$B$3:$M$23,12,0),0),0)</f>
        <v>0</v>
      </c>
      <c r="H81" s="586">
        <f>IFERROR(IF(VLOOKUP(H$2,MODULY_CBA!$B$3:$N$23,13,0)&lt;='TCO TO BE- SW'!$D81,SUM('TCO TO BE- SW'!H$6:H$15)*VLOOKUP('TCO TO BE- SW'!H$2,MODULY_CBA!$B$3:$M$23,12,0),0),0)</f>
        <v>0</v>
      </c>
      <c r="I81" s="586">
        <f>IFERROR(IF(VLOOKUP(I$2,MODULY_CBA!$B$3:$N$23,13,0)&lt;='TCO TO BE- SW'!$D81,SUM('TCO TO BE- SW'!I$6:I$15)*VLOOKUP('TCO TO BE- SW'!I$2,MODULY_CBA!$B$3:$M$23,12,0),0),0)</f>
        <v>0</v>
      </c>
      <c r="J81" s="586">
        <f>IFERROR(IF(VLOOKUP(J$2,MODULY_CBA!$B$3:$N$23,13,0)&lt;='TCO TO BE- SW'!$D81,SUM('TCO TO BE- SW'!J$6:J$15)*VLOOKUP('TCO TO BE- SW'!J$2,MODULY_CBA!$B$3:$M$23,12,0),0),0)</f>
        <v>0</v>
      </c>
      <c r="K81" s="586">
        <f>IFERROR(IF(VLOOKUP(K$2,MODULY_CBA!$B$3:$N$23,13,0)&lt;='TCO TO BE- SW'!$D81,SUM('TCO TO BE- SW'!K$6:K$15)*VLOOKUP('TCO TO BE- SW'!K$2,MODULY_CBA!$B$3:$M$23,12,0),0),0)</f>
        <v>0</v>
      </c>
      <c r="L81" s="586">
        <f>IFERROR(IF(VLOOKUP(L$2,MODULY_CBA!$B$3:$N$23,13,0)&lt;='TCO TO BE- SW'!$D81,SUM('TCO TO BE- SW'!L$6:L$15)*VLOOKUP('TCO TO BE- SW'!L$2,MODULY_CBA!$B$3:$M$23,12,0),0),0)</f>
        <v>0</v>
      </c>
      <c r="M81" s="586">
        <f>IFERROR(IF(VLOOKUP(M$2,MODULY_CBA!$B$3:$N$23,13,0)&lt;='TCO TO BE- SW'!$D81,SUM('TCO TO BE- SW'!M$6:M$15)*VLOOKUP('TCO TO BE- SW'!M$2,MODULY_CBA!$B$3:$M$23,12,0),0),0)</f>
        <v>0</v>
      </c>
      <c r="N81" s="586">
        <f>IFERROR(IF(VLOOKUP(N$2,MODULY_CBA!$B$3:$N$23,13,0)&lt;='TCO TO BE- SW'!$D81,SUM('TCO TO BE- SW'!N$6:N$15)*VLOOKUP('TCO TO BE- SW'!N$2,MODULY_CBA!$B$3:$M$23,12,0),0),0)</f>
        <v>0</v>
      </c>
      <c r="O81" s="586">
        <f>IFERROR(IF(VLOOKUP(O$2,MODULY_CBA!$B$3:$N$23,13,0)&lt;='TCO TO BE- SW'!$D81,SUM('TCO TO BE- SW'!O$6:O$15)*VLOOKUP('TCO TO BE- SW'!O$2,MODULY_CBA!$B$3:$M$23,12,0),0),0)</f>
        <v>0</v>
      </c>
      <c r="P81" s="586">
        <f>IFERROR(IF(VLOOKUP(P$2,MODULY_CBA!$B$3:$N$23,13,0)&lt;='TCO TO BE- SW'!$D81,SUM('TCO TO BE- SW'!P$6:P$15)*VLOOKUP('TCO TO BE- SW'!P$2,MODULY_CBA!$B$3:$M$23,12,0),0),0)</f>
        <v>0</v>
      </c>
      <c r="Q81" s="586">
        <f>IFERROR(IF(VLOOKUP(Q$2,MODULY_CBA!$B$3:$N$23,13,0)&lt;='TCO TO BE- SW'!$D81,SUM('TCO TO BE- SW'!Q$6:Q$15)*VLOOKUP('TCO TO BE- SW'!Q$2,MODULY_CBA!$B$3:$M$23,12,0),0),0)</f>
        <v>0</v>
      </c>
      <c r="R81" s="586">
        <f>IFERROR(IF(VLOOKUP(R$2,MODULY_CBA!$B$3:$N$23,13,0)&lt;='TCO TO BE- SW'!$D81,SUM('TCO TO BE- SW'!R$6:R$15)*VLOOKUP('TCO TO BE- SW'!R$2,MODULY_CBA!$B$3:$M$23,12,0),0),0)</f>
        <v>0</v>
      </c>
      <c r="S81" s="586">
        <f>IFERROR(IF(VLOOKUP(S$2,MODULY_CBA!$B$3:$N$23,13,0)&lt;='TCO TO BE- SW'!$D81,SUM('TCO TO BE- SW'!S$6:S$15)*VLOOKUP('TCO TO BE- SW'!S$2,MODULY_CBA!$B$3:$M$23,12,0),0),0)</f>
        <v>0</v>
      </c>
      <c r="T81" s="586">
        <f>IFERROR(IF(VLOOKUP(T$2,MODULY_CBA!$B$3:$N$23,13,0)&lt;='TCO TO BE- SW'!$D81,SUM('TCO TO BE- SW'!T$6:T$15)*VLOOKUP('TCO TO BE- SW'!T$2,MODULY_CBA!$B$3:$M$23,12,0),0),0)</f>
        <v>0</v>
      </c>
      <c r="U81" s="586">
        <f>IFERROR(IF(VLOOKUP(U$2,MODULY_CBA!$B$3:$N$23,13,0)&lt;='TCO TO BE- SW'!$D81,SUM('TCO TO BE- SW'!U$6:U$15)*VLOOKUP('TCO TO BE- SW'!U$2,MODULY_CBA!$B$3:$M$23,12,0),0),0)</f>
        <v>0</v>
      </c>
      <c r="V81" s="586">
        <f>IFERROR(IF(VLOOKUP(V$2,MODULY_CBA!$B$3:$N$23,13,0)&lt;='TCO TO BE- SW'!$D81,SUM('TCO TO BE- SW'!V$6:V$15)*VLOOKUP('TCO TO BE- SW'!V$2,MODULY_CBA!$B$3:$M$23,12,0),0),0)</f>
        <v>0</v>
      </c>
      <c r="W81" s="586">
        <f>IFERROR(IF(VLOOKUP(W$2,MODULY_CBA!$B$3:$N$23,13,0)&lt;='TCO TO BE- SW'!$D81,SUM('TCO TO BE- SW'!W$6:W$15)*VLOOKUP('TCO TO BE- SW'!W$2,MODULY_CBA!$B$3:$M$23,12,0),0),0)</f>
        <v>0</v>
      </c>
      <c r="X81" s="586">
        <f>IFERROR(IF(VLOOKUP(X$2,MODULY_CBA!$B$3:$N$23,13,0)&lt;='TCO TO BE- SW'!$D81,SUM('TCO TO BE- SW'!X$6:X$15)*VLOOKUP('TCO TO BE- SW'!X$2,MODULY_CBA!$B$3:$M$23,12,0),0),0)</f>
        <v>0</v>
      </c>
      <c r="Y81" s="586">
        <f>IFERROR(IF(VLOOKUP(Y$2,MODULY_CBA!$B$3:$N$23,13,0)&lt;='TCO TO BE- SW'!$D81,SUM('TCO TO BE- SW'!Y$6:Y$15)*VLOOKUP('TCO TO BE- SW'!Y$2,MODULY_CBA!$B$3:$M$23,12,0),0),0)</f>
        <v>0</v>
      </c>
      <c r="Z81" s="586">
        <f>IFERROR(IF(VLOOKUP(Z$2,MODULY_CBA!$B$3:$N$23,13,0)&lt;='TCO TO BE- SW'!$D81,SUM('TCO TO BE- SW'!Z$6:Z$15)*VLOOKUP('TCO TO BE- SW'!Z$2,MODULY_CBA!$B$3:$M$23,12,0),0),0)</f>
        <v>0</v>
      </c>
    </row>
    <row r="82" spans="1:26" outlineLevel="2">
      <c r="A82" s="875"/>
      <c r="B82" s="876"/>
      <c r="C82" s="876"/>
      <c r="D82" s="64">
        <v>4</v>
      </c>
      <c r="E82" s="61">
        <f t="shared" si="12"/>
        <v>0</v>
      </c>
      <c r="F82" s="586">
        <f>IFERROR(IF(VLOOKUP(F$2,MODULY_CBA!$B$3:$N$23,13,0)&lt;='TCO TO BE- SW'!$D82,SUM('TCO TO BE- SW'!F$6:F$15)*VLOOKUP('TCO TO BE- SW'!F$2,MODULY_CBA!$B$3:$M$23,12,0),0),0)</f>
        <v>0</v>
      </c>
      <c r="G82" s="586">
        <f>IFERROR(IF(VLOOKUP(G$2,MODULY_CBA!$B$3:$N$23,13,0)&lt;='TCO TO BE- SW'!$D82,SUM('TCO TO BE- SW'!G$6:G$15)*VLOOKUP('TCO TO BE- SW'!G$2,MODULY_CBA!$B$3:$M$23,12,0),0),0)</f>
        <v>0</v>
      </c>
      <c r="H82" s="586">
        <f>IFERROR(IF(VLOOKUP(H$2,MODULY_CBA!$B$3:$N$23,13,0)&lt;='TCO TO BE- SW'!$D82,SUM('TCO TO BE- SW'!H$6:H$15)*VLOOKUP('TCO TO BE- SW'!H$2,MODULY_CBA!$B$3:$M$23,12,0),0),0)</f>
        <v>0</v>
      </c>
      <c r="I82" s="586">
        <f>IFERROR(IF(VLOOKUP(I$2,MODULY_CBA!$B$3:$N$23,13,0)&lt;='TCO TO BE- SW'!$D82,SUM('TCO TO BE- SW'!I$6:I$15)*VLOOKUP('TCO TO BE- SW'!I$2,MODULY_CBA!$B$3:$M$23,12,0),0),0)</f>
        <v>0</v>
      </c>
      <c r="J82" s="586">
        <f>IFERROR(IF(VLOOKUP(J$2,MODULY_CBA!$B$3:$N$23,13,0)&lt;='TCO TO BE- SW'!$D82,SUM('TCO TO BE- SW'!J$6:J$15)*VLOOKUP('TCO TO BE- SW'!J$2,MODULY_CBA!$B$3:$M$23,12,0),0),0)</f>
        <v>0</v>
      </c>
      <c r="K82" s="586">
        <f>IFERROR(IF(VLOOKUP(K$2,MODULY_CBA!$B$3:$N$23,13,0)&lt;='TCO TO BE- SW'!$D82,SUM('TCO TO BE- SW'!K$6:K$15)*VLOOKUP('TCO TO BE- SW'!K$2,MODULY_CBA!$B$3:$M$23,12,0),0),0)</f>
        <v>0</v>
      </c>
      <c r="L82" s="586">
        <f>IFERROR(IF(VLOOKUP(L$2,MODULY_CBA!$B$3:$N$23,13,0)&lt;='TCO TO BE- SW'!$D82,SUM('TCO TO BE- SW'!L$6:L$15)*VLOOKUP('TCO TO BE- SW'!L$2,MODULY_CBA!$B$3:$M$23,12,0),0),0)</f>
        <v>0</v>
      </c>
      <c r="M82" s="586">
        <f>IFERROR(IF(VLOOKUP(M$2,MODULY_CBA!$B$3:$N$23,13,0)&lt;='TCO TO BE- SW'!$D82,SUM('TCO TO BE- SW'!M$6:M$15)*VLOOKUP('TCO TO BE- SW'!M$2,MODULY_CBA!$B$3:$M$23,12,0),0),0)</f>
        <v>0</v>
      </c>
      <c r="N82" s="586">
        <f>IFERROR(IF(VLOOKUP(N$2,MODULY_CBA!$B$3:$N$23,13,0)&lt;='TCO TO BE- SW'!$D82,SUM('TCO TO BE- SW'!N$6:N$15)*VLOOKUP('TCO TO BE- SW'!N$2,MODULY_CBA!$B$3:$M$23,12,0),0),0)</f>
        <v>0</v>
      </c>
      <c r="O82" s="586">
        <f>IFERROR(IF(VLOOKUP(O$2,MODULY_CBA!$B$3:$N$23,13,0)&lt;='TCO TO BE- SW'!$D82,SUM('TCO TO BE- SW'!O$6:O$15)*VLOOKUP('TCO TO BE- SW'!O$2,MODULY_CBA!$B$3:$M$23,12,0),0),0)</f>
        <v>0</v>
      </c>
      <c r="P82" s="586">
        <f>IFERROR(IF(VLOOKUP(P$2,MODULY_CBA!$B$3:$N$23,13,0)&lt;='TCO TO BE- SW'!$D82,SUM('TCO TO BE- SW'!P$6:P$15)*VLOOKUP('TCO TO BE- SW'!P$2,MODULY_CBA!$B$3:$M$23,12,0),0),0)</f>
        <v>0</v>
      </c>
      <c r="Q82" s="586">
        <f>IFERROR(IF(VLOOKUP(Q$2,MODULY_CBA!$B$3:$N$23,13,0)&lt;='TCO TO BE- SW'!$D82,SUM('TCO TO BE- SW'!Q$6:Q$15)*VLOOKUP('TCO TO BE- SW'!Q$2,MODULY_CBA!$B$3:$M$23,12,0),0),0)</f>
        <v>0</v>
      </c>
      <c r="R82" s="586">
        <f>IFERROR(IF(VLOOKUP(R$2,MODULY_CBA!$B$3:$N$23,13,0)&lt;='TCO TO BE- SW'!$D82,SUM('TCO TO BE- SW'!R$6:R$15)*VLOOKUP('TCO TO BE- SW'!R$2,MODULY_CBA!$B$3:$M$23,12,0),0),0)</f>
        <v>0</v>
      </c>
      <c r="S82" s="586">
        <f>IFERROR(IF(VLOOKUP(S$2,MODULY_CBA!$B$3:$N$23,13,0)&lt;='TCO TO BE- SW'!$D82,SUM('TCO TO BE- SW'!S$6:S$15)*VLOOKUP('TCO TO BE- SW'!S$2,MODULY_CBA!$B$3:$M$23,12,0),0),0)</f>
        <v>0</v>
      </c>
      <c r="T82" s="586">
        <f>IFERROR(IF(VLOOKUP(T$2,MODULY_CBA!$B$3:$N$23,13,0)&lt;='TCO TO BE- SW'!$D82,SUM('TCO TO BE- SW'!T$6:T$15)*VLOOKUP('TCO TO BE- SW'!T$2,MODULY_CBA!$B$3:$M$23,12,0),0),0)</f>
        <v>0</v>
      </c>
      <c r="U82" s="586">
        <f>IFERROR(IF(VLOOKUP(U$2,MODULY_CBA!$B$3:$N$23,13,0)&lt;='TCO TO BE- SW'!$D82,SUM('TCO TO BE- SW'!U$6:U$15)*VLOOKUP('TCO TO BE- SW'!U$2,MODULY_CBA!$B$3:$M$23,12,0),0),0)</f>
        <v>0</v>
      </c>
      <c r="V82" s="586">
        <f>IFERROR(IF(VLOOKUP(V$2,MODULY_CBA!$B$3:$N$23,13,0)&lt;='TCO TO BE- SW'!$D82,SUM('TCO TO BE- SW'!V$6:V$15)*VLOOKUP('TCO TO BE- SW'!V$2,MODULY_CBA!$B$3:$M$23,12,0),0),0)</f>
        <v>0</v>
      </c>
      <c r="W82" s="586">
        <f>IFERROR(IF(VLOOKUP(W$2,MODULY_CBA!$B$3:$N$23,13,0)&lt;='TCO TO BE- SW'!$D82,SUM('TCO TO BE- SW'!W$6:W$15)*VLOOKUP('TCO TO BE- SW'!W$2,MODULY_CBA!$B$3:$M$23,12,0),0),0)</f>
        <v>0</v>
      </c>
      <c r="X82" s="586">
        <f>IFERROR(IF(VLOOKUP(X$2,MODULY_CBA!$B$3:$N$23,13,0)&lt;='TCO TO BE- SW'!$D82,SUM('TCO TO BE- SW'!X$6:X$15)*VLOOKUP('TCO TO BE- SW'!X$2,MODULY_CBA!$B$3:$M$23,12,0),0),0)</f>
        <v>0</v>
      </c>
      <c r="Y82" s="586">
        <f>IFERROR(IF(VLOOKUP(Y$2,MODULY_CBA!$B$3:$N$23,13,0)&lt;='TCO TO BE- SW'!$D82,SUM('TCO TO BE- SW'!Y$6:Y$15)*VLOOKUP('TCO TO BE- SW'!Y$2,MODULY_CBA!$B$3:$M$23,12,0),0),0)</f>
        <v>0</v>
      </c>
      <c r="Z82" s="586">
        <f>IFERROR(IF(VLOOKUP(Z$2,MODULY_CBA!$B$3:$N$23,13,0)&lt;='TCO TO BE- SW'!$D82,SUM('TCO TO BE- SW'!Z$6:Z$15)*VLOOKUP('TCO TO BE- SW'!Z$2,MODULY_CBA!$B$3:$M$23,12,0),0),0)</f>
        <v>0</v>
      </c>
    </row>
    <row r="83" spans="1:26" outlineLevel="2">
      <c r="A83" s="875"/>
      <c r="B83" s="876"/>
      <c r="C83" s="876"/>
      <c r="D83" s="64">
        <v>5</v>
      </c>
      <c r="E83" s="61">
        <f t="shared" si="12"/>
        <v>0</v>
      </c>
      <c r="F83" s="586">
        <f>IFERROR(IF(VLOOKUP(F$2,MODULY_CBA!$B$3:$N$23,13,0)&lt;='TCO TO BE- SW'!$D83,SUM('TCO TO BE- SW'!F$6:F$15)*VLOOKUP('TCO TO BE- SW'!F$2,MODULY_CBA!$B$3:$M$23,12,0),0),0)</f>
        <v>0</v>
      </c>
      <c r="G83" s="586">
        <f>IFERROR(IF(VLOOKUP(G$2,MODULY_CBA!$B$3:$N$23,13,0)&lt;='TCO TO BE- SW'!$D83,SUM('TCO TO BE- SW'!G$6:G$15)*VLOOKUP('TCO TO BE- SW'!G$2,MODULY_CBA!$B$3:$M$23,12,0),0),0)</f>
        <v>0</v>
      </c>
      <c r="H83" s="586">
        <f>IFERROR(IF(VLOOKUP(H$2,MODULY_CBA!$B$3:$N$23,13,0)&lt;='TCO TO BE- SW'!$D83,SUM('TCO TO BE- SW'!H$6:H$15)*VLOOKUP('TCO TO BE- SW'!H$2,MODULY_CBA!$B$3:$M$23,12,0),0),0)</f>
        <v>0</v>
      </c>
      <c r="I83" s="586">
        <f>IFERROR(IF(VLOOKUP(I$2,MODULY_CBA!$B$3:$N$23,13,0)&lt;='TCO TO BE- SW'!$D83,SUM('TCO TO BE- SW'!I$6:I$15)*VLOOKUP('TCO TO BE- SW'!I$2,MODULY_CBA!$B$3:$M$23,12,0),0),0)</f>
        <v>0</v>
      </c>
      <c r="J83" s="586">
        <f>IFERROR(IF(VLOOKUP(J$2,MODULY_CBA!$B$3:$N$23,13,0)&lt;='TCO TO BE- SW'!$D83,SUM('TCO TO BE- SW'!J$6:J$15)*VLOOKUP('TCO TO BE- SW'!J$2,MODULY_CBA!$B$3:$M$23,12,0),0),0)</f>
        <v>0</v>
      </c>
      <c r="K83" s="586">
        <f>IFERROR(IF(VLOOKUP(K$2,MODULY_CBA!$B$3:$N$23,13,0)&lt;='TCO TO BE- SW'!$D83,SUM('TCO TO BE- SW'!K$6:K$15)*VLOOKUP('TCO TO BE- SW'!K$2,MODULY_CBA!$B$3:$M$23,12,0),0),0)</f>
        <v>0</v>
      </c>
      <c r="L83" s="586">
        <f>IFERROR(IF(VLOOKUP(L$2,MODULY_CBA!$B$3:$N$23,13,0)&lt;='TCO TO BE- SW'!$D83,SUM('TCO TO BE- SW'!L$6:L$15)*VLOOKUP('TCO TO BE- SW'!L$2,MODULY_CBA!$B$3:$M$23,12,0),0),0)</f>
        <v>0</v>
      </c>
      <c r="M83" s="586">
        <f>IFERROR(IF(VLOOKUP(M$2,MODULY_CBA!$B$3:$N$23,13,0)&lt;='TCO TO BE- SW'!$D83,SUM('TCO TO BE- SW'!M$6:M$15)*VLOOKUP('TCO TO BE- SW'!M$2,MODULY_CBA!$B$3:$M$23,12,0),0),0)</f>
        <v>0</v>
      </c>
      <c r="N83" s="586">
        <f>IFERROR(IF(VLOOKUP(N$2,MODULY_CBA!$B$3:$N$23,13,0)&lt;='TCO TO BE- SW'!$D83,SUM('TCO TO BE- SW'!N$6:N$15)*VLOOKUP('TCO TO BE- SW'!N$2,MODULY_CBA!$B$3:$M$23,12,0),0),0)</f>
        <v>0</v>
      </c>
      <c r="O83" s="586">
        <f>IFERROR(IF(VLOOKUP(O$2,MODULY_CBA!$B$3:$N$23,13,0)&lt;='TCO TO BE- SW'!$D83,SUM('TCO TO BE- SW'!O$6:O$15)*VLOOKUP('TCO TO BE- SW'!O$2,MODULY_CBA!$B$3:$M$23,12,0),0),0)</f>
        <v>0</v>
      </c>
      <c r="P83" s="586">
        <f>IFERROR(IF(VLOOKUP(P$2,MODULY_CBA!$B$3:$N$23,13,0)&lt;='TCO TO BE- SW'!$D83,SUM('TCO TO BE- SW'!P$6:P$15)*VLOOKUP('TCO TO BE- SW'!P$2,MODULY_CBA!$B$3:$M$23,12,0),0),0)</f>
        <v>0</v>
      </c>
      <c r="Q83" s="586">
        <f>IFERROR(IF(VLOOKUP(Q$2,MODULY_CBA!$B$3:$N$23,13,0)&lt;='TCO TO BE- SW'!$D83,SUM('TCO TO BE- SW'!Q$6:Q$15)*VLOOKUP('TCO TO BE- SW'!Q$2,MODULY_CBA!$B$3:$M$23,12,0),0),0)</f>
        <v>0</v>
      </c>
      <c r="R83" s="586">
        <f>IFERROR(IF(VLOOKUP(R$2,MODULY_CBA!$B$3:$N$23,13,0)&lt;='TCO TO BE- SW'!$D83,SUM('TCO TO BE- SW'!R$6:R$15)*VLOOKUP('TCO TO BE- SW'!R$2,MODULY_CBA!$B$3:$M$23,12,0),0),0)</f>
        <v>0</v>
      </c>
      <c r="S83" s="586">
        <f>IFERROR(IF(VLOOKUP(S$2,MODULY_CBA!$B$3:$N$23,13,0)&lt;='TCO TO BE- SW'!$D83,SUM('TCO TO BE- SW'!S$6:S$15)*VLOOKUP('TCO TO BE- SW'!S$2,MODULY_CBA!$B$3:$M$23,12,0),0),0)</f>
        <v>0</v>
      </c>
      <c r="T83" s="586">
        <f>IFERROR(IF(VLOOKUP(T$2,MODULY_CBA!$B$3:$N$23,13,0)&lt;='TCO TO BE- SW'!$D83,SUM('TCO TO BE- SW'!T$6:T$15)*VLOOKUP('TCO TO BE- SW'!T$2,MODULY_CBA!$B$3:$M$23,12,0),0),0)</f>
        <v>0</v>
      </c>
      <c r="U83" s="586">
        <f>IFERROR(IF(VLOOKUP(U$2,MODULY_CBA!$B$3:$N$23,13,0)&lt;='TCO TO BE- SW'!$D83,SUM('TCO TO BE- SW'!U$6:U$15)*VLOOKUP('TCO TO BE- SW'!U$2,MODULY_CBA!$B$3:$M$23,12,0),0),0)</f>
        <v>0</v>
      </c>
      <c r="V83" s="586">
        <f>IFERROR(IF(VLOOKUP(V$2,MODULY_CBA!$B$3:$N$23,13,0)&lt;='TCO TO BE- SW'!$D83,SUM('TCO TO BE- SW'!V$6:V$15)*VLOOKUP('TCO TO BE- SW'!V$2,MODULY_CBA!$B$3:$M$23,12,0),0),0)</f>
        <v>0</v>
      </c>
      <c r="W83" s="586">
        <f>IFERROR(IF(VLOOKUP(W$2,MODULY_CBA!$B$3:$N$23,13,0)&lt;='TCO TO BE- SW'!$D83,SUM('TCO TO BE- SW'!W$6:W$15)*VLOOKUP('TCO TO BE- SW'!W$2,MODULY_CBA!$B$3:$M$23,12,0),0),0)</f>
        <v>0</v>
      </c>
      <c r="X83" s="586">
        <f>IFERROR(IF(VLOOKUP(X$2,MODULY_CBA!$B$3:$N$23,13,0)&lt;='TCO TO BE- SW'!$D83,SUM('TCO TO BE- SW'!X$6:X$15)*VLOOKUP('TCO TO BE- SW'!X$2,MODULY_CBA!$B$3:$M$23,12,0),0),0)</f>
        <v>0</v>
      </c>
      <c r="Y83" s="586">
        <f>IFERROR(IF(VLOOKUP(Y$2,MODULY_CBA!$B$3:$N$23,13,0)&lt;='TCO TO BE- SW'!$D83,SUM('TCO TO BE- SW'!Y$6:Y$15)*VLOOKUP('TCO TO BE- SW'!Y$2,MODULY_CBA!$B$3:$M$23,12,0),0),0)</f>
        <v>0</v>
      </c>
      <c r="Z83" s="586">
        <f>IFERROR(IF(VLOOKUP(Z$2,MODULY_CBA!$B$3:$N$23,13,0)&lt;='TCO TO BE- SW'!$D83,SUM('TCO TO BE- SW'!Z$6:Z$15)*VLOOKUP('TCO TO BE- SW'!Z$2,MODULY_CBA!$B$3:$M$23,12,0),0),0)</f>
        <v>0</v>
      </c>
    </row>
    <row r="84" spans="1:26" outlineLevel="2">
      <c r="A84" s="875"/>
      <c r="B84" s="876"/>
      <c r="C84" s="876"/>
      <c r="D84" s="64">
        <v>6</v>
      </c>
      <c r="E84" s="61">
        <f t="shared" si="12"/>
        <v>0</v>
      </c>
      <c r="F84" s="586">
        <f>IFERROR(IF(VLOOKUP(F$2,MODULY_CBA!$B$3:$N$23,13,0)&lt;='TCO TO BE- SW'!$D84,SUM('TCO TO BE- SW'!F$6:F$15)*VLOOKUP('TCO TO BE- SW'!F$2,MODULY_CBA!$B$3:$M$23,12,0),0),0)</f>
        <v>0</v>
      </c>
      <c r="G84" s="586">
        <f>IFERROR(IF(VLOOKUP(G$2,MODULY_CBA!$B$3:$N$23,13,0)&lt;='TCO TO BE- SW'!$D84,SUM('TCO TO BE- SW'!G$6:G$15)*VLOOKUP('TCO TO BE- SW'!G$2,MODULY_CBA!$B$3:$M$23,12,0),0),0)</f>
        <v>0</v>
      </c>
      <c r="H84" s="586">
        <f>IFERROR(IF(VLOOKUP(H$2,MODULY_CBA!$B$3:$N$23,13,0)&lt;='TCO TO BE- SW'!$D84,SUM('TCO TO BE- SW'!H$6:H$15)*VLOOKUP('TCO TO BE- SW'!H$2,MODULY_CBA!$B$3:$M$23,12,0),0),0)</f>
        <v>0</v>
      </c>
      <c r="I84" s="586">
        <f>IFERROR(IF(VLOOKUP(I$2,MODULY_CBA!$B$3:$N$23,13,0)&lt;='TCO TO BE- SW'!$D84,SUM('TCO TO BE- SW'!I$6:I$15)*VLOOKUP('TCO TO BE- SW'!I$2,MODULY_CBA!$B$3:$M$23,12,0),0),0)</f>
        <v>0</v>
      </c>
      <c r="J84" s="586">
        <f>IFERROR(IF(VLOOKUP(J$2,MODULY_CBA!$B$3:$N$23,13,0)&lt;='TCO TO BE- SW'!$D84,SUM('TCO TO BE- SW'!J$6:J$15)*VLOOKUP('TCO TO BE- SW'!J$2,MODULY_CBA!$B$3:$M$23,12,0),0),0)</f>
        <v>0</v>
      </c>
      <c r="K84" s="586">
        <f>IFERROR(IF(VLOOKUP(K$2,MODULY_CBA!$B$3:$N$23,13,0)&lt;='TCO TO BE- SW'!$D84,SUM('TCO TO BE- SW'!K$6:K$15)*VLOOKUP('TCO TO BE- SW'!K$2,MODULY_CBA!$B$3:$M$23,12,0),0),0)</f>
        <v>0</v>
      </c>
      <c r="L84" s="586">
        <f>IFERROR(IF(VLOOKUP(L$2,MODULY_CBA!$B$3:$N$23,13,0)&lt;='TCO TO BE- SW'!$D84,SUM('TCO TO BE- SW'!L$6:L$15)*VLOOKUP('TCO TO BE- SW'!L$2,MODULY_CBA!$B$3:$M$23,12,0),0),0)</f>
        <v>0</v>
      </c>
      <c r="M84" s="586">
        <f>IFERROR(IF(VLOOKUP(M$2,MODULY_CBA!$B$3:$N$23,13,0)&lt;='TCO TO BE- SW'!$D84,SUM('TCO TO BE- SW'!M$6:M$15)*VLOOKUP('TCO TO BE- SW'!M$2,MODULY_CBA!$B$3:$M$23,12,0),0),0)</f>
        <v>0</v>
      </c>
      <c r="N84" s="586">
        <f>IFERROR(IF(VLOOKUP(N$2,MODULY_CBA!$B$3:$N$23,13,0)&lt;='TCO TO BE- SW'!$D84,SUM('TCO TO BE- SW'!N$6:N$15)*VLOOKUP('TCO TO BE- SW'!N$2,MODULY_CBA!$B$3:$M$23,12,0),0),0)</f>
        <v>0</v>
      </c>
      <c r="O84" s="586">
        <f>IFERROR(IF(VLOOKUP(O$2,MODULY_CBA!$B$3:$N$23,13,0)&lt;='TCO TO BE- SW'!$D84,SUM('TCO TO BE- SW'!O$6:O$15)*VLOOKUP('TCO TO BE- SW'!O$2,MODULY_CBA!$B$3:$M$23,12,0),0),0)</f>
        <v>0</v>
      </c>
      <c r="P84" s="586">
        <f>IFERROR(IF(VLOOKUP(P$2,MODULY_CBA!$B$3:$N$23,13,0)&lt;='TCO TO BE- SW'!$D84,SUM('TCO TO BE- SW'!P$6:P$15)*VLOOKUP('TCO TO BE- SW'!P$2,MODULY_CBA!$B$3:$M$23,12,0),0),0)</f>
        <v>0</v>
      </c>
      <c r="Q84" s="586">
        <f>IFERROR(IF(VLOOKUP(Q$2,MODULY_CBA!$B$3:$N$23,13,0)&lt;='TCO TO BE- SW'!$D84,SUM('TCO TO BE- SW'!Q$6:Q$15)*VLOOKUP('TCO TO BE- SW'!Q$2,MODULY_CBA!$B$3:$M$23,12,0),0),0)</f>
        <v>0</v>
      </c>
      <c r="R84" s="586">
        <f>IFERROR(IF(VLOOKUP(R$2,MODULY_CBA!$B$3:$N$23,13,0)&lt;='TCO TO BE- SW'!$D84,SUM('TCO TO BE- SW'!R$6:R$15)*VLOOKUP('TCO TO BE- SW'!R$2,MODULY_CBA!$B$3:$M$23,12,0),0),0)</f>
        <v>0</v>
      </c>
      <c r="S84" s="586">
        <f>IFERROR(IF(VLOOKUP(S$2,MODULY_CBA!$B$3:$N$23,13,0)&lt;='TCO TO BE- SW'!$D84,SUM('TCO TO BE- SW'!S$6:S$15)*VLOOKUP('TCO TO BE- SW'!S$2,MODULY_CBA!$B$3:$M$23,12,0),0),0)</f>
        <v>0</v>
      </c>
      <c r="T84" s="586">
        <f>IFERROR(IF(VLOOKUP(T$2,MODULY_CBA!$B$3:$N$23,13,0)&lt;='TCO TO BE- SW'!$D84,SUM('TCO TO BE- SW'!T$6:T$15)*VLOOKUP('TCO TO BE- SW'!T$2,MODULY_CBA!$B$3:$M$23,12,0),0),0)</f>
        <v>0</v>
      </c>
      <c r="U84" s="586">
        <f>IFERROR(IF(VLOOKUP(U$2,MODULY_CBA!$B$3:$N$23,13,0)&lt;='TCO TO BE- SW'!$D84,SUM('TCO TO BE- SW'!U$6:U$15)*VLOOKUP('TCO TO BE- SW'!U$2,MODULY_CBA!$B$3:$M$23,12,0),0),0)</f>
        <v>0</v>
      </c>
      <c r="V84" s="586">
        <f>IFERROR(IF(VLOOKUP(V$2,MODULY_CBA!$B$3:$N$23,13,0)&lt;='TCO TO BE- SW'!$D84,SUM('TCO TO BE- SW'!V$6:V$15)*VLOOKUP('TCO TO BE- SW'!V$2,MODULY_CBA!$B$3:$M$23,12,0),0),0)</f>
        <v>0</v>
      </c>
      <c r="W84" s="586">
        <f>IFERROR(IF(VLOOKUP(W$2,MODULY_CBA!$B$3:$N$23,13,0)&lt;='TCO TO BE- SW'!$D84,SUM('TCO TO BE- SW'!W$6:W$15)*VLOOKUP('TCO TO BE- SW'!W$2,MODULY_CBA!$B$3:$M$23,12,0),0),0)</f>
        <v>0</v>
      </c>
      <c r="X84" s="586">
        <f>IFERROR(IF(VLOOKUP(X$2,MODULY_CBA!$B$3:$N$23,13,0)&lt;='TCO TO BE- SW'!$D84,SUM('TCO TO BE- SW'!X$6:X$15)*VLOOKUP('TCO TO BE- SW'!X$2,MODULY_CBA!$B$3:$M$23,12,0),0),0)</f>
        <v>0</v>
      </c>
      <c r="Y84" s="586">
        <f>IFERROR(IF(VLOOKUP(Y$2,MODULY_CBA!$B$3:$N$23,13,0)&lt;='TCO TO BE- SW'!$D84,SUM('TCO TO BE- SW'!Y$6:Y$15)*VLOOKUP('TCO TO BE- SW'!Y$2,MODULY_CBA!$B$3:$M$23,12,0),0),0)</f>
        <v>0</v>
      </c>
      <c r="Z84" s="586">
        <f>IFERROR(IF(VLOOKUP(Z$2,MODULY_CBA!$B$3:$N$23,13,0)&lt;='TCO TO BE- SW'!$D84,SUM('TCO TO BE- SW'!Z$6:Z$15)*VLOOKUP('TCO TO BE- SW'!Z$2,MODULY_CBA!$B$3:$M$23,12,0),0),0)</f>
        <v>0</v>
      </c>
    </row>
    <row r="85" spans="1:26" outlineLevel="2">
      <c r="A85" s="875"/>
      <c r="B85" s="876"/>
      <c r="C85" s="876"/>
      <c r="D85" s="64">
        <v>7</v>
      </c>
      <c r="E85" s="61">
        <f t="shared" si="12"/>
        <v>0</v>
      </c>
      <c r="F85" s="586">
        <f>IFERROR(IF(VLOOKUP(F$2,MODULY_CBA!$B$3:$N$23,13,0)&lt;='TCO TO BE- SW'!$D85,SUM('TCO TO BE- SW'!F$6:F$15)*VLOOKUP('TCO TO BE- SW'!F$2,MODULY_CBA!$B$3:$M$23,12,0),0),0)</f>
        <v>0</v>
      </c>
      <c r="G85" s="586">
        <f>IFERROR(IF(VLOOKUP(G$2,MODULY_CBA!$B$3:$N$23,13,0)&lt;='TCO TO BE- SW'!$D85,SUM('TCO TO BE- SW'!G$6:G$15)*VLOOKUP('TCO TO BE- SW'!G$2,MODULY_CBA!$B$3:$M$23,12,0),0),0)</f>
        <v>0</v>
      </c>
      <c r="H85" s="586">
        <f>IFERROR(IF(VLOOKUP(H$2,MODULY_CBA!$B$3:$N$23,13,0)&lt;='TCO TO BE- SW'!$D85,SUM('TCO TO BE- SW'!H$6:H$15)*VLOOKUP('TCO TO BE- SW'!H$2,MODULY_CBA!$B$3:$M$23,12,0),0),0)</f>
        <v>0</v>
      </c>
      <c r="I85" s="586">
        <f>IFERROR(IF(VLOOKUP(I$2,MODULY_CBA!$B$3:$N$23,13,0)&lt;='TCO TO BE- SW'!$D85,SUM('TCO TO BE- SW'!I$6:I$15)*VLOOKUP('TCO TO BE- SW'!I$2,MODULY_CBA!$B$3:$M$23,12,0),0),0)</f>
        <v>0</v>
      </c>
      <c r="J85" s="586">
        <f>IFERROR(IF(VLOOKUP(J$2,MODULY_CBA!$B$3:$N$23,13,0)&lt;='TCO TO BE- SW'!$D85,SUM('TCO TO BE- SW'!J$6:J$15)*VLOOKUP('TCO TO BE- SW'!J$2,MODULY_CBA!$B$3:$M$23,12,0),0),0)</f>
        <v>0</v>
      </c>
      <c r="K85" s="586">
        <f>IFERROR(IF(VLOOKUP(K$2,MODULY_CBA!$B$3:$N$23,13,0)&lt;='TCO TO BE- SW'!$D85,SUM('TCO TO BE- SW'!K$6:K$15)*VLOOKUP('TCO TO BE- SW'!K$2,MODULY_CBA!$B$3:$M$23,12,0),0),0)</f>
        <v>0</v>
      </c>
      <c r="L85" s="586">
        <f>IFERROR(IF(VLOOKUP(L$2,MODULY_CBA!$B$3:$N$23,13,0)&lt;='TCO TO BE- SW'!$D85,SUM('TCO TO BE- SW'!L$6:L$15)*VLOOKUP('TCO TO BE- SW'!L$2,MODULY_CBA!$B$3:$M$23,12,0),0),0)</f>
        <v>0</v>
      </c>
      <c r="M85" s="586">
        <f>IFERROR(IF(VLOOKUP(M$2,MODULY_CBA!$B$3:$N$23,13,0)&lt;='TCO TO BE- SW'!$D85,SUM('TCO TO BE- SW'!M$6:M$15)*VLOOKUP('TCO TO BE- SW'!M$2,MODULY_CBA!$B$3:$M$23,12,0),0),0)</f>
        <v>0</v>
      </c>
      <c r="N85" s="586">
        <f>IFERROR(IF(VLOOKUP(N$2,MODULY_CBA!$B$3:$N$23,13,0)&lt;='TCO TO BE- SW'!$D85,SUM('TCO TO BE- SW'!N$6:N$15)*VLOOKUP('TCO TO BE- SW'!N$2,MODULY_CBA!$B$3:$M$23,12,0),0),0)</f>
        <v>0</v>
      </c>
      <c r="O85" s="586">
        <f>IFERROR(IF(VLOOKUP(O$2,MODULY_CBA!$B$3:$N$23,13,0)&lt;='TCO TO BE- SW'!$D85,SUM('TCO TO BE- SW'!O$6:O$15)*VLOOKUP('TCO TO BE- SW'!O$2,MODULY_CBA!$B$3:$M$23,12,0),0),0)</f>
        <v>0</v>
      </c>
      <c r="P85" s="586">
        <f>IFERROR(IF(VLOOKUP(P$2,MODULY_CBA!$B$3:$N$23,13,0)&lt;='TCO TO BE- SW'!$D85,SUM('TCO TO BE- SW'!P$6:P$15)*VLOOKUP('TCO TO BE- SW'!P$2,MODULY_CBA!$B$3:$M$23,12,0),0),0)</f>
        <v>0</v>
      </c>
      <c r="Q85" s="586">
        <f>IFERROR(IF(VLOOKUP(Q$2,MODULY_CBA!$B$3:$N$23,13,0)&lt;='TCO TO BE- SW'!$D85,SUM('TCO TO BE- SW'!Q$6:Q$15)*VLOOKUP('TCO TO BE- SW'!Q$2,MODULY_CBA!$B$3:$M$23,12,0),0),0)</f>
        <v>0</v>
      </c>
      <c r="R85" s="586">
        <f>IFERROR(IF(VLOOKUP(R$2,MODULY_CBA!$B$3:$N$23,13,0)&lt;='TCO TO BE- SW'!$D85,SUM('TCO TO BE- SW'!R$6:R$15)*VLOOKUP('TCO TO BE- SW'!R$2,MODULY_CBA!$B$3:$M$23,12,0),0),0)</f>
        <v>0</v>
      </c>
      <c r="S85" s="586">
        <f>IFERROR(IF(VLOOKUP(S$2,MODULY_CBA!$B$3:$N$23,13,0)&lt;='TCO TO BE- SW'!$D85,SUM('TCO TO BE- SW'!S$6:S$15)*VLOOKUP('TCO TO BE- SW'!S$2,MODULY_CBA!$B$3:$M$23,12,0),0),0)</f>
        <v>0</v>
      </c>
      <c r="T85" s="586">
        <f>IFERROR(IF(VLOOKUP(T$2,MODULY_CBA!$B$3:$N$23,13,0)&lt;='TCO TO BE- SW'!$D85,SUM('TCO TO BE- SW'!T$6:T$15)*VLOOKUP('TCO TO BE- SW'!T$2,MODULY_CBA!$B$3:$M$23,12,0),0),0)</f>
        <v>0</v>
      </c>
      <c r="U85" s="586">
        <f>IFERROR(IF(VLOOKUP(U$2,MODULY_CBA!$B$3:$N$23,13,0)&lt;='TCO TO BE- SW'!$D85,SUM('TCO TO BE- SW'!U$6:U$15)*VLOOKUP('TCO TO BE- SW'!U$2,MODULY_CBA!$B$3:$M$23,12,0),0),0)</f>
        <v>0</v>
      </c>
      <c r="V85" s="586">
        <f>IFERROR(IF(VLOOKUP(V$2,MODULY_CBA!$B$3:$N$23,13,0)&lt;='TCO TO BE- SW'!$D85,SUM('TCO TO BE- SW'!V$6:V$15)*VLOOKUP('TCO TO BE- SW'!V$2,MODULY_CBA!$B$3:$M$23,12,0),0),0)</f>
        <v>0</v>
      </c>
      <c r="W85" s="586">
        <f>IFERROR(IF(VLOOKUP(W$2,MODULY_CBA!$B$3:$N$23,13,0)&lt;='TCO TO BE- SW'!$D85,SUM('TCO TO BE- SW'!W$6:W$15)*VLOOKUP('TCO TO BE- SW'!W$2,MODULY_CBA!$B$3:$M$23,12,0),0),0)</f>
        <v>0</v>
      </c>
      <c r="X85" s="586">
        <f>IFERROR(IF(VLOOKUP(X$2,MODULY_CBA!$B$3:$N$23,13,0)&lt;='TCO TO BE- SW'!$D85,SUM('TCO TO BE- SW'!X$6:X$15)*VLOOKUP('TCO TO BE- SW'!X$2,MODULY_CBA!$B$3:$M$23,12,0),0),0)</f>
        <v>0</v>
      </c>
      <c r="Y85" s="586">
        <f>IFERROR(IF(VLOOKUP(Y$2,MODULY_CBA!$B$3:$N$23,13,0)&lt;='TCO TO BE- SW'!$D85,SUM('TCO TO BE- SW'!Y$6:Y$15)*VLOOKUP('TCO TO BE- SW'!Y$2,MODULY_CBA!$B$3:$M$23,12,0),0),0)</f>
        <v>0</v>
      </c>
      <c r="Z85" s="586">
        <f>IFERROR(IF(VLOOKUP(Z$2,MODULY_CBA!$B$3:$N$23,13,0)&lt;='TCO TO BE- SW'!$D85,SUM('TCO TO BE- SW'!Z$6:Z$15)*VLOOKUP('TCO TO BE- SW'!Z$2,MODULY_CBA!$B$3:$M$23,12,0),0),0)</f>
        <v>0</v>
      </c>
    </row>
    <row r="86" spans="1:26" outlineLevel="2">
      <c r="A86" s="875"/>
      <c r="B86" s="876"/>
      <c r="C86" s="876"/>
      <c r="D86" s="64">
        <v>8</v>
      </c>
      <c r="E86" s="61">
        <f t="shared" si="12"/>
        <v>0</v>
      </c>
      <c r="F86" s="586">
        <f>IFERROR(IF(VLOOKUP(F$2,MODULY_CBA!$B$3:$N$23,13,0)&lt;='TCO TO BE- SW'!$D86,SUM('TCO TO BE- SW'!F$6:F$15)*VLOOKUP('TCO TO BE- SW'!F$2,MODULY_CBA!$B$3:$M$23,12,0),0),0)</f>
        <v>0</v>
      </c>
      <c r="G86" s="586">
        <f>IFERROR(IF(VLOOKUP(G$2,MODULY_CBA!$B$3:$N$23,13,0)&lt;='TCO TO BE- SW'!$D86,SUM('TCO TO BE- SW'!G$6:G$15)*VLOOKUP('TCO TO BE- SW'!G$2,MODULY_CBA!$B$3:$M$23,12,0),0),0)</f>
        <v>0</v>
      </c>
      <c r="H86" s="586">
        <f>IFERROR(IF(VLOOKUP(H$2,MODULY_CBA!$B$3:$N$23,13,0)&lt;='TCO TO BE- SW'!$D86,SUM('TCO TO BE- SW'!H$6:H$15)*VLOOKUP('TCO TO BE- SW'!H$2,MODULY_CBA!$B$3:$M$23,12,0),0),0)</f>
        <v>0</v>
      </c>
      <c r="I86" s="586">
        <f>IFERROR(IF(VLOOKUP(I$2,MODULY_CBA!$B$3:$N$23,13,0)&lt;='TCO TO BE- SW'!$D86,SUM('TCO TO BE- SW'!I$6:I$15)*VLOOKUP('TCO TO BE- SW'!I$2,MODULY_CBA!$B$3:$M$23,12,0),0),0)</f>
        <v>0</v>
      </c>
      <c r="J86" s="586">
        <f>IFERROR(IF(VLOOKUP(J$2,MODULY_CBA!$B$3:$N$23,13,0)&lt;='TCO TO BE- SW'!$D86,SUM('TCO TO BE- SW'!J$6:J$15)*VLOOKUP('TCO TO BE- SW'!J$2,MODULY_CBA!$B$3:$M$23,12,0),0),0)</f>
        <v>0</v>
      </c>
      <c r="K86" s="586">
        <f>IFERROR(IF(VLOOKUP(K$2,MODULY_CBA!$B$3:$N$23,13,0)&lt;='TCO TO BE- SW'!$D86,SUM('TCO TO BE- SW'!K$6:K$15)*VLOOKUP('TCO TO BE- SW'!K$2,MODULY_CBA!$B$3:$M$23,12,0),0),0)</f>
        <v>0</v>
      </c>
      <c r="L86" s="586">
        <f>IFERROR(IF(VLOOKUP(L$2,MODULY_CBA!$B$3:$N$23,13,0)&lt;='TCO TO BE- SW'!$D86,SUM('TCO TO BE- SW'!L$6:L$15)*VLOOKUP('TCO TO BE- SW'!L$2,MODULY_CBA!$B$3:$M$23,12,0),0),0)</f>
        <v>0</v>
      </c>
      <c r="M86" s="586">
        <f>IFERROR(IF(VLOOKUP(M$2,MODULY_CBA!$B$3:$N$23,13,0)&lt;='TCO TO BE- SW'!$D86,SUM('TCO TO BE- SW'!M$6:M$15)*VLOOKUP('TCO TO BE- SW'!M$2,MODULY_CBA!$B$3:$M$23,12,0),0),0)</f>
        <v>0</v>
      </c>
      <c r="N86" s="586">
        <f>IFERROR(IF(VLOOKUP(N$2,MODULY_CBA!$B$3:$N$23,13,0)&lt;='TCO TO BE- SW'!$D86,SUM('TCO TO BE- SW'!N$6:N$15)*VLOOKUP('TCO TO BE- SW'!N$2,MODULY_CBA!$B$3:$M$23,12,0),0),0)</f>
        <v>0</v>
      </c>
      <c r="O86" s="586">
        <f>IFERROR(IF(VLOOKUP(O$2,MODULY_CBA!$B$3:$N$23,13,0)&lt;='TCO TO BE- SW'!$D86,SUM('TCO TO BE- SW'!O$6:O$15)*VLOOKUP('TCO TO BE- SW'!O$2,MODULY_CBA!$B$3:$M$23,12,0),0),0)</f>
        <v>0</v>
      </c>
      <c r="P86" s="586">
        <f>IFERROR(IF(VLOOKUP(P$2,MODULY_CBA!$B$3:$N$23,13,0)&lt;='TCO TO BE- SW'!$D86,SUM('TCO TO BE- SW'!P$6:P$15)*VLOOKUP('TCO TO BE- SW'!P$2,MODULY_CBA!$B$3:$M$23,12,0),0),0)</f>
        <v>0</v>
      </c>
      <c r="Q86" s="586">
        <f>IFERROR(IF(VLOOKUP(Q$2,MODULY_CBA!$B$3:$N$23,13,0)&lt;='TCO TO BE- SW'!$D86,SUM('TCO TO BE- SW'!Q$6:Q$15)*VLOOKUP('TCO TO BE- SW'!Q$2,MODULY_CBA!$B$3:$M$23,12,0),0),0)</f>
        <v>0</v>
      </c>
      <c r="R86" s="586">
        <f>IFERROR(IF(VLOOKUP(R$2,MODULY_CBA!$B$3:$N$23,13,0)&lt;='TCO TO BE- SW'!$D86,SUM('TCO TO BE- SW'!R$6:R$15)*VLOOKUP('TCO TO BE- SW'!R$2,MODULY_CBA!$B$3:$M$23,12,0),0),0)</f>
        <v>0</v>
      </c>
      <c r="S86" s="586">
        <f>IFERROR(IF(VLOOKUP(S$2,MODULY_CBA!$B$3:$N$23,13,0)&lt;='TCO TO BE- SW'!$D86,SUM('TCO TO BE- SW'!S$6:S$15)*VLOOKUP('TCO TO BE- SW'!S$2,MODULY_CBA!$B$3:$M$23,12,0),0),0)</f>
        <v>0</v>
      </c>
      <c r="T86" s="586">
        <f>IFERROR(IF(VLOOKUP(T$2,MODULY_CBA!$B$3:$N$23,13,0)&lt;='TCO TO BE- SW'!$D86,SUM('TCO TO BE- SW'!T$6:T$15)*VLOOKUP('TCO TO BE- SW'!T$2,MODULY_CBA!$B$3:$M$23,12,0),0),0)</f>
        <v>0</v>
      </c>
      <c r="U86" s="586">
        <f>IFERROR(IF(VLOOKUP(U$2,MODULY_CBA!$B$3:$N$23,13,0)&lt;='TCO TO BE- SW'!$D86,SUM('TCO TO BE- SW'!U$6:U$15)*VLOOKUP('TCO TO BE- SW'!U$2,MODULY_CBA!$B$3:$M$23,12,0),0),0)</f>
        <v>0</v>
      </c>
      <c r="V86" s="586">
        <f>IFERROR(IF(VLOOKUP(V$2,MODULY_CBA!$B$3:$N$23,13,0)&lt;='TCO TO BE- SW'!$D86,SUM('TCO TO BE- SW'!V$6:V$15)*VLOOKUP('TCO TO BE- SW'!V$2,MODULY_CBA!$B$3:$M$23,12,0),0),0)</f>
        <v>0</v>
      </c>
      <c r="W86" s="586">
        <f>IFERROR(IF(VLOOKUP(W$2,MODULY_CBA!$B$3:$N$23,13,0)&lt;='TCO TO BE- SW'!$D86,SUM('TCO TO BE- SW'!W$6:W$15)*VLOOKUP('TCO TO BE- SW'!W$2,MODULY_CBA!$B$3:$M$23,12,0),0),0)</f>
        <v>0</v>
      </c>
      <c r="X86" s="586">
        <f>IFERROR(IF(VLOOKUP(X$2,MODULY_CBA!$B$3:$N$23,13,0)&lt;='TCO TO BE- SW'!$D86,SUM('TCO TO BE- SW'!X$6:X$15)*VLOOKUP('TCO TO BE- SW'!X$2,MODULY_CBA!$B$3:$M$23,12,0),0),0)</f>
        <v>0</v>
      </c>
      <c r="Y86" s="586">
        <f>IFERROR(IF(VLOOKUP(Y$2,MODULY_CBA!$B$3:$N$23,13,0)&lt;='TCO TO BE- SW'!$D86,SUM('TCO TO BE- SW'!Y$6:Y$15)*VLOOKUP('TCO TO BE- SW'!Y$2,MODULY_CBA!$B$3:$M$23,12,0),0),0)</f>
        <v>0</v>
      </c>
      <c r="Z86" s="586">
        <f>IFERROR(IF(VLOOKUP(Z$2,MODULY_CBA!$B$3:$N$23,13,0)&lt;='TCO TO BE- SW'!$D86,SUM('TCO TO BE- SW'!Z$6:Z$15)*VLOOKUP('TCO TO BE- SW'!Z$2,MODULY_CBA!$B$3:$M$23,12,0),0),0)</f>
        <v>0</v>
      </c>
    </row>
    <row r="87" spans="1:26" outlineLevel="2">
      <c r="A87" s="875"/>
      <c r="B87" s="876"/>
      <c r="C87" s="876"/>
      <c r="D87" s="64">
        <v>9</v>
      </c>
      <c r="E87" s="61">
        <f t="shared" si="12"/>
        <v>0</v>
      </c>
      <c r="F87" s="586">
        <f>IFERROR(IF(VLOOKUP(F$2,MODULY_CBA!$B$3:$N$23,13,0)&lt;='TCO TO BE- SW'!$D87,SUM('TCO TO BE- SW'!F$6:F$15)*VLOOKUP('TCO TO BE- SW'!F$2,MODULY_CBA!$B$3:$M$23,12,0),0),0)</f>
        <v>0</v>
      </c>
      <c r="G87" s="586">
        <f>IFERROR(IF(VLOOKUP(G$2,MODULY_CBA!$B$3:$N$23,13,0)&lt;='TCO TO BE- SW'!$D87,SUM('TCO TO BE- SW'!G$6:G$15)*VLOOKUP('TCO TO BE- SW'!G$2,MODULY_CBA!$B$3:$M$23,12,0),0),0)</f>
        <v>0</v>
      </c>
      <c r="H87" s="586">
        <f>IFERROR(IF(VLOOKUP(H$2,MODULY_CBA!$B$3:$N$23,13,0)&lt;='TCO TO BE- SW'!$D87,SUM('TCO TO BE- SW'!H$6:H$15)*VLOOKUP('TCO TO BE- SW'!H$2,MODULY_CBA!$B$3:$M$23,12,0),0),0)</f>
        <v>0</v>
      </c>
      <c r="I87" s="586">
        <f>IFERROR(IF(VLOOKUP(I$2,MODULY_CBA!$B$3:$N$23,13,0)&lt;='TCO TO BE- SW'!$D87,SUM('TCO TO BE- SW'!I$6:I$15)*VLOOKUP('TCO TO BE- SW'!I$2,MODULY_CBA!$B$3:$M$23,12,0),0),0)</f>
        <v>0</v>
      </c>
      <c r="J87" s="586">
        <f>IFERROR(IF(VLOOKUP(J$2,MODULY_CBA!$B$3:$N$23,13,0)&lt;='TCO TO BE- SW'!$D87,SUM('TCO TO BE- SW'!J$6:J$15)*VLOOKUP('TCO TO BE- SW'!J$2,MODULY_CBA!$B$3:$M$23,12,0),0),0)</f>
        <v>0</v>
      </c>
      <c r="K87" s="586">
        <f>IFERROR(IF(VLOOKUP(K$2,MODULY_CBA!$B$3:$N$23,13,0)&lt;='TCO TO BE- SW'!$D87,SUM('TCO TO BE- SW'!K$6:K$15)*VLOOKUP('TCO TO BE- SW'!K$2,MODULY_CBA!$B$3:$M$23,12,0),0),0)</f>
        <v>0</v>
      </c>
      <c r="L87" s="586">
        <f>IFERROR(IF(VLOOKUP(L$2,MODULY_CBA!$B$3:$N$23,13,0)&lt;='TCO TO BE- SW'!$D87,SUM('TCO TO BE- SW'!L$6:L$15)*VLOOKUP('TCO TO BE- SW'!L$2,MODULY_CBA!$B$3:$M$23,12,0),0),0)</f>
        <v>0</v>
      </c>
      <c r="M87" s="586">
        <f>IFERROR(IF(VLOOKUP(M$2,MODULY_CBA!$B$3:$N$23,13,0)&lt;='TCO TO BE- SW'!$D87,SUM('TCO TO BE- SW'!M$6:M$15)*VLOOKUP('TCO TO BE- SW'!M$2,MODULY_CBA!$B$3:$M$23,12,0),0),0)</f>
        <v>0</v>
      </c>
      <c r="N87" s="586">
        <f>IFERROR(IF(VLOOKUP(N$2,MODULY_CBA!$B$3:$N$23,13,0)&lt;='TCO TO BE- SW'!$D87,SUM('TCO TO BE- SW'!N$6:N$15)*VLOOKUP('TCO TO BE- SW'!N$2,MODULY_CBA!$B$3:$M$23,12,0),0),0)</f>
        <v>0</v>
      </c>
      <c r="O87" s="586">
        <f>IFERROR(IF(VLOOKUP(O$2,MODULY_CBA!$B$3:$N$23,13,0)&lt;='TCO TO BE- SW'!$D87,SUM('TCO TO BE- SW'!O$6:O$15)*VLOOKUP('TCO TO BE- SW'!O$2,MODULY_CBA!$B$3:$M$23,12,0),0),0)</f>
        <v>0</v>
      </c>
      <c r="P87" s="586">
        <f>IFERROR(IF(VLOOKUP(P$2,MODULY_CBA!$B$3:$N$23,13,0)&lt;='TCO TO BE- SW'!$D87,SUM('TCO TO BE- SW'!P$6:P$15)*VLOOKUP('TCO TO BE- SW'!P$2,MODULY_CBA!$B$3:$M$23,12,0),0),0)</f>
        <v>0</v>
      </c>
      <c r="Q87" s="586">
        <f>IFERROR(IF(VLOOKUP(Q$2,MODULY_CBA!$B$3:$N$23,13,0)&lt;='TCO TO BE- SW'!$D87,SUM('TCO TO BE- SW'!Q$6:Q$15)*VLOOKUP('TCO TO BE- SW'!Q$2,MODULY_CBA!$B$3:$M$23,12,0),0),0)</f>
        <v>0</v>
      </c>
      <c r="R87" s="586">
        <f>IFERROR(IF(VLOOKUP(R$2,MODULY_CBA!$B$3:$N$23,13,0)&lt;='TCO TO BE- SW'!$D87,SUM('TCO TO BE- SW'!R$6:R$15)*VLOOKUP('TCO TO BE- SW'!R$2,MODULY_CBA!$B$3:$M$23,12,0),0),0)</f>
        <v>0</v>
      </c>
      <c r="S87" s="586">
        <f>IFERROR(IF(VLOOKUP(S$2,MODULY_CBA!$B$3:$N$23,13,0)&lt;='TCO TO BE- SW'!$D87,SUM('TCO TO BE- SW'!S$6:S$15)*VLOOKUP('TCO TO BE- SW'!S$2,MODULY_CBA!$B$3:$M$23,12,0),0),0)</f>
        <v>0</v>
      </c>
      <c r="T87" s="586">
        <f>IFERROR(IF(VLOOKUP(T$2,MODULY_CBA!$B$3:$N$23,13,0)&lt;='TCO TO BE- SW'!$D87,SUM('TCO TO BE- SW'!T$6:T$15)*VLOOKUP('TCO TO BE- SW'!T$2,MODULY_CBA!$B$3:$M$23,12,0),0),0)</f>
        <v>0</v>
      </c>
      <c r="U87" s="586">
        <f>IFERROR(IF(VLOOKUP(U$2,MODULY_CBA!$B$3:$N$23,13,0)&lt;='TCO TO BE- SW'!$D87,SUM('TCO TO BE- SW'!U$6:U$15)*VLOOKUP('TCO TO BE- SW'!U$2,MODULY_CBA!$B$3:$M$23,12,0),0),0)</f>
        <v>0</v>
      </c>
      <c r="V87" s="586">
        <f>IFERROR(IF(VLOOKUP(V$2,MODULY_CBA!$B$3:$N$23,13,0)&lt;='TCO TO BE- SW'!$D87,SUM('TCO TO BE- SW'!V$6:V$15)*VLOOKUP('TCO TO BE- SW'!V$2,MODULY_CBA!$B$3:$M$23,12,0),0),0)</f>
        <v>0</v>
      </c>
      <c r="W87" s="586">
        <f>IFERROR(IF(VLOOKUP(W$2,MODULY_CBA!$B$3:$N$23,13,0)&lt;='TCO TO BE- SW'!$D87,SUM('TCO TO BE- SW'!W$6:W$15)*VLOOKUP('TCO TO BE- SW'!W$2,MODULY_CBA!$B$3:$M$23,12,0),0),0)</f>
        <v>0</v>
      </c>
      <c r="X87" s="586">
        <f>IFERROR(IF(VLOOKUP(X$2,MODULY_CBA!$B$3:$N$23,13,0)&lt;='TCO TO BE- SW'!$D87,SUM('TCO TO BE- SW'!X$6:X$15)*VLOOKUP('TCO TO BE- SW'!X$2,MODULY_CBA!$B$3:$M$23,12,0),0),0)</f>
        <v>0</v>
      </c>
      <c r="Y87" s="586">
        <f>IFERROR(IF(VLOOKUP(Y$2,MODULY_CBA!$B$3:$N$23,13,0)&lt;='TCO TO BE- SW'!$D87,SUM('TCO TO BE- SW'!Y$6:Y$15)*VLOOKUP('TCO TO BE- SW'!Y$2,MODULY_CBA!$B$3:$M$23,12,0),0),0)</f>
        <v>0</v>
      </c>
      <c r="Z87" s="586">
        <f>IFERROR(IF(VLOOKUP(Z$2,MODULY_CBA!$B$3:$N$23,13,0)&lt;='TCO TO BE- SW'!$D87,SUM('TCO TO BE- SW'!Z$6:Z$15)*VLOOKUP('TCO TO BE- SW'!Z$2,MODULY_CBA!$B$3:$M$23,12,0),0),0)</f>
        <v>0</v>
      </c>
    </row>
    <row r="88" spans="1:26" ht="15.75" outlineLevel="2" thickBot="1">
      <c r="A88" s="875"/>
      <c r="B88" s="876"/>
      <c r="C88" s="876"/>
      <c r="D88" s="65">
        <v>10</v>
      </c>
      <c r="E88" s="62">
        <f t="shared" si="12"/>
        <v>0</v>
      </c>
      <c r="F88" s="586">
        <f>IFERROR(IF(VLOOKUP(F$2,MODULY_CBA!$B$3:$N$23,13,0)&lt;='TCO TO BE- SW'!$D88,SUM('TCO TO BE- SW'!F$6:F$15)*VLOOKUP('TCO TO BE- SW'!F$2,MODULY_CBA!$B$3:$M$23,12,0),0),0)</f>
        <v>0</v>
      </c>
      <c r="G88" s="586">
        <f>IFERROR(IF(VLOOKUP(G$2,MODULY_CBA!$B$3:$N$23,13,0)&lt;='TCO TO BE- SW'!$D88,SUM('TCO TO BE- SW'!G$6:G$15)*VLOOKUP('TCO TO BE- SW'!G$2,MODULY_CBA!$B$3:$M$23,12,0),0),0)</f>
        <v>0</v>
      </c>
      <c r="H88" s="586">
        <f>IFERROR(IF(VLOOKUP(H$2,MODULY_CBA!$B$3:$N$23,13,0)&lt;='TCO TO BE- SW'!$D88,SUM('TCO TO BE- SW'!H$6:H$15)*VLOOKUP('TCO TO BE- SW'!H$2,MODULY_CBA!$B$3:$M$23,12,0),0),0)</f>
        <v>0</v>
      </c>
      <c r="I88" s="586">
        <f>IFERROR(IF(VLOOKUP(I$2,MODULY_CBA!$B$3:$N$23,13,0)&lt;='TCO TO BE- SW'!$D88,SUM('TCO TO BE- SW'!I$6:I$15)*VLOOKUP('TCO TO BE- SW'!I$2,MODULY_CBA!$B$3:$M$23,12,0),0),0)</f>
        <v>0</v>
      </c>
      <c r="J88" s="586">
        <f>IFERROR(IF(VLOOKUP(J$2,MODULY_CBA!$B$3:$N$23,13,0)&lt;='TCO TO BE- SW'!$D88,SUM('TCO TO BE- SW'!J$6:J$15)*VLOOKUP('TCO TO BE- SW'!J$2,MODULY_CBA!$B$3:$M$23,12,0),0),0)</f>
        <v>0</v>
      </c>
      <c r="K88" s="586">
        <f>IFERROR(IF(VLOOKUP(K$2,MODULY_CBA!$B$3:$N$23,13,0)&lt;='TCO TO BE- SW'!$D88,SUM('TCO TO BE- SW'!K$6:K$15)*VLOOKUP('TCO TO BE- SW'!K$2,MODULY_CBA!$B$3:$M$23,12,0),0),0)</f>
        <v>0</v>
      </c>
      <c r="L88" s="586">
        <f>IFERROR(IF(VLOOKUP(L$2,MODULY_CBA!$B$3:$N$23,13,0)&lt;='TCO TO BE- SW'!$D88,SUM('TCO TO BE- SW'!L$6:L$15)*VLOOKUP('TCO TO BE- SW'!L$2,MODULY_CBA!$B$3:$M$23,12,0),0),0)</f>
        <v>0</v>
      </c>
      <c r="M88" s="586">
        <f>IFERROR(IF(VLOOKUP(M$2,MODULY_CBA!$B$3:$N$23,13,0)&lt;='TCO TO BE- SW'!$D88,SUM('TCO TO BE- SW'!M$6:M$15)*VLOOKUP('TCO TO BE- SW'!M$2,MODULY_CBA!$B$3:$M$23,12,0),0),0)</f>
        <v>0</v>
      </c>
      <c r="N88" s="586">
        <f>IFERROR(IF(VLOOKUP(N$2,MODULY_CBA!$B$3:$N$23,13,0)&lt;='TCO TO BE- SW'!$D88,SUM('TCO TO BE- SW'!N$6:N$15)*VLOOKUP('TCO TO BE- SW'!N$2,MODULY_CBA!$B$3:$M$23,12,0),0),0)</f>
        <v>0</v>
      </c>
      <c r="O88" s="586">
        <f>IFERROR(IF(VLOOKUP(O$2,MODULY_CBA!$B$3:$N$23,13,0)&lt;='TCO TO BE- SW'!$D88,SUM('TCO TO BE- SW'!O$6:O$15)*VLOOKUP('TCO TO BE- SW'!O$2,MODULY_CBA!$B$3:$M$23,12,0),0),0)</f>
        <v>0</v>
      </c>
      <c r="P88" s="586">
        <f>IFERROR(IF(VLOOKUP(P$2,MODULY_CBA!$B$3:$N$23,13,0)&lt;='TCO TO BE- SW'!$D88,SUM('TCO TO BE- SW'!P$6:P$15)*VLOOKUP('TCO TO BE- SW'!P$2,MODULY_CBA!$B$3:$M$23,12,0),0),0)</f>
        <v>0</v>
      </c>
      <c r="Q88" s="586">
        <f>IFERROR(IF(VLOOKUP(Q$2,MODULY_CBA!$B$3:$N$23,13,0)&lt;='TCO TO BE- SW'!$D88,SUM('TCO TO BE- SW'!Q$6:Q$15)*VLOOKUP('TCO TO BE- SW'!Q$2,MODULY_CBA!$B$3:$M$23,12,0),0),0)</f>
        <v>0</v>
      </c>
      <c r="R88" s="586">
        <f>IFERROR(IF(VLOOKUP(R$2,MODULY_CBA!$B$3:$N$23,13,0)&lt;='TCO TO BE- SW'!$D88,SUM('TCO TO BE- SW'!R$6:R$15)*VLOOKUP('TCO TO BE- SW'!R$2,MODULY_CBA!$B$3:$M$23,12,0),0),0)</f>
        <v>0</v>
      </c>
      <c r="S88" s="586">
        <f>IFERROR(IF(VLOOKUP(S$2,MODULY_CBA!$B$3:$N$23,13,0)&lt;='TCO TO BE- SW'!$D88,SUM('TCO TO BE- SW'!S$6:S$15)*VLOOKUP('TCO TO BE- SW'!S$2,MODULY_CBA!$B$3:$M$23,12,0),0),0)</f>
        <v>0</v>
      </c>
      <c r="T88" s="586">
        <f>IFERROR(IF(VLOOKUP(T$2,MODULY_CBA!$B$3:$N$23,13,0)&lt;='TCO TO BE- SW'!$D88,SUM('TCO TO BE- SW'!T$6:T$15)*VLOOKUP('TCO TO BE- SW'!T$2,MODULY_CBA!$B$3:$M$23,12,0),0),0)</f>
        <v>0</v>
      </c>
      <c r="U88" s="586">
        <f>IFERROR(IF(VLOOKUP(U$2,MODULY_CBA!$B$3:$N$23,13,0)&lt;='TCO TO BE- SW'!$D88,SUM('TCO TO BE- SW'!U$6:U$15)*VLOOKUP('TCO TO BE- SW'!U$2,MODULY_CBA!$B$3:$M$23,12,0),0),0)</f>
        <v>0</v>
      </c>
      <c r="V88" s="586">
        <f>IFERROR(IF(VLOOKUP(V$2,MODULY_CBA!$B$3:$N$23,13,0)&lt;='TCO TO BE- SW'!$D88,SUM('TCO TO BE- SW'!V$6:V$15)*VLOOKUP('TCO TO BE- SW'!V$2,MODULY_CBA!$B$3:$M$23,12,0),0),0)</f>
        <v>0</v>
      </c>
      <c r="W88" s="586">
        <f>IFERROR(IF(VLOOKUP(W$2,MODULY_CBA!$B$3:$N$23,13,0)&lt;='TCO TO BE- SW'!$D88,SUM('TCO TO BE- SW'!W$6:W$15)*VLOOKUP('TCO TO BE- SW'!W$2,MODULY_CBA!$B$3:$M$23,12,0),0),0)</f>
        <v>0</v>
      </c>
      <c r="X88" s="586">
        <f>IFERROR(IF(VLOOKUP(X$2,MODULY_CBA!$B$3:$N$23,13,0)&lt;='TCO TO BE- SW'!$D88,SUM('TCO TO BE- SW'!X$6:X$15)*VLOOKUP('TCO TO BE- SW'!X$2,MODULY_CBA!$B$3:$M$23,12,0),0),0)</f>
        <v>0</v>
      </c>
      <c r="Y88" s="586">
        <f>IFERROR(IF(VLOOKUP(Y$2,MODULY_CBA!$B$3:$N$23,13,0)&lt;='TCO TO BE- SW'!$D88,SUM('TCO TO BE- SW'!Y$6:Y$15)*VLOOKUP('TCO TO BE- SW'!Y$2,MODULY_CBA!$B$3:$M$23,12,0),0),0)</f>
        <v>0</v>
      </c>
      <c r="Z88" s="586">
        <f>IFERROR(IF(VLOOKUP(Z$2,MODULY_CBA!$B$3:$N$23,13,0)&lt;='TCO TO BE- SW'!$D88,SUM('TCO TO BE- SW'!Z$6:Z$15)*VLOOKUP('TCO TO BE- SW'!Z$2,MODULY_CBA!$B$3:$M$23,12,0),0),0)</f>
        <v>0</v>
      </c>
    </row>
    <row r="89" spans="1:26" outlineLevel="2">
      <c r="A89" s="875" t="s">
        <v>80</v>
      </c>
      <c r="B89" s="876" t="s">
        <v>71</v>
      </c>
      <c r="C89" s="876">
        <v>718006</v>
      </c>
      <c r="D89" s="63">
        <v>1</v>
      </c>
      <c r="E89" s="61">
        <f t="shared" si="12"/>
        <v>0</v>
      </c>
      <c r="F89" s="587">
        <f>IFERROR(IF(VLOOKUP(F$2,MODULY_CBA!$B$3:$N$23,13,0)&lt;='TCO TO BE- SW'!$D89,SUM('TCO TO BE- SW'!F$6:F$15)*VLOOKUP('TCO TO BE- SW'!F$2,MODULY_CBA!$B$3:$L$23,11,0),0),0)</f>
        <v>0</v>
      </c>
      <c r="G89" s="587">
        <f>IFERROR(IF(VLOOKUP(G$2,MODULY_CBA!$B$3:$N$23,13,0)&lt;='TCO TO BE- SW'!$D89,SUM('TCO TO BE- SW'!G$6:G$15)*VLOOKUP('TCO TO BE- SW'!G$2,MODULY_CBA!$B$3:$L$23,11,0),0),0)</f>
        <v>0</v>
      </c>
      <c r="H89" s="587">
        <f>IFERROR(IF(VLOOKUP(H$2,MODULY_CBA!$B$3:$N$23,13,0)&lt;='TCO TO BE- SW'!$D89,SUM('TCO TO BE- SW'!H$6:H$15)*VLOOKUP('TCO TO BE- SW'!H$2,MODULY_CBA!$B$3:$L$23,11,0),0),0)</f>
        <v>0</v>
      </c>
      <c r="I89" s="587">
        <f>IFERROR(IF(VLOOKUP(I$2,MODULY_CBA!$B$3:$N$23,13,0)&lt;='TCO TO BE- SW'!$D89,SUM('TCO TO BE- SW'!I$6:I$15)*VLOOKUP('TCO TO BE- SW'!I$2,MODULY_CBA!$B$3:$L$23,11,0),0),0)</f>
        <v>0</v>
      </c>
      <c r="J89" s="587">
        <f>IFERROR(IF(VLOOKUP(J$2,MODULY_CBA!$B$3:$N$23,13,0)&lt;='TCO TO BE- SW'!$D89,SUM('TCO TO BE- SW'!J$6:J$15)*VLOOKUP('TCO TO BE- SW'!J$2,MODULY_CBA!$B$3:$L$23,11,0),0),0)</f>
        <v>0</v>
      </c>
      <c r="K89" s="587">
        <f>IFERROR(IF(VLOOKUP(K$2,MODULY_CBA!$B$3:$N$23,13,0)&lt;='TCO TO BE- SW'!$D89,SUM('TCO TO BE- SW'!K$6:K$15)*VLOOKUP('TCO TO BE- SW'!K$2,MODULY_CBA!$B$3:$L$23,11,0),0),0)</f>
        <v>0</v>
      </c>
      <c r="L89" s="587">
        <f>IFERROR(IF(VLOOKUP(L$2,MODULY_CBA!$B$3:$N$23,13,0)&lt;='TCO TO BE- SW'!$D89,SUM('TCO TO BE- SW'!L$6:L$15)*VLOOKUP('TCO TO BE- SW'!L$2,MODULY_CBA!$B$3:$L$23,11,0),0),0)</f>
        <v>0</v>
      </c>
      <c r="M89" s="587">
        <f>IFERROR(IF(VLOOKUP(M$2,MODULY_CBA!$B$3:$N$23,13,0)&lt;='TCO TO BE- SW'!$D89,SUM('TCO TO BE- SW'!M$6:M$15)*VLOOKUP('TCO TO BE- SW'!M$2,MODULY_CBA!$B$3:$L$23,11,0),0),0)</f>
        <v>0</v>
      </c>
      <c r="N89" s="587">
        <f>IFERROR(IF(VLOOKUP(N$2,MODULY_CBA!$B$3:$N$23,13,0)&lt;='TCO TO BE- SW'!$D89,SUM('TCO TO BE- SW'!N$6:N$15)*VLOOKUP('TCO TO BE- SW'!N$2,MODULY_CBA!$B$3:$L$23,11,0),0),0)</f>
        <v>0</v>
      </c>
      <c r="O89" s="587">
        <f>IFERROR(IF(VLOOKUP(O$2,MODULY_CBA!$B$3:$N$23,13,0)&lt;='TCO TO BE- SW'!$D89,SUM('TCO TO BE- SW'!O$6:O$15)*VLOOKUP('TCO TO BE- SW'!O$2,MODULY_CBA!$B$3:$L$23,11,0),0),0)</f>
        <v>0</v>
      </c>
      <c r="P89" s="587">
        <f>IFERROR(IF(VLOOKUP(P$2,MODULY_CBA!$B$3:$N$23,13,0)&lt;='TCO TO BE- SW'!$D89,SUM('TCO TO BE- SW'!P$6:P$15)*VLOOKUP('TCO TO BE- SW'!P$2,MODULY_CBA!$B$3:$L$23,11,0),0),0)</f>
        <v>0</v>
      </c>
      <c r="Q89" s="587">
        <f>IFERROR(IF(VLOOKUP(Q$2,MODULY_CBA!$B$3:$N$23,13,0)&lt;='TCO TO BE- SW'!$D89,SUM('TCO TO BE- SW'!Q$6:Q$15)*VLOOKUP('TCO TO BE- SW'!Q$2,MODULY_CBA!$B$3:$L$23,11,0),0),0)</f>
        <v>0</v>
      </c>
      <c r="R89" s="587">
        <f>IFERROR(IF(VLOOKUP(R$2,MODULY_CBA!$B$3:$N$23,13,0)&lt;='TCO TO BE- SW'!$D89,SUM('TCO TO BE- SW'!R$6:R$15)*VLOOKUP('TCO TO BE- SW'!R$2,MODULY_CBA!$B$3:$L$23,11,0),0),0)</f>
        <v>0</v>
      </c>
      <c r="S89" s="587">
        <f>IFERROR(IF(VLOOKUP(S$2,MODULY_CBA!$B$3:$N$23,13,0)&lt;='TCO TO BE- SW'!$D89,SUM('TCO TO BE- SW'!S$6:S$15)*VLOOKUP('TCO TO BE- SW'!S$2,MODULY_CBA!$B$3:$L$23,11,0),0),0)</f>
        <v>0</v>
      </c>
      <c r="T89" s="587">
        <f>IFERROR(IF(VLOOKUP(T$2,MODULY_CBA!$B$3:$N$23,13,0)&lt;='TCO TO BE- SW'!$D89,SUM('TCO TO BE- SW'!T$6:T$15)*VLOOKUP('TCO TO BE- SW'!T$2,MODULY_CBA!$B$3:$L$23,11,0),0),0)</f>
        <v>0</v>
      </c>
      <c r="U89" s="587">
        <f>IFERROR(IF(VLOOKUP(U$2,MODULY_CBA!$B$3:$N$23,13,0)&lt;='TCO TO BE- SW'!$D89,SUM('TCO TO BE- SW'!U$6:U$15)*VLOOKUP('TCO TO BE- SW'!U$2,MODULY_CBA!$B$3:$L$23,11,0),0),0)</f>
        <v>0</v>
      </c>
      <c r="V89" s="587">
        <f>IFERROR(IF(VLOOKUP(V$2,MODULY_CBA!$B$3:$N$23,13,0)&lt;='TCO TO BE- SW'!$D89,SUM('TCO TO BE- SW'!V$6:V$15)*VLOOKUP('TCO TO BE- SW'!V$2,MODULY_CBA!$B$3:$L$23,11,0),0),0)</f>
        <v>0</v>
      </c>
      <c r="W89" s="587">
        <f>IFERROR(IF(VLOOKUP(W$2,MODULY_CBA!$B$3:$N$23,13,0)&lt;='TCO TO BE- SW'!$D89,SUM('TCO TO BE- SW'!W$6:W$15)*VLOOKUP('TCO TO BE- SW'!W$2,MODULY_CBA!$B$3:$L$23,11,0),0),0)</f>
        <v>0</v>
      </c>
      <c r="X89" s="587">
        <f>IFERROR(IF(VLOOKUP(X$2,MODULY_CBA!$B$3:$N$23,13,0)&lt;='TCO TO BE- SW'!$D89,SUM('TCO TO BE- SW'!X$6:X$15)*VLOOKUP('TCO TO BE- SW'!X$2,MODULY_CBA!$B$3:$L$23,11,0),0),0)</f>
        <v>0</v>
      </c>
      <c r="Y89" s="587">
        <f>IFERROR(IF(VLOOKUP(Y$2,MODULY_CBA!$B$3:$N$23,13,0)&lt;='TCO TO BE- SW'!$D89,SUM('TCO TO BE- SW'!Y$6:Y$15)*VLOOKUP('TCO TO BE- SW'!Y$2,MODULY_CBA!$B$3:$L$23,11,0),0),0)</f>
        <v>0</v>
      </c>
      <c r="Z89" s="587">
        <f>IFERROR(IF(VLOOKUP(Z$2,MODULY_CBA!$B$3:$N$23,13,0)&lt;='TCO TO BE- SW'!$D89,SUM('TCO TO BE- SW'!Z$6:Z$15)*VLOOKUP('TCO TO BE- SW'!Z$2,MODULY_CBA!$B$3:$L$23,11,0),0),0)</f>
        <v>0</v>
      </c>
    </row>
    <row r="90" spans="1:26" outlineLevel="2">
      <c r="A90" s="875"/>
      <c r="B90" s="876"/>
      <c r="C90" s="876"/>
      <c r="D90" s="64">
        <v>2</v>
      </c>
      <c r="E90" s="61">
        <f t="shared" si="12"/>
        <v>0</v>
      </c>
      <c r="F90" s="586">
        <f>IFERROR(IF(VLOOKUP(F$2,MODULY_CBA!$B$3:$N$23,13,0)&lt;='TCO TO BE- SW'!$D90,SUM('TCO TO BE- SW'!F$6:F$15)*VLOOKUP('TCO TO BE- SW'!F$2,MODULY_CBA!$B$3:$L$23,11,0),0),0)</f>
        <v>0</v>
      </c>
      <c r="G90" s="586">
        <f>IFERROR(IF(VLOOKUP(G$2,MODULY_CBA!$B$3:$N$23,13,0)&lt;='TCO TO BE- SW'!$D90,SUM('TCO TO BE- SW'!G$6:G$15)*VLOOKUP('TCO TO BE- SW'!G$2,MODULY_CBA!$B$3:$L$23,11,0),0),0)</f>
        <v>0</v>
      </c>
      <c r="H90" s="586">
        <f>IFERROR(IF(VLOOKUP(H$2,MODULY_CBA!$B$3:$N$23,13,0)&lt;='TCO TO BE- SW'!$D90,SUM('TCO TO BE- SW'!H$6:H$15)*VLOOKUP('TCO TO BE- SW'!H$2,MODULY_CBA!$B$3:$L$23,11,0),0),0)</f>
        <v>0</v>
      </c>
      <c r="I90" s="586">
        <f>IFERROR(IF(VLOOKUP(I$2,MODULY_CBA!$B$3:$N$23,13,0)&lt;='TCO TO BE- SW'!$D90,SUM('TCO TO BE- SW'!I$6:I$15)*VLOOKUP('TCO TO BE- SW'!I$2,MODULY_CBA!$B$3:$L$23,11,0),0),0)</f>
        <v>0</v>
      </c>
      <c r="J90" s="586">
        <f>IFERROR(IF(VLOOKUP(J$2,MODULY_CBA!$B$3:$N$23,13,0)&lt;='TCO TO BE- SW'!$D90,SUM('TCO TO BE- SW'!J$6:J$15)*VLOOKUP('TCO TO BE- SW'!J$2,MODULY_CBA!$B$3:$L$23,11,0),0),0)</f>
        <v>0</v>
      </c>
      <c r="K90" s="586">
        <f>IFERROR(IF(VLOOKUP(K$2,MODULY_CBA!$B$3:$N$23,13,0)&lt;='TCO TO BE- SW'!$D90,SUM('TCO TO BE- SW'!K$6:K$15)*VLOOKUP('TCO TO BE- SW'!K$2,MODULY_CBA!$B$3:$L$23,11,0),0),0)</f>
        <v>0</v>
      </c>
      <c r="L90" s="586">
        <f>IFERROR(IF(VLOOKUP(L$2,MODULY_CBA!$B$3:$N$23,13,0)&lt;='TCO TO BE- SW'!$D90,SUM('TCO TO BE- SW'!L$6:L$15)*VLOOKUP('TCO TO BE- SW'!L$2,MODULY_CBA!$B$3:$L$23,11,0),0),0)</f>
        <v>0</v>
      </c>
      <c r="M90" s="586">
        <f>IFERROR(IF(VLOOKUP(M$2,MODULY_CBA!$B$3:$N$23,13,0)&lt;='TCO TO BE- SW'!$D90,SUM('TCO TO BE- SW'!M$6:M$15)*VLOOKUP('TCO TO BE- SW'!M$2,MODULY_CBA!$B$3:$L$23,11,0),0),0)</f>
        <v>0</v>
      </c>
      <c r="N90" s="586">
        <f>IFERROR(IF(VLOOKUP(N$2,MODULY_CBA!$B$3:$N$23,13,0)&lt;='TCO TO BE- SW'!$D90,SUM('TCO TO BE- SW'!N$6:N$15)*VLOOKUP('TCO TO BE- SW'!N$2,MODULY_CBA!$B$3:$L$23,11,0),0),0)</f>
        <v>0</v>
      </c>
      <c r="O90" s="586">
        <f>IFERROR(IF(VLOOKUP(O$2,MODULY_CBA!$B$3:$N$23,13,0)&lt;='TCO TO BE- SW'!$D90,SUM('TCO TO BE- SW'!O$6:O$15)*VLOOKUP('TCO TO BE- SW'!O$2,MODULY_CBA!$B$3:$L$23,11,0),0),0)</f>
        <v>0</v>
      </c>
      <c r="P90" s="586">
        <f>IFERROR(IF(VLOOKUP(P$2,MODULY_CBA!$B$3:$N$23,13,0)&lt;='TCO TO BE- SW'!$D90,SUM('TCO TO BE- SW'!P$6:P$15)*VLOOKUP('TCO TO BE- SW'!P$2,MODULY_CBA!$B$3:$L$23,11,0),0),0)</f>
        <v>0</v>
      </c>
      <c r="Q90" s="586">
        <f>IFERROR(IF(VLOOKUP(Q$2,MODULY_CBA!$B$3:$N$23,13,0)&lt;='TCO TO BE- SW'!$D90,SUM('TCO TO BE- SW'!Q$6:Q$15)*VLOOKUP('TCO TO BE- SW'!Q$2,MODULY_CBA!$B$3:$L$23,11,0),0),0)</f>
        <v>0</v>
      </c>
      <c r="R90" s="586">
        <f>IFERROR(IF(VLOOKUP(R$2,MODULY_CBA!$B$3:$N$23,13,0)&lt;='TCO TO BE- SW'!$D90,SUM('TCO TO BE- SW'!R$6:R$15)*VLOOKUP('TCO TO BE- SW'!R$2,MODULY_CBA!$B$3:$L$23,11,0),0),0)</f>
        <v>0</v>
      </c>
      <c r="S90" s="586">
        <f>IFERROR(IF(VLOOKUP(S$2,MODULY_CBA!$B$3:$N$23,13,0)&lt;='TCO TO BE- SW'!$D90,SUM('TCO TO BE- SW'!S$6:S$15)*VLOOKUP('TCO TO BE- SW'!S$2,MODULY_CBA!$B$3:$L$23,11,0),0),0)</f>
        <v>0</v>
      </c>
      <c r="T90" s="586">
        <f>IFERROR(IF(VLOOKUP(T$2,MODULY_CBA!$B$3:$N$23,13,0)&lt;='TCO TO BE- SW'!$D90,SUM('TCO TO BE- SW'!T$6:T$15)*VLOOKUP('TCO TO BE- SW'!T$2,MODULY_CBA!$B$3:$L$23,11,0),0),0)</f>
        <v>0</v>
      </c>
      <c r="U90" s="586">
        <f>IFERROR(IF(VLOOKUP(U$2,MODULY_CBA!$B$3:$N$23,13,0)&lt;='TCO TO BE- SW'!$D90,SUM('TCO TO BE- SW'!U$6:U$15)*VLOOKUP('TCO TO BE- SW'!U$2,MODULY_CBA!$B$3:$L$23,11,0),0),0)</f>
        <v>0</v>
      </c>
      <c r="V90" s="586">
        <f>IFERROR(IF(VLOOKUP(V$2,MODULY_CBA!$B$3:$N$23,13,0)&lt;='TCO TO BE- SW'!$D90,SUM('TCO TO BE- SW'!V$6:V$15)*VLOOKUP('TCO TO BE- SW'!V$2,MODULY_CBA!$B$3:$L$23,11,0),0),0)</f>
        <v>0</v>
      </c>
      <c r="W90" s="586">
        <f>IFERROR(IF(VLOOKUP(W$2,MODULY_CBA!$B$3:$N$23,13,0)&lt;='TCO TO BE- SW'!$D90,SUM('TCO TO BE- SW'!W$6:W$15)*VLOOKUP('TCO TO BE- SW'!W$2,MODULY_CBA!$B$3:$L$23,11,0),0),0)</f>
        <v>0</v>
      </c>
      <c r="X90" s="586">
        <f>IFERROR(IF(VLOOKUP(X$2,MODULY_CBA!$B$3:$N$23,13,0)&lt;='TCO TO BE- SW'!$D90,SUM('TCO TO BE- SW'!X$6:X$15)*VLOOKUP('TCO TO BE- SW'!X$2,MODULY_CBA!$B$3:$L$23,11,0),0),0)</f>
        <v>0</v>
      </c>
      <c r="Y90" s="586">
        <f>IFERROR(IF(VLOOKUP(Y$2,MODULY_CBA!$B$3:$N$23,13,0)&lt;='TCO TO BE- SW'!$D90,SUM('TCO TO BE- SW'!Y$6:Y$15)*VLOOKUP('TCO TO BE- SW'!Y$2,MODULY_CBA!$B$3:$L$23,11,0),0),0)</f>
        <v>0</v>
      </c>
      <c r="Z90" s="586">
        <f>IFERROR(IF(VLOOKUP(Z$2,MODULY_CBA!$B$3:$N$23,13,0)&lt;='TCO TO BE- SW'!$D90,SUM('TCO TO BE- SW'!Z$6:Z$15)*VLOOKUP('TCO TO BE- SW'!Z$2,MODULY_CBA!$B$3:$L$23,11,0),0),0)</f>
        <v>0</v>
      </c>
    </row>
    <row r="91" spans="1:26" outlineLevel="2">
      <c r="A91" s="875"/>
      <c r="B91" s="876"/>
      <c r="C91" s="876"/>
      <c r="D91" s="64">
        <v>3</v>
      </c>
      <c r="E91" s="61">
        <f t="shared" si="12"/>
        <v>0</v>
      </c>
      <c r="F91" s="586">
        <f>IFERROR(IF(VLOOKUP(F$2,MODULY_CBA!$B$3:$N$23,13,0)&lt;='TCO TO BE- SW'!$D91,SUM('TCO TO BE- SW'!F$6:F$15)*VLOOKUP('TCO TO BE- SW'!F$2,MODULY_CBA!$B$3:$L$23,11,0),0),0)</f>
        <v>0</v>
      </c>
      <c r="G91" s="586">
        <f>IFERROR(IF(VLOOKUP(G$2,MODULY_CBA!$B$3:$N$23,13,0)&lt;='TCO TO BE- SW'!$D91,SUM('TCO TO BE- SW'!G$6:G$15)*VLOOKUP('TCO TO BE- SW'!G$2,MODULY_CBA!$B$3:$L$23,11,0),0),0)</f>
        <v>0</v>
      </c>
      <c r="H91" s="586">
        <v>0</v>
      </c>
      <c r="I91" s="586">
        <f>IFERROR(IF(VLOOKUP(I$2,MODULY_CBA!$B$3:$N$23,13,0)&lt;='TCO TO BE- SW'!$D91,SUM('TCO TO BE- SW'!I$6:I$15)*VLOOKUP('TCO TO BE- SW'!I$2,MODULY_CBA!$B$3:$L$23,11,0),0),0)</f>
        <v>0</v>
      </c>
      <c r="J91" s="586">
        <f>IFERROR(IF(VLOOKUP(J$2,MODULY_CBA!$B$3:$N$23,13,0)&lt;='TCO TO BE- SW'!$D91,SUM('TCO TO BE- SW'!J$6:J$15)*VLOOKUP('TCO TO BE- SW'!J$2,MODULY_CBA!$B$3:$L$23,11,0),0),0)</f>
        <v>0</v>
      </c>
      <c r="K91" s="586">
        <f>IFERROR(IF(VLOOKUP(K$2,MODULY_CBA!$B$3:$N$23,13,0)&lt;='TCO TO BE- SW'!$D91,SUM('TCO TO BE- SW'!K$6:K$15)*VLOOKUP('TCO TO BE- SW'!K$2,MODULY_CBA!$B$3:$L$23,11,0),0),0)</f>
        <v>0</v>
      </c>
      <c r="L91" s="586">
        <f>IFERROR(IF(VLOOKUP(L$2,MODULY_CBA!$B$3:$N$23,13,0)&lt;='TCO TO BE- SW'!$D91,SUM('TCO TO BE- SW'!L$6:L$15)*VLOOKUP('TCO TO BE- SW'!L$2,MODULY_CBA!$B$3:$L$23,11,0),0),0)</f>
        <v>0</v>
      </c>
      <c r="M91" s="586">
        <f>IFERROR(IF(VLOOKUP(M$2,MODULY_CBA!$B$3:$N$23,13,0)&lt;='TCO TO BE- SW'!$D91,SUM('TCO TO BE- SW'!M$6:M$15)*VLOOKUP('TCO TO BE- SW'!M$2,MODULY_CBA!$B$3:$L$23,11,0),0),0)</f>
        <v>0</v>
      </c>
      <c r="N91" s="586">
        <f>IFERROR(IF(VLOOKUP(N$2,MODULY_CBA!$B$3:$N$23,13,0)&lt;='TCO TO BE- SW'!$D91,SUM('TCO TO BE- SW'!N$6:N$15)*VLOOKUP('TCO TO BE- SW'!N$2,MODULY_CBA!$B$3:$L$23,11,0),0),0)</f>
        <v>0</v>
      </c>
      <c r="O91" s="586">
        <f>IFERROR(IF(VLOOKUP(O$2,MODULY_CBA!$B$3:$N$23,13,0)&lt;='TCO TO BE- SW'!$D91,SUM('TCO TO BE- SW'!O$6:O$15)*VLOOKUP('TCO TO BE- SW'!O$2,MODULY_CBA!$B$3:$L$23,11,0),0),0)</f>
        <v>0</v>
      </c>
      <c r="P91" s="586">
        <f>IFERROR(IF(VLOOKUP(P$2,MODULY_CBA!$B$3:$N$23,13,0)&lt;='TCO TO BE- SW'!$D91,SUM('TCO TO BE- SW'!P$6:P$15)*VLOOKUP('TCO TO BE- SW'!P$2,MODULY_CBA!$B$3:$L$23,11,0),0),0)</f>
        <v>0</v>
      </c>
      <c r="Q91" s="586">
        <f>IFERROR(IF(VLOOKUP(Q$2,MODULY_CBA!$B$3:$N$23,13,0)&lt;='TCO TO BE- SW'!$D91,SUM('TCO TO BE- SW'!Q$6:Q$15)*VLOOKUP('TCO TO BE- SW'!Q$2,MODULY_CBA!$B$3:$L$23,11,0),0),0)</f>
        <v>0</v>
      </c>
      <c r="R91" s="586">
        <f>IFERROR(IF(VLOOKUP(R$2,MODULY_CBA!$B$3:$N$23,13,0)&lt;='TCO TO BE- SW'!$D91,SUM('TCO TO BE- SW'!R$6:R$15)*VLOOKUP('TCO TO BE- SW'!R$2,MODULY_CBA!$B$3:$L$23,11,0),0),0)</f>
        <v>0</v>
      </c>
      <c r="S91" s="586">
        <f>IFERROR(IF(VLOOKUP(S$2,MODULY_CBA!$B$3:$N$23,13,0)&lt;='TCO TO BE- SW'!$D91,SUM('TCO TO BE- SW'!S$6:S$15)*VLOOKUP('TCO TO BE- SW'!S$2,MODULY_CBA!$B$3:$L$23,11,0),0),0)</f>
        <v>0</v>
      </c>
      <c r="T91" s="586">
        <f>IFERROR(IF(VLOOKUP(T$2,MODULY_CBA!$B$3:$N$23,13,0)&lt;='TCO TO BE- SW'!$D91,SUM('TCO TO BE- SW'!T$6:T$15)*VLOOKUP('TCO TO BE- SW'!T$2,MODULY_CBA!$B$3:$L$23,11,0),0),0)</f>
        <v>0</v>
      </c>
      <c r="U91" s="586">
        <f>IFERROR(IF(VLOOKUP(U$2,MODULY_CBA!$B$3:$N$23,13,0)&lt;='TCO TO BE- SW'!$D91,SUM('TCO TO BE- SW'!U$6:U$15)*VLOOKUP('TCO TO BE- SW'!U$2,MODULY_CBA!$B$3:$L$23,11,0),0),0)</f>
        <v>0</v>
      </c>
      <c r="V91" s="586">
        <f>IFERROR(IF(VLOOKUP(V$2,MODULY_CBA!$B$3:$N$23,13,0)&lt;='TCO TO BE- SW'!$D91,SUM('TCO TO BE- SW'!V$6:V$15)*VLOOKUP('TCO TO BE- SW'!V$2,MODULY_CBA!$B$3:$L$23,11,0),0),0)</f>
        <v>0</v>
      </c>
      <c r="W91" s="586">
        <f>IFERROR(IF(VLOOKUP(W$2,MODULY_CBA!$B$3:$N$23,13,0)&lt;='TCO TO BE- SW'!$D91,SUM('TCO TO BE- SW'!W$6:W$15)*VLOOKUP('TCO TO BE- SW'!W$2,MODULY_CBA!$B$3:$L$23,11,0),0),0)</f>
        <v>0</v>
      </c>
      <c r="X91" s="586">
        <f>IFERROR(IF(VLOOKUP(X$2,MODULY_CBA!$B$3:$N$23,13,0)&lt;='TCO TO BE- SW'!$D91,SUM('TCO TO BE- SW'!X$6:X$15)*VLOOKUP('TCO TO BE- SW'!X$2,MODULY_CBA!$B$3:$L$23,11,0),0),0)</f>
        <v>0</v>
      </c>
      <c r="Y91" s="586">
        <f>IFERROR(IF(VLOOKUP(Y$2,MODULY_CBA!$B$3:$N$23,13,0)&lt;='TCO TO BE- SW'!$D91,SUM('TCO TO BE- SW'!Y$6:Y$15)*VLOOKUP('TCO TO BE- SW'!Y$2,MODULY_CBA!$B$3:$L$23,11,0),0),0)</f>
        <v>0</v>
      </c>
      <c r="Z91" s="586">
        <f>IFERROR(IF(VLOOKUP(Z$2,MODULY_CBA!$B$3:$N$23,13,0)&lt;='TCO TO BE- SW'!$D91,SUM('TCO TO BE- SW'!Z$6:Z$15)*VLOOKUP('TCO TO BE- SW'!Z$2,MODULY_CBA!$B$3:$L$23,11,0),0),0)</f>
        <v>0</v>
      </c>
    </row>
    <row r="92" spans="1:26" outlineLevel="2">
      <c r="A92" s="875"/>
      <c r="B92" s="876"/>
      <c r="C92" s="876"/>
      <c r="D92" s="64">
        <v>4</v>
      </c>
      <c r="E92" s="61">
        <f t="shared" si="12"/>
        <v>0</v>
      </c>
      <c r="F92" s="586">
        <f>IFERROR(IF(VLOOKUP(F$2,MODULY_CBA!$B$3:$N$23,13,0)&lt;='TCO TO BE- SW'!$D92,SUM('TCO TO BE- SW'!F$6:F$15)*VLOOKUP('TCO TO BE- SW'!F$2,MODULY_CBA!$B$3:$L$23,11,0),0),0)</f>
        <v>0</v>
      </c>
      <c r="G92" s="586">
        <f>IFERROR(IF(VLOOKUP(G$2,MODULY_CBA!$B$3:$N$23,13,0)&lt;='TCO TO BE- SW'!$D92,SUM('TCO TO BE- SW'!G$6:G$15)*VLOOKUP('TCO TO BE- SW'!G$2,MODULY_CBA!$B$3:$L$23,11,0),0),0)</f>
        <v>0</v>
      </c>
      <c r="H92" s="586">
        <v>0</v>
      </c>
      <c r="I92" s="586">
        <f>IFERROR(IF(VLOOKUP(I$2,MODULY_CBA!$B$3:$N$23,13,0)&lt;='TCO TO BE- SW'!$D92,SUM('TCO TO BE- SW'!I$6:I$15)*VLOOKUP('TCO TO BE- SW'!I$2,MODULY_CBA!$B$3:$L$23,11,0),0),0)</f>
        <v>0</v>
      </c>
      <c r="J92" s="586">
        <f>IFERROR(IF(VLOOKUP(J$2,MODULY_CBA!$B$3:$N$23,13,0)&lt;='TCO TO BE- SW'!$D92,SUM('TCO TO BE- SW'!J$6:J$15)*VLOOKUP('TCO TO BE- SW'!J$2,MODULY_CBA!$B$3:$L$23,11,0),0),0)</f>
        <v>0</v>
      </c>
      <c r="K92" s="586">
        <f>IFERROR(IF(VLOOKUP(K$2,MODULY_CBA!$B$3:$N$23,13,0)&lt;='TCO TO BE- SW'!$D92,SUM('TCO TO BE- SW'!K$6:K$15)*VLOOKUP('TCO TO BE- SW'!K$2,MODULY_CBA!$B$3:$L$23,11,0),0),0)</f>
        <v>0</v>
      </c>
      <c r="L92" s="586">
        <f>IFERROR(IF(VLOOKUP(L$2,MODULY_CBA!$B$3:$N$23,13,0)&lt;='TCO TO BE- SW'!$D92,SUM('TCO TO BE- SW'!L$6:L$15)*VLOOKUP('TCO TO BE- SW'!L$2,MODULY_CBA!$B$3:$L$23,11,0),0),0)</f>
        <v>0</v>
      </c>
      <c r="M92" s="586">
        <f>IFERROR(IF(VLOOKUP(M$2,MODULY_CBA!$B$3:$N$23,13,0)&lt;='TCO TO BE- SW'!$D92,SUM('TCO TO BE- SW'!M$6:M$15)*VLOOKUP('TCO TO BE- SW'!M$2,MODULY_CBA!$B$3:$L$23,11,0),0),0)</f>
        <v>0</v>
      </c>
      <c r="N92" s="586">
        <f>IFERROR(IF(VLOOKUP(N$2,MODULY_CBA!$B$3:$N$23,13,0)&lt;='TCO TO BE- SW'!$D92,SUM('TCO TO BE- SW'!N$6:N$15)*VLOOKUP('TCO TO BE- SW'!N$2,MODULY_CBA!$B$3:$L$23,11,0),0),0)</f>
        <v>0</v>
      </c>
      <c r="O92" s="586">
        <f>IFERROR(IF(VLOOKUP(O$2,MODULY_CBA!$B$3:$N$23,13,0)&lt;='TCO TO BE- SW'!$D92,SUM('TCO TO BE- SW'!O$6:O$15)*VLOOKUP('TCO TO BE- SW'!O$2,MODULY_CBA!$B$3:$L$23,11,0),0),0)</f>
        <v>0</v>
      </c>
      <c r="P92" s="586">
        <f>IFERROR(IF(VLOOKUP(P$2,MODULY_CBA!$B$3:$N$23,13,0)&lt;='TCO TO BE- SW'!$D92,SUM('TCO TO BE- SW'!P$6:P$15)*VLOOKUP('TCO TO BE- SW'!P$2,MODULY_CBA!$B$3:$L$23,11,0),0),0)</f>
        <v>0</v>
      </c>
      <c r="Q92" s="586">
        <f>IFERROR(IF(VLOOKUP(Q$2,MODULY_CBA!$B$3:$N$23,13,0)&lt;='TCO TO BE- SW'!$D92,SUM('TCO TO BE- SW'!Q$6:Q$15)*VLOOKUP('TCO TO BE- SW'!Q$2,MODULY_CBA!$B$3:$L$23,11,0),0),0)</f>
        <v>0</v>
      </c>
      <c r="R92" s="586">
        <f>IFERROR(IF(VLOOKUP(R$2,MODULY_CBA!$B$3:$N$23,13,0)&lt;='TCO TO BE- SW'!$D92,SUM('TCO TO BE- SW'!R$6:R$15)*VLOOKUP('TCO TO BE- SW'!R$2,MODULY_CBA!$B$3:$L$23,11,0),0),0)</f>
        <v>0</v>
      </c>
      <c r="S92" s="586">
        <f>IFERROR(IF(VLOOKUP(S$2,MODULY_CBA!$B$3:$N$23,13,0)&lt;='TCO TO BE- SW'!$D92,SUM('TCO TO BE- SW'!S$6:S$15)*VLOOKUP('TCO TO BE- SW'!S$2,MODULY_CBA!$B$3:$L$23,11,0),0),0)</f>
        <v>0</v>
      </c>
      <c r="T92" s="586">
        <f>IFERROR(IF(VLOOKUP(T$2,MODULY_CBA!$B$3:$N$23,13,0)&lt;='TCO TO BE- SW'!$D92,SUM('TCO TO BE- SW'!T$6:T$15)*VLOOKUP('TCO TO BE- SW'!T$2,MODULY_CBA!$B$3:$L$23,11,0),0),0)</f>
        <v>0</v>
      </c>
      <c r="U92" s="586">
        <f>IFERROR(IF(VLOOKUP(U$2,MODULY_CBA!$B$3:$N$23,13,0)&lt;='TCO TO BE- SW'!$D92,SUM('TCO TO BE- SW'!U$6:U$15)*VLOOKUP('TCO TO BE- SW'!U$2,MODULY_CBA!$B$3:$L$23,11,0),0),0)</f>
        <v>0</v>
      </c>
      <c r="V92" s="586">
        <f>IFERROR(IF(VLOOKUP(V$2,MODULY_CBA!$B$3:$N$23,13,0)&lt;='TCO TO BE- SW'!$D92,SUM('TCO TO BE- SW'!V$6:V$15)*VLOOKUP('TCO TO BE- SW'!V$2,MODULY_CBA!$B$3:$L$23,11,0),0),0)</f>
        <v>0</v>
      </c>
      <c r="W92" s="586">
        <f>IFERROR(IF(VLOOKUP(W$2,MODULY_CBA!$B$3:$N$23,13,0)&lt;='TCO TO BE- SW'!$D92,SUM('TCO TO BE- SW'!W$6:W$15)*VLOOKUP('TCO TO BE- SW'!W$2,MODULY_CBA!$B$3:$L$23,11,0),0),0)</f>
        <v>0</v>
      </c>
      <c r="X92" s="586">
        <f>IFERROR(IF(VLOOKUP(X$2,MODULY_CBA!$B$3:$N$23,13,0)&lt;='TCO TO BE- SW'!$D92,SUM('TCO TO BE- SW'!X$6:X$15)*VLOOKUP('TCO TO BE- SW'!X$2,MODULY_CBA!$B$3:$L$23,11,0),0),0)</f>
        <v>0</v>
      </c>
      <c r="Y92" s="586">
        <f>IFERROR(IF(VLOOKUP(Y$2,MODULY_CBA!$B$3:$N$23,13,0)&lt;='TCO TO BE- SW'!$D92,SUM('TCO TO BE- SW'!Y$6:Y$15)*VLOOKUP('TCO TO BE- SW'!Y$2,MODULY_CBA!$B$3:$L$23,11,0),0),0)</f>
        <v>0</v>
      </c>
      <c r="Z92" s="586">
        <f>IFERROR(IF(VLOOKUP(Z$2,MODULY_CBA!$B$3:$N$23,13,0)&lt;='TCO TO BE- SW'!$D92,SUM('TCO TO BE- SW'!Z$6:Z$15)*VLOOKUP('TCO TO BE- SW'!Z$2,MODULY_CBA!$B$3:$L$23,11,0),0),0)</f>
        <v>0</v>
      </c>
    </row>
    <row r="93" spans="1:26" outlineLevel="2">
      <c r="A93" s="875"/>
      <c r="B93" s="876"/>
      <c r="C93" s="876"/>
      <c r="D93" s="64">
        <v>5</v>
      </c>
      <c r="E93" s="61">
        <f t="shared" si="12"/>
        <v>0</v>
      </c>
      <c r="F93" s="586">
        <f>IFERROR(IF(VLOOKUP(F$2,MODULY_CBA!$B$3:$N$23,13,0)&lt;='TCO TO BE- SW'!$D93,SUM('TCO TO BE- SW'!F$6:F$15)*VLOOKUP('TCO TO BE- SW'!F$2,MODULY_CBA!$B$3:$L$23,11,0),0),0)</f>
        <v>0</v>
      </c>
      <c r="G93" s="586">
        <f>IFERROR(IF(VLOOKUP(G$2,MODULY_CBA!$B$3:$N$23,13,0)&lt;='TCO TO BE- SW'!$D93,SUM('TCO TO BE- SW'!G$6:G$15)*VLOOKUP('TCO TO BE- SW'!G$2,MODULY_CBA!$B$3:$L$23,11,0),0),0)</f>
        <v>0</v>
      </c>
      <c r="H93" s="586">
        <v>0</v>
      </c>
      <c r="I93" s="586">
        <f>IFERROR(IF(VLOOKUP(I$2,MODULY_CBA!$B$3:$N$23,13,0)&lt;='TCO TO BE- SW'!$D93,SUM('TCO TO BE- SW'!I$6:I$15)*VLOOKUP('TCO TO BE- SW'!I$2,MODULY_CBA!$B$3:$L$23,11,0),0),0)</f>
        <v>0</v>
      </c>
      <c r="J93" s="586">
        <f>IFERROR(IF(VLOOKUP(J$2,MODULY_CBA!$B$3:$N$23,13,0)&lt;='TCO TO BE- SW'!$D93,SUM('TCO TO BE- SW'!J$6:J$15)*VLOOKUP('TCO TO BE- SW'!J$2,MODULY_CBA!$B$3:$L$23,11,0),0),0)</f>
        <v>0</v>
      </c>
      <c r="K93" s="586">
        <f>IFERROR(IF(VLOOKUP(K$2,MODULY_CBA!$B$3:$N$23,13,0)&lt;='TCO TO BE- SW'!$D93,SUM('TCO TO BE- SW'!K$6:K$15)*VLOOKUP('TCO TO BE- SW'!K$2,MODULY_CBA!$B$3:$L$23,11,0),0),0)</f>
        <v>0</v>
      </c>
      <c r="L93" s="586">
        <f>IFERROR(IF(VLOOKUP(L$2,MODULY_CBA!$B$3:$N$23,13,0)&lt;='TCO TO BE- SW'!$D93,SUM('TCO TO BE- SW'!L$6:L$15)*VLOOKUP('TCO TO BE- SW'!L$2,MODULY_CBA!$B$3:$L$23,11,0),0),0)</f>
        <v>0</v>
      </c>
      <c r="M93" s="586">
        <f>IFERROR(IF(VLOOKUP(M$2,MODULY_CBA!$B$3:$N$23,13,0)&lt;='TCO TO BE- SW'!$D93,SUM('TCO TO BE- SW'!M$6:M$15)*VLOOKUP('TCO TO BE- SW'!M$2,MODULY_CBA!$B$3:$L$23,11,0),0),0)</f>
        <v>0</v>
      </c>
      <c r="N93" s="586">
        <f>IFERROR(IF(VLOOKUP(N$2,MODULY_CBA!$B$3:$N$23,13,0)&lt;='TCO TO BE- SW'!$D93,SUM('TCO TO BE- SW'!N$6:N$15)*VLOOKUP('TCO TO BE- SW'!N$2,MODULY_CBA!$B$3:$L$23,11,0),0),0)</f>
        <v>0</v>
      </c>
      <c r="O93" s="586">
        <f>IFERROR(IF(VLOOKUP(O$2,MODULY_CBA!$B$3:$N$23,13,0)&lt;='TCO TO BE- SW'!$D93,SUM('TCO TO BE- SW'!O$6:O$15)*VLOOKUP('TCO TO BE- SW'!O$2,MODULY_CBA!$B$3:$L$23,11,0),0),0)</f>
        <v>0</v>
      </c>
      <c r="P93" s="586">
        <f>IFERROR(IF(VLOOKUP(P$2,MODULY_CBA!$B$3:$N$23,13,0)&lt;='TCO TO BE- SW'!$D93,SUM('TCO TO BE- SW'!P$6:P$15)*VLOOKUP('TCO TO BE- SW'!P$2,MODULY_CBA!$B$3:$L$23,11,0),0),0)</f>
        <v>0</v>
      </c>
      <c r="Q93" s="586">
        <f>IFERROR(IF(VLOOKUP(Q$2,MODULY_CBA!$B$3:$N$23,13,0)&lt;='TCO TO BE- SW'!$D93,SUM('TCO TO BE- SW'!Q$6:Q$15)*VLOOKUP('TCO TO BE- SW'!Q$2,MODULY_CBA!$B$3:$L$23,11,0),0),0)</f>
        <v>0</v>
      </c>
      <c r="R93" s="586">
        <f>IFERROR(IF(VLOOKUP(R$2,MODULY_CBA!$B$3:$N$23,13,0)&lt;='TCO TO BE- SW'!$D93,SUM('TCO TO BE- SW'!R$6:R$15)*VLOOKUP('TCO TO BE- SW'!R$2,MODULY_CBA!$B$3:$L$23,11,0),0),0)</f>
        <v>0</v>
      </c>
      <c r="S93" s="586">
        <f>IFERROR(IF(VLOOKUP(S$2,MODULY_CBA!$B$3:$N$23,13,0)&lt;='TCO TO BE- SW'!$D93,SUM('TCO TO BE- SW'!S$6:S$15)*VLOOKUP('TCO TO BE- SW'!S$2,MODULY_CBA!$B$3:$L$23,11,0),0),0)</f>
        <v>0</v>
      </c>
      <c r="T93" s="586">
        <f>IFERROR(IF(VLOOKUP(T$2,MODULY_CBA!$B$3:$N$23,13,0)&lt;='TCO TO BE- SW'!$D93,SUM('TCO TO BE- SW'!T$6:T$15)*VLOOKUP('TCO TO BE- SW'!T$2,MODULY_CBA!$B$3:$L$23,11,0),0),0)</f>
        <v>0</v>
      </c>
      <c r="U93" s="586">
        <f>IFERROR(IF(VLOOKUP(U$2,MODULY_CBA!$B$3:$N$23,13,0)&lt;='TCO TO BE- SW'!$D93,SUM('TCO TO BE- SW'!U$6:U$15)*VLOOKUP('TCO TO BE- SW'!U$2,MODULY_CBA!$B$3:$L$23,11,0),0),0)</f>
        <v>0</v>
      </c>
      <c r="V93" s="586">
        <f>IFERROR(IF(VLOOKUP(V$2,MODULY_CBA!$B$3:$N$23,13,0)&lt;='TCO TO BE- SW'!$D93,SUM('TCO TO BE- SW'!V$6:V$15)*VLOOKUP('TCO TO BE- SW'!V$2,MODULY_CBA!$B$3:$L$23,11,0),0),0)</f>
        <v>0</v>
      </c>
      <c r="W93" s="586">
        <f>IFERROR(IF(VLOOKUP(W$2,MODULY_CBA!$B$3:$N$23,13,0)&lt;='TCO TO BE- SW'!$D93,SUM('TCO TO BE- SW'!W$6:W$15)*VLOOKUP('TCO TO BE- SW'!W$2,MODULY_CBA!$B$3:$L$23,11,0),0),0)</f>
        <v>0</v>
      </c>
      <c r="X93" s="586">
        <f>IFERROR(IF(VLOOKUP(X$2,MODULY_CBA!$B$3:$N$23,13,0)&lt;='TCO TO BE- SW'!$D93,SUM('TCO TO BE- SW'!X$6:X$15)*VLOOKUP('TCO TO BE- SW'!X$2,MODULY_CBA!$B$3:$L$23,11,0),0),0)</f>
        <v>0</v>
      </c>
      <c r="Y93" s="586">
        <f>IFERROR(IF(VLOOKUP(Y$2,MODULY_CBA!$B$3:$N$23,13,0)&lt;='TCO TO BE- SW'!$D93,SUM('TCO TO BE- SW'!Y$6:Y$15)*VLOOKUP('TCO TO BE- SW'!Y$2,MODULY_CBA!$B$3:$L$23,11,0),0),0)</f>
        <v>0</v>
      </c>
      <c r="Z93" s="586">
        <f>IFERROR(IF(VLOOKUP(Z$2,MODULY_CBA!$B$3:$N$23,13,0)&lt;='TCO TO BE- SW'!$D93,SUM('TCO TO BE- SW'!Z$6:Z$15)*VLOOKUP('TCO TO BE- SW'!Z$2,MODULY_CBA!$B$3:$L$23,11,0),0),0)</f>
        <v>0</v>
      </c>
    </row>
    <row r="94" spans="1:26" outlineLevel="2">
      <c r="A94" s="875"/>
      <c r="B94" s="876"/>
      <c r="C94" s="876"/>
      <c r="D94" s="64">
        <v>6</v>
      </c>
      <c r="E94" s="61">
        <f t="shared" si="12"/>
        <v>0</v>
      </c>
      <c r="F94" s="586">
        <f>IFERROR(IF(VLOOKUP(F$2,MODULY_CBA!$B$3:$N$23,13,0)&lt;='TCO TO BE- SW'!$D94,SUM('TCO TO BE- SW'!F$6:F$15)*VLOOKUP('TCO TO BE- SW'!F$2,MODULY_CBA!$B$3:$L$23,11,0),0),0)</f>
        <v>0</v>
      </c>
      <c r="G94" s="586">
        <f>IFERROR(IF(VLOOKUP(G$2,MODULY_CBA!$B$3:$N$23,13,0)&lt;='TCO TO BE- SW'!$D94,SUM('TCO TO BE- SW'!G$6:G$15)*VLOOKUP('TCO TO BE- SW'!G$2,MODULY_CBA!$B$3:$L$23,11,0),0),0)</f>
        <v>0</v>
      </c>
      <c r="H94" s="586">
        <v>0</v>
      </c>
      <c r="I94" s="586">
        <f>IFERROR(IF(VLOOKUP(I$2,MODULY_CBA!$B$3:$N$23,13,0)&lt;='TCO TO BE- SW'!$D94,SUM('TCO TO BE- SW'!I$6:I$15)*VLOOKUP('TCO TO BE- SW'!I$2,MODULY_CBA!$B$3:$L$23,11,0),0),0)</f>
        <v>0</v>
      </c>
      <c r="J94" s="586">
        <f>IFERROR(IF(VLOOKUP(J$2,MODULY_CBA!$B$3:$N$23,13,0)&lt;='TCO TO BE- SW'!$D94,SUM('TCO TO BE- SW'!J$6:J$15)*VLOOKUP('TCO TO BE- SW'!J$2,MODULY_CBA!$B$3:$L$23,11,0),0),0)</f>
        <v>0</v>
      </c>
      <c r="K94" s="586">
        <f>IFERROR(IF(VLOOKUP(K$2,MODULY_CBA!$B$3:$N$23,13,0)&lt;='TCO TO BE- SW'!$D94,SUM('TCO TO BE- SW'!K$6:K$15)*VLOOKUP('TCO TO BE- SW'!K$2,MODULY_CBA!$B$3:$L$23,11,0),0),0)</f>
        <v>0</v>
      </c>
      <c r="L94" s="586">
        <f>IFERROR(IF(VLOOKUP(L$2,MODULY_CBA!$B$3:$N$23,13,0)&lt;='TCO TO BE- SW'!$D94,SUM('TCO TO BE- SW'!L$6:L$15)*VLOOKUP('TCO TO BE- SW'!L$2,MODULY_CBA!$B$3:$L$23,11,0),0),0)</f>
        <v>0</v>
      </c>
      <c r="M94" s="586">
        <f>IFERROR(IF(VLOOKUP(M$2,MODULY_CBA!$B$3:$N$23,13,0)&lt;='TCO TO BE- SW'!$D94,SUM('TCO TO BE- SW'!M$6:M$15)*VLOOKUP('TCO TO BE- SW'!M$2,MODULY_CBA!$B$3:$L$23,11,0),0),0)</f>
        <v>0</v>
      </c>
      <c r="N94" s="586">
        <f>IFERROR(IF(VLOOKUP(N$2,MODULY_CBA!$B$3:$N$23,13,0)&lt;='TCO TO BE- SW'!$D94,SUM('TCO TO BE- SW'!N$6:N$15)*VLOOKUP('TCO TO BE- SW'!N$2,MODULY_CBA!$B$3:$L$23,11,0),0),0)</f>
        <v>0</v>
      </c>
      <c r="O94" s="586">
        <f>IFERROR(IF(VLOOKUP(O$2,MODULY_CBA!$B$3:$N$23,13,0)&lt;='TCO TO BE- SW'!$D94,SUM('TCO TO BE- SW'!O$6:O$15)*VLOOKUP('TCO TO BE- SW'!O$2,MODULY_CBA!$B$3:$L$23,11,0),0),0)</f>
        <v>0</v>
      </c>
      <c r="P94" s="586">
        <f>IFERROR(IF(VLOOKUP(P$2,MODULY_CBA!$B$3:$N$23,13,0)&lt;='TCO TO BE- SW'!$D94,SUM('TCO TO BE- SW'!P$6:P$15)*VLOOKUP('TCO TO BE- SW'!P$2,MODULY_CBA!$B$3:$L$23,11,0),0),0)</f>
        <v>0</v>
      </c>
      <c r="Q94" s="586">
        <f>IFERROR(IF(VLOOKUP(Q$2,MODULY_CBA!$B$3:$N$23,13,0)&lt;='TCO TO BE- SW'!$D94,SUM('TCO TO BE- SW'!Q$6:Q$15)*VLOOKUP('TCO TO BE- SW'!Q$2,MODULY_CBA!$B$3:$L$23,11,0),0),0)</f>
        <v>0</v>
      </c>
      <c r="R94" s="586">
        <f>IFERROR(IF(VLOOKUP(R$2,MODULY_CBA!$B$3:$N$23,13,0)&lt;='TCO TO BE- SW'!$D94,SUM('TCO TO BE- SW'!R$6:R$15)*VLOOKUP('TCO TO BE- SW'!R$2,MODULY_CBA!$B$3:$L$23,11,0),0),0)</f>
        <v>0</v>
      </c>
      <c r="S94" s="586">
        <f>IFERROR(IF(VLOOKUP(S$2,MODULY_CBA!$B$3:$N$23,13,0)&lt;='TCO TO BE- SW'!$D94,SUM('TCO TO BE- SW'!S$6:S$15)*VLOOKUP('TCO TO BE- SW'!S$2,MODULY_CBA!$B$3:$L$23,11,0),0),0)</f>
        <v>0</v>
      </c>
      <c r="T94" s="586">
        <f>IFERROR(IF(VLOOKUP(T$2,MODULY_CBA!$B$3:$N$23,13,0)&lt;='TCO TO BE- SW'!$D94,SUM('TCO TO BE- SW'!T$6:T$15)*VLOOKUP('TCO TO BE- SW'!T$2,MODULY_CBA!$B$3:$L$23,11,0),0),0)</f>
        <v>0</v>
      </c>
      <c r="U94" s="586">
        <f>IFERROR(IF(VLOOKUP(U$2,MODULY_CBA!$B$3:$N$23,13,0)&lt;='TCO TO BE- SW'!$D94,SUM('TCO TO BE- SW'!U$6:U$15)*VLOOKUP('TCO TO BE- SW'!U$2,MODULY_CBA!$B$3:$L$23,11,0),0),0)</f>
        <v>0</v>
      </c>
      <c r="V94" s="586">
        <f>IFERROR(IF(VLOOKUP(V$2,MODULY_CBA!$B$3:$N$23,13,0)&lt;='TCO TO BE- SW'!$D94,SUM('TCO TO BE- SW'!V$6:V$15)*VLOOKUP('TCO TO BE- SW'!V$2,MODULY_CBA!$B$3:$L$23,11,0),0),0)</f>
        <v>0</v>
      </c>
      <c r="W94" s="586">
        <f>IFERROR(IF(VLOOKUP(W$2,MODULY_CBA!$B$3:$N$23,13,0)&lt;='TCO TO BE- SW'!$D94,SUM('TCO TO BE- SW'!W$6:W$15)*VLOOKUP('TCO TO BE- SW'!W$2,MODULY_CBA!$B$3:$L$23,11,0),0),0)</f>
        <v>0</v>
      </c>
      <c r="X94" s="586">
        <f>IFERROR(IF(VLOOKUP(X$2,MODULY_CBA!$B$3:$N$23,13,0)&lt;='TCO TO BE- SW'!$D94,SUM('TCO TO BE- SW'!X$6:X$15)*VLOOKUP('TCO TO BE- SW'!X$2,MODULY_CBA!$B$3:$L$23,11,0),0),0)</f>
        <v>0</v>
      </c>
      <c r="Y94" s="586">
        <f>IFERROR(IF(VLOOKUP(Y$2,MODULY_CBA!$B$3:$N$23,13,0)&lt;='TCO TO BE- SW'!$D94,SUM('TCO TO BE- SW'!Y$6:Y$15)*VLOOKUP('TCO TO BE- SW'!Y$2,MODULY_CBA!$B$3:$L$23,11,0),0),0)</f>
        <v>0</v>
      </c>
      <c r="Z94" s="586">
        <f>IFERROR(IF(VLOOKUP(Z$2,MODULY_CBA!$B$3:$N$23,13,0)&lt;='TCO TO BE- SW'!$D94,SUM('TCO TO BE- SW'!Z$6:Z$15)*VLOOKUP('TCO TO BE- SW'!Z$2,MODULY_CBA!$B$3:$L$23,11,0),0),0)</f>
        <v>0</v>
      </c>
    </row>
    <row r="95" spans="1:26" outlineLevel="2">
      <c r="A95" s="875"/>
      <c r="B95" s="876"/>
      <c r="C95" s="876"/>
      <c r="D95" s="64">
        <v>7</v>
      </c>
      <c r="E95" s="61">
        <f t="shared" si="12"/>
        <v>0</v>
      </c>
      <c r="F95" s="586">
        <f>IFERROR(IF(VLOOKUP(F$2,MODULY_CBA!$B$3:$N$23,13,0)&lt;='TCO TO BE- SW'!$D95,SUM('TCO TO BE- SW'!F$6:F$15)*VLOOKUP('TCO TO BE- SW'!F$2,MODULY_CBA!$B$3:$L$23,11,0),0),0)</f>
        <v>0</v>
      </c>
      <c r="G95" s="586">
        <f>IFERROR(IF(VLOOKUP(G$2,MODULY_CBA!$B$3:$N$23,13,0)&lt;='TCO TO BE- SW'!$D95,SUM('TCO TO BE- SW'!G$6:G$15)*VLOOKUP('TCO TO BE- SW'!G$2,MODULY_CBA!$B$3:$L$23,11,0),0),0)</f>
        <v>0</v>
      </c>
      <c r="H95" s="586">
        <v>0</v>
      </c>
      <c r="I95" s="586">
        <f>IFERROR(IF(VLOOKUP(I$2,MODULY_CBA!$B$3:$N$23,13,0)&lt;='TCO TO BE- SW'!$D95,SUM('TCO TO BE- SW'!I$6:I$15)*VLOOKUP('TCO TO BE- SW'!I$2,MODULY_CBA!$B$3:$L$23,11,0),0),0)</f>
        <v>0</v>
      </c>
      <c r="J95" s="586">
        <f>IFERROR(IF(VLOOKUP(J$2,MODULY_CBA!$B$3:$N$23,13,0)&lt;='TCO TO BE- SW'!$D95,SUM('TCO TO BE- SW'!J$6:J$15)*VLOOKUP('TCO TO BE- SW'!J$2,MODULY_CBA!$B$3:$L$23,11,0),0),0)</f>
        <v>0</v>
      </c>
      <c r="K95" s="586">
        <f>IFERROR(IF(VLOOKUP(K$2,MODULY_CBA!$B$3:$N$23,13,0)&lt;='TCO TO BE- SW'!$D95,SUM('TCO TO BE- SW'!K$6:K$15)*VLOOKUP('TCO TO BE- SW'!K$2,MODULY_CBA!$B$3:$L$23,11,0),0),0)</f>
        <v>0</v>
      </c>
      <c r="L95" s="586">
        <f>IFERROR(IF(VLOOKUP(L$2,MODULY_CBA!$B$3:$N$23,13,0)&lt;='TCO TO BE- SW'!$D95,SUM('TCO TO BE- SW'!L$6:L$15)*VLOOKUP('TCO TO BE- SW'!L$2,MODULY_CBA!$B$3:$L$23,11,0),0),0)</f>
        <v>0</v>
      </c>
      <c r="M95" s="586">
        <f>IFERROR(IF(VLOOKUP(M$2,MODULY_CBA!$B$3:$N$23,13,0)&lt;='TCO TO BE- SW'!$D95,SUM('TCO TO BE- SW'!M$6:M$15)*VLOOKUP('TCO TO BE- SW'!M$2,MODULY_CBA!$B$3:$L$23,11,0),0),0)</f>
        <v>0</v>
      </c>
      <c r="N95" s="586">
        <f>IFERROR(IF(VLOOKUP(N$2,MODULY_CBA!$B$3:$N$23,13,0)&lt;='TCO TO BE- SW'!$D95,SUM('TCO TO BE- SW'!N$6:N$15)*VLOOKUP('TCO TO BE- SW'!N$2,MODULY_CBA!$B$3:$L$23,11,0),0),0)</f>
        <v>0</v>
      </c>
      <c r="O95" s="586">
        <f>IFERROR(IF(VLOOKUP(O$2,MODULY_CBA!$B$3:$N$23,13,0)&lt;='TCO TO BE- SW'!$D95,SUM('TCO TO BE- SW'!O$6:O$15)*VLOOKUP('TCO TO BE- SW'!O$2,MODULY_CBA!$B$3:$L$23,11,0),0),0)</f>
        <v>0</v>
      </c>
      <c r="P95" s="586">
        <f>IFERROR(IF(VLOOKUP(P$2,MODULY_CBA!$B$3:$N$23,13,0)&lt;='TCO TO BE- SW'!$D95,SUM('TCO TO BE- SW'!P$6:P$15)*VLOOKUP('TCO TO BE- SW'!P$2,MODULY_CBA!$B$3:$L$23,11,0),0),0)</f>
        <v>0</v>
      </c>
      <c r="Q95" s="586">
        <f>IFERROR(IF(VLOOKUP(Q$2,MODULY_CBA!$B$3:$N$23,13,0)&lt;='TCO TO BE- SW'!$D95,SUM('TCO TO BE- SW'!Q$6:Q$15)*VLOOKUP('TCO TO BE- SW'!Q$2,MODULY_CBA!$B$3:$L$23,11,0),0),0)</f>
        <v>0</v>
      </c>
      <c r="R95" s="586">
        <f>IFERROR(IF(VLOOKUP(R$2,MODULY_CBA!$B$3:$N$23,13,0)&lt;='TCO TO BE- SW'!$D95,SUM('TCO TO BE- SW'!R$6:R$15)*VLOOKUP('TCO TO BE- SW'!R$2,MODULY_CBA!$B$3:$L$23,11,0),0),0)</f>
        <v>0</v>
      </c>
      <c r="S95" s="586">
        <f>IFERROR(IF(VLOOKUP(S$2,MODULY_CBA!$B$3:$N$23,13,0)&lt;='TCO TO BE- SW'!$D95,SUM('TCO TO BE- SW'!S$6:S$15)*VLOOKUP('TCO TO BE- SW'!S$2,MODULY_CBA!$B$3:$L$23,11,0),0),0)</f>
        <v>0</v>
      </c>
      <c r="T95" s="586">
        <f>IFERROR(IF(VLOOKUP(T$2,MODULY_CBA!$B$3:$N$23,13,0)&lt;='TCO TO BE- SW'!$D95,SUM('TCO TO BE- SW'!T$6:T$15)*VLOOKUP('TCO TO BE- SW'!T$2,MODULY_CBA!$B$3:$L$23,11,0),0),0)</f>
        <v>0</v>
      </c>
      <c r="U95" s="586">
        <f>IFERROR(IF(VLOOKUP(U$2,MODULY_CBA!$B$3:$N$23,13,0)&lt;='TCO TO BE- SW'!$D95,SUM('TCO TO BE- SW'!U$6:U$15)*VLOOKUP('TCO TO BE- SW'!U$2,MODULY_CBA!$B$3:$L$23,11,0),0),0)</f>
        <v>0</v>
      </c>
      <c r="V95" s="586">
        <f>IFERROR(IF(VLOOKUP(V$2,MODULY_CBA!$B$3:$N$23,13,0)&lt;='TCO TO BE- SW'!$D95,SUM('TCO TO BE- SW'!V$6:V$15)*VLOOKUP('TCO TO BE- SW'!V$2,MODULY_CBA!$B$3:$L$23,11,0),0),0)</f>
        <v>0</v>
      </c>
      <c r="W95" s="586">
        <f>IFERROR(IF(VLOOKUP(W$2,MODULY_CBA!$B$3:$N$23,13,0)&lt;='TCO TO BE- SW'!$D95,SUM('TCO TO BE- SW'!W$6:W$15)*VLOOKUP('TCO TO BE- SW'!W$2,MODULY_CBA!$B$3:$L$23,11,0),0),0)</f>
        <v>0</v>
      </c>
      <c r="X95" s="586">
        <f>IFERROR(IF(VLOOKUP(X$2,MODULY_CBA!$B$3:$N$23,13,0)&lt;='TCO TO BE- SW'!$D95,SUM('TCO TO BE- SW'!X$6:X$15)*VLOOKUP('TCO TO BE- SW'!X$2,MODULY_CBA!$B$3:$L$23,11,0),0),0)</f>
        <v>0</v>
      </c>
      <c r="Y95" s="586">
        <f>IFERROR(IF(VLOOKUP(Y$2,MODULY_CBA!$B$3:$N$23,13,0)&lt;='TCO TO BE- SW'!$D95,SUM('TCO TO BE- SW'!Y$6:Y$15)*VLOOKUP('TCO TO BE- SW'!Y$2,MODULY_CBA!$B$3:$L$23,11,0),0),0)</f>
        <v>0</v>
      </c>
      <c r="Z95" s="586">
        <f>IFERROR(IF(VLOOKUP(Z$2,MODULY_CBA!$B$3:$N$23,13,0)&lt;='TCO TO BE- SW'!$D95,SUM('TCO TO BE- SW'!Z$6:Z$15)*VLOOKUP('TCO TO BE- SW'!Z$2,MODULY_CBA!$B$3:$L$23,11,0),0),0)</f>
        <v>0</v>
      </c>
    </row>
    <row r="96" spans="1:26" outlineLevel="2">
      <c r="A96" s="875"/>
      <c r="B96" s="876"/>
      <c r="C96" s="876"/>
      <c r="D96" s="64">
        <v>8</v>
      </c>
      <c r="E96" s="61">
        <f t="shared" si="12"/>
        <v>0</v>
      </c>
      <c r="F96" s="586">
        <f>IFERROR(IF(VLOOKUP(F$2,MODULY_CBA!$B$3:$N$23,13,0)&lt;='TCO TO BE- SW'!$D96,SUM('TCO TO BE- SW'!F$6:F$15)*VLOOKUP('TCO TO BE- SW'!F$2,MODULY_CBA!$B$3:$L$23,11,0),0),0)</f>
        <v>0</v>
      </c>
      <c r="G96" s="586">
        <f>IFERROR(IF(VLOOKUP(G$2,MODULY_CBA!$B$3:$N$23,13,0)&lt;='TCO TO BE- SW'!$D96,SUM('TCO TO BE- SW'!G$6:G$15)*VLOOKUP('TCO TO BE- SW'!G$2,MODULY_CBA!$B$3:$L$23,11,0),0),0)</f>
        <v>0</v>
      </c>
      <c r="H96" s="586">
        <v>0</v>
      </c>
      <c r="I96" s="586">
        <f>IFERROR(IF(VLOOKUP(I$2,MODULY_CBA!$B$3:$N$23,13,0)&lt;='TCO TO BE- SW'!$D96,SUM('TCO TO BE- SW'!I$6:I$15)*VLOOKUP('TCO TO BE- SW'!I$2,MODULY_CBA!$B$3:$L$23,11,0),0),0)</f>
        <v>0</v>
      </c>
      <c r="J96" s="586">
        <f>IFERROR(IF(VLOOKUP(J$2,MODULY_CBA!$B$3:$N$23,13,0)&lt;='TCO TO BE- SW'!$D96,SUM('TCO TO BE- SW'!J$6:J$15)*VLOOKUP('TCO TO BE- SW'!J$2,MODULY_CBA!$B$3:$L$23,11,0),0),0)</f>
        <v>0</v>
      </c>
      <c r="K96" s="586">
        <f>IFERROR(IF(VLOOKUP(K$2,MODULY_CBA!$B$3:$N$23,13,0)&lt;='TCO TO BE- SW'!$D96,SUM('TCO TO BE- SW'!K$6:K$15)*VLOOKUP('TCO TO BE- SW'!K$2,MODULY_CBA!$B$3:$L$23,11,0),0),0)</f>
        <v>0</v>
      </c>
      <c r="L96" s="586">
        <f>IFERROR(IF(VLOOKUP(L$2,MODULY_CBA!$B$3:$N$23,13,0)&lt;='TCO TO BE- SW'!$D96,SUM('TCO TO BE- SW'!L$6:L$15)*VLOOKUP('TCO TO BE- SW'!L$2,MODULY_CBA!$B$3:$L$23,11,0),0),0)</f>
        <v>0</v>
      </c>
      <c r="M96" s="586">
        <f>IFERROR(IF(VLOOKUP(M$2,MODULY_CBA!$B$3:$N$23,13,0)&lt;='TCO TO BE- SW'!$D96,SUM('TCO TO BE- SW'!M$6:M$15)*VLOOKUP('TCO TO BE- SW'!M$2,MODULY_CBA!$B$3:$L$23,11,0),0),0)</f>
        <v>0</v>
      </c>
      <c r="N96" s="586">
        <f>IFERROR(IF(VLOOKUP(N$2,MODULY_CBA!$B$3:$N$23,13,0)&lt;='TCO TO BE- SW'!$D96,SUM('TCO TO BE- SW'!N$6:N$15)*VLOOKUP('TCO TO BE- SW'!N$2,MODULY_CBA!$B$3:$L$23,11,0),0),0)</f>
        <v>0</v>
      </c>
      <c r="O96" s="586">
        <f>IFERROR(IF(VLOOKUP(O$2,MODULY_CBA!$B$3:$N$23,13,0)&lt;='TCO TO BE- SW'!$D96,SUM('TCO TO BE- SW'!O$6:O$15)*VLOOKUP('TCO TO BE- SW'!O$2,MODULY_CBA!$B$3:$L$23,11,0),0),0)</f>
        <v>0</v>
      </c>
      <c r="P96" s="586">
        <f>IFERROR(IF(VLOOKUP(P$2,MODULY_CBA!$B$3:$N$23,13,0)&lt;='TCO TO BE- SW'!$D96,SUM('TCO TO BE- SW'!P$6:P$15)*VLOOKUP('TCO TO BE- SW'!P$2,MODULY_CBA!$B$3:$L$23,11,0),0),0)</f>
        <v>0</v>
      </c>
      <c r="Q96" s="586">
        <f>IFERROR(IF(VLOOKUP(Q$2,MODULY_CBA!$B$3:$N$23,13,0)&lt;='TCO TO BE- SW'!$D96,SUM('TCO TO BE- SW'!Q$6:Q$15)*VLOOKUP('TCO TO BE- SW'!Q$2,MODULY_CBA!$B$3:$L$23,11,0),0),0)</f>
        <v>0</v>
      </c>
      <c r="R96" s="586">
        <f>IFERROR(IF(VLOOKUP(R$2,MODULY_CBA!$B$3:$N$23,13,0)&lt;='TCO TO BE- SW'!$D96,SUM('TCO TO BE- SW'!R$6:R$15)*VLOOKUP('TCO TO BE- SW'!R$2,MODULY_CBA!$B$3:$L$23,11,0),0),0)</f>
        <v>0</v>
      </c>
      <c r="S96" s="586">
        <f>IFERROR(IF(VLOOKUP(S$2,MODULY_CBA!$B$3:$N$23,13,0)&lt;='TCO TO BE- SW'!$D96,SUM('TCO TO BE- SW'!S$6:S$15)*VLOOKUP('TCO TO BE- SW'!S$2,MODULY_CBA!$B$3:$L$23,11,0),0),0)</f>
        <v>0</v>
      </c>
      <c r="T96" s="586">
        <f>IFERROR(IF(VLOOKUP(T$2,MODULY_CBA!$B$3:$N$23,13,0)&lt;='TCO TO BE- SW'!$D96,SUM('TCO TO BE- SW'!T$6:T$15)*VLOOKUP('TCO TO BE- SW'!T$2,MODULY_CBA!$B$3:$L$23,11,0),0),0)</f>
        <v>0</v>
      </c>
      <c r="U96" s="586">
        <f>IFERROR(IF(VLOOKUP(U$2,MODULY_CBA!$B$3:$N$23,13,0)&lt;='TCO TO BE- SW'!$D96,SUM('TCO TO BE- SW'!U$6:U$15)*VLOOKUP('TCO TO BE- SW'!U$2,MODULY_CBA!$B$3:$L$23,11,0),0),0)</f>
        <v>0</v>
      </c>
      <c r="V96" s="586">
        <f>IFERROR(IF(VLOOKUP(V$2,MODULY_CBA!$B$3:$N$23,13,0)&lt;='TCO TO BE- SW'!$D96,SUM('TCO TO BE- SW'!V$6:V$15)*VLOOKUP('TCO TO BE- SW'!V$2,MODULY_CBA!$B$3:$L$23,11,0),0),0)</f>
        <v>0</v>
      </c>
      <c r="W96" s="586">
        <f>IFERROR(IF(VLOOKUP(W$2,MODULY_CBA!$B$3:$N$23,13,0)&lt;='TCO TO BE- SW'!$D96,SUM('TCO TO BE- SW'!W$6:W$15)*VLOOKUP('TCO TO BE- SW'!W$2,MODULY_CBA!$B$3:$L$23,11,0),0),0)</f>
        <v>0</v>
      </c>
      <c r="X96" s="586">
        <f>IFERROR(IF(VLOOKUP(X$2,MODULY_CBA!$B$3:$N$23,13,0)&lt;='TCO TO BE- SW'!$D96,SUM('TCO TO BE- SW'!X$6:X$15)*VLOOKUP('TCO TO BE- SW'!X$2,MODULY_CBA!$B$3:$L$23,11,0),0),0)</f>
        <v>0</v>
      </c>
      <c r="Y96" s="586">
        <f>IFERROR(IF(VLOOKUP(Y$2,MODULY_CBA!$B$3:$N$23,13,0)&lt;='TCO TO BE- SW'!$D96,SUM('TCO TO BE- SW'!Y$6:Y$15)*VLOOKUP('TCO TO BE- SW'!Y$2,MODULY_CBA!$B$3:$L$23,11,0),0),0)</f>
        <v>0</v>
      </c>
      <c r="Z96" s="586">
        <f>IFERROR(IF(VLOOKUP(Z$2,MODULY_CBA!$B$3:$N$23,13,0)&lt;='TCO TO BE- SW'!$D96,SUM('TCO TO BE- SW'!Z$6:Z$15)*VLOOKUP('TCO TO BE- SW'!Z$2,MODULY_CBA!$B$3:$L$23,11,0),0),0)</f>
        <v>0</v>
      </c>
    </row>
    <row r="97" spans="1:26" outlineLevel="2">
      <c r="A97" s="875"/>
      <c r="B97" s="876"/>
      <c r="C97" s="876"/>
      <c r="D97" s="64">
        <v>9</v>
      </c>
      <c r="E97" s="61">
        <f t="shared" si="12"/>
        <v>0</v>
      </c>
      <c r="F97" s="586">
        <f>IFERROR(IF(VLOOKUP(F$2,MODULY_CBA!$B$3:$N$23,13,0)&lt;='TCO TO BE- SW'!$D97,SUM('TCO TO BE- SW'!F$6:F$15)*VLOOKUP('TCO TO BE- SW'!F$2,MODULY_CBA!$B$3:$L$23,11,0),0),0)</f>
        <v>0</v>
      </c>
      <c r="G97" s="586">
        <f>IFERROR(IF(VLOOKUP(G$2,MODULY_CBA!$B$3:$N$23,13,0)&lt;='TCO TO BE- SW'!$D97,SUM('TCO TO BE- SW'!G$6:G$15)*VLOOKUP('TCO TO BE- SW'!G$2,MODULY_CBA!$B$3:$L$23,11,0),0),0)</f>
        <v>0</v>
      </c>
      <c r="H97" s="586">
        <v>0</v>
      </c>
      <c r="I97" s="586">
        <f>IFERROR(IF(VLOOKUP(I$2,MODULY_CBA!$B$3:$N$23,13,0)&lt;='TCO TO BE- SW'!$D97,SUM('TCO TO BE- SW'!I$6:I$15)*VLOOKUP('TCO TO BE- SW'!I$2,MODULY_CBA!$B$3:$L$23,11,0),0),0)</f>
        <v>0</v>
      </c>
      <c r="J97" s="586">
        <f>IFERROR(IF(VLOOKUP(J$2,MODULY_CBA!$B$3:$N$23,13,0)&lt;='TCO TO BE- SW'!$D97,SUM('TCO TO BE- SW'!J$6:J$15)*VLOOKUP('TCO TO BE- SW'!J$2,MODULY_CBA!$B$3:$L$23,11,0),0),0)</f>
        <v>0</v>
      </c>
      <c r="K97" s="586">
        <f>IFERROR(IF(VLOOKUP(K$2,MODULY_CBA!$B$3:$N$23,13,0)&lt;='TCO TO BE- SW'!$D97,SUM('TCO TO BE- SW'!K$6:K$15)*VLOOKUP('TCO TO BE- SW'!K$2,MODULY_CBA!$B$3:$L$23,11,0),0),0)</f>
        <v>0</v>
      </c>
      <c r="L97" s="586">
        <f>IFERROR(IF(VLOOKUP(L$2,MODULY_CBA!$B$3:$N$23,13,0)&lt;='TCO TO BE- SW'!$D97,SUM('TCO TO BE- SW'!L$6:L$15)*VLOOKUP('TCO TO BE- SW'!L$2,MODULY_CBA!$B$3:$L$23,11,0),0),0)</f>
        <v>0</v>
      </c>
      <c r="M97" s="586">
        <f>IFERROR(IF(VLOOKUP(M$2,MODULY_CBA!$B$3:$N$23,13,0)&lt;='TCO TO BE- SW'!$D97,SUM('TCO TO BE- SW'!M$6:M$15)*VLOOKUP('TCO TO BE- SW'!M$2,MODULY_CBA!$B$3:$L$23,11,0),0),0)</f>
        <v>0</v>
      </c>
      <c r="N97" s="586">
        <f>IFERROR(IF(VLOOKUP(N$2,MODULY_CBA!$B$3:$N$23,13,0)&lt;='TCO TO BE- SW'!$D97,SUM('TCO TO BE- SW'!N$6:N$15)*VLOOKUP('TCO TO BE- SW'!N$2,MODULY_CBA!$B$3:$L$23,11,0),0),0)</f>
        <v>0</v>
      </c>
      <c r="O97" s="586">
        <f>IFERROR(IF(VLOOKUP(O$2,MODULY_CBA!$B$3:$N$23,13,0)&lt;='TCO TO BE- SW'!$D97,SUM('TCO TO BE- SW'!O$6:O$15)*VLOOKUP('TCO TO BE- SW'!O$2,MODULY_CBA!$B$3:$L$23,11,0),0),0)</f>
        <v>0</v>
      </c>
      <c r="P97" s="586">
        <f>IFERROR(IF(VLOOKUP(P$2,MODULY_CBA!$B$3:$N$23,13,0)&lt;='TCO TO BE- SW'!$D97,SUM('TCO TO BE- SW'!P$6:P$15)*VLOOKUP('TCO TO BE- SW'!P$2,MODULY_CBA!$B$3:$L$23,11,0),0),0)</f>
        <v>0</v>
      </c>
      <c r="Q97" s="586">
        <f>IFERROR(IF(VLOOKUP(Q$2,MODULY_CBA!$B$3:$N$23,13,0)&lt;='TCO TO BE- SW'!$D97,SUM('TCO TO BE- SW'!Q$6:Q$15)*VLOOKUP('TCO TO BE- SW'!Q$2,MODULY_CBA!$B$3:$L$23,11,0),0),0)</f>
        <v>0</v>
      </c>
      <c r="R97" s="586">
        <f>IFERROR(IF(VLOOKUP(R$2,MODULY_CBA!$B$3:$N$23,13,0)&lt;='TCO TO BE- SW'!$D97,SUM('TCO TO BE- SW'!R$6:R$15)*VLOOKUP('TCO TO BE- SW'!R$2,MODULY_CBA!$B$3:$L$23,11,0),0),0)</f>
        <v>0</v>
      </c>
      <c r="S97" s="586">
        <f>IFERROR(IF(VLOOKUP(S$2,MODULY_CBA!$B$3:$N$23,13,0)&lt;='TCO TO BE- SW'!$D97,SUM('TCO TO BE- SW'!S$6:S$15)*VLOOKUP('TCO TO BE- SW'!S$2,MODULY_CBA!$B$3:$L$23,11,0),0),0)</f>
        <v>0</v>
      </c>
      <c r="T97" s="586">
        <f>IFERROR(IF(VLOOKUP(T$2,MODULY_CBA!$B$3:$N$23,13,0)&lt;='TCO TO BE- SW'!$D97,SUM('TCO TO BE- SW'!T$6:T$15)*VLOOKUP('TCO TO BE- SW'!T$2,MODULY_CBA!$B$3:$L$23,11,0),0),0)</f>
        <v>0</v>
      </c>
      <c r="U97" s="586">
        <f>IFERROR(IF(VLOOKUP(U$2,MODULY_CBA!$B$3:$N$23,13,0)&lt;='TCO TO BE- SW'!$D97,SUM('TCO TO BE- SW'!U$6:U$15)*VLOOKUP('TCO TO BE- SW'!U$2,MODULY_CBA!$B$3:$L$23,11,0),0),0)</f>
        <v>0</v>
      </c>
      <c r="V97" s="586">
        <f>IFERROR(IF(VLOOKUP(V$2,MODULY_CBA!$B$3:$N$23,13,0)&lt;='TCO TO BE- SW'!$D97,SUM('TCO TO BE- SW'!V$6:V$15)*VLOOKUP('TCO TO BE- SW'!V$2,MODULY_CBA!$B$3:$L$23,11,0),0),0)</f>
        <v>0</v>
      </c>
      <c r="W97" s="586">
        <f>IFERROR(IF(VLOOKUP(W$2,MODULY_CBA!$B$3:$N$23,13,0)&lt;='TCO TO BE- SW'!$D97,SUM('TCO TO BE- SW'!W$6:W$15)*VLOOKUP('TCO TO BE- SW'!W$2,MODULY_CBA!$B$3:$L$23,11,0),0),0)</f>
        <v>0</v>
      </c>
      <c r="X97" s="586">
        <f>IFERROR(IF(VLOOKUP(X$2,MODULY_CBA!$B$3:$N$23,13,0)&lt;='TCO TO BE- SW'!$D97,SUM('TCO TO BE- SW'!X$6:X$15)*VLOOKUP('TCO TO BE- SW'!X$2,MODULY_CBA!$B$3:$L$23,11,0),0),0)</f>
        <v>0</v>
      </c>
      <c r="Y97" s="586">
        <f>IFERROR(IF(VLOOKUP(Y$2,MODULY_CBA!$B$3:$N$23,13,0)&lt;='TCO TO BE- SW'!$D97,SUM('TCO TO BE- SW'!Y$6:Y$15)*VLOOKUP('TCO TO BE- SW'!Y$2,MODULY_CBA!$B$3:$L$23,11,0),0),0)</f>
        <v>0</v>
      </c>
      <c r="Z97" s="586">
        <f>IFERROR(IF(VLOOKUP(Z$2,MODULY_CBA!$B$3:$N$23,13,0)&lt;='TCO TO BE- SW'!$D97,SUM('TCO TO BE- SW'!Z$6:Z$15)*VLOOKUP('TCO TO BE- SW'!Z$2,MODULY_CBA!$B$3:$L$23,11,0),0),0)</f>
        <v>0</v>
      </c>
    </row>
    <row r="98" spans="1:26" ht="15.75" outlineLevel="2" thickBot="1">
      <c r="A98" s="875"/>
      <c r="B98" s="876"/>
      <c r="C98" s="876"/>
      <c r="D98" s="65">
        <v>10</v>
      </c>
      <c r="E98" s="61">
        <f t="shared" si="12"/>
        <v>0</v>
      </c>
      <c r="F98" s="588">
        <f>IFERROR(IF(VLOOKUP(F$2,MODULY_CBA!$B$3:$N$23,13,0)&lt;='TCO TO BE- SW'!$D98,SUM('TCO TO BE- SW'!F$6:F$15)*VLOOKUP('TCO TO BE- SW'!F$2,MODULY_CBA!$B$3:$L$23,11,0),0),0)</f>
        <v>0</v>
      </c>
      <c r="G98" s="588">
        <f>IFERROR(IF(VLOOKUP(G$2,MODULY_CBA!$B$3:$N$23,13,0)&lt;='TCO TO BE- SW'!$D98,SUM('TCO TO BE- SW'!G$6:G$15)*VLOOKUP('TCO TO BE- SW'!G$2,MODULY_CBA!$B$3:$L$23,11,0),0),0)</f>
        <v>0</v>
      </c>
      <c r="H98" s="586">
        <v>0</v>
      </c>
      <c r="I98" s="588">
        <f>IFERROR(IF(VLOOKUP(I$2,MODULY_CBA!$B$3:$N$23,13,0)&lt;='TCO TO BE- SW'!$D98,SUM('TCO TO BE- SW'!I$6:I$15)*VLOOKUP('TCO TO BE- SW'!I$2,MODULY_CBA!$B$3:$L$23,11,0),0),0)</f>
        <v>0</v>
      </c>
      <c r="J98" s="588">
        <f>IFERROR(IF(VLOOKUP(J$2,MODULY_CBA!$B$3:$N$23,13,0)&lt;='TCO TO BE- SW'!$D98,SUM('TCO TO BE- SW'!J$6:J$15)*VLOOKUP('TCO TO BE- SW'!J$2,MODULY_CBA!$B$3:$L$23,11,0),0),0)</f>
        <v>0</v>
      </c>
      <c r="K98" s="588">
        <f>IFERROR(IF(VLOOKUP(K$2,MODULY_CBA!$B$3:$N$23,13,0)&lt;='TCO TO BE- SW'!$D98,SUM('TCO TO BE- SW'!K$6:K$15)*VLOOKUP('TCO TO BE- SW'!K$2,MODULY_CBA!$B$3:$L$23,11,0),0),0)</f>
        <v>0</v>
      </c>
      <c r="L98" s="588">
        <f>IFERROR(IF(VLOOKUP(L$2,MODULY_CBA!$B$3:$N$23,13,0)&lt;='TCO TO BE- SW'!$D98,SUM('TCO TO BE- SW'!L$6:L$15)*VLOOKUP('TCO TO BE- SW'!L$2,MODULY_CBA!$B$3:$L$23,11,0),0),0)</f>
        <v>0</v>
      </c>
      <c r="M98" s="588">
        <f>IFERROR(IF(VLOOKUP(M$2,MODULY_CBA!$B$3:$N$23,13,0)&lt;='TCO TO BE- SW'!$D98,SUM('TCO TO BE- SW'!M$6:M$15)*VLOOKUP('TCO TO BE- SW'!M$2,MODULY_CBA!$B$3:$L$23,11,0),0),0)</f>
        <v>0</v>
      </c>
      <c r="N98" s="588">
        <f>IFERROR(IF(VLOOKUP(N$2,MODULY_CBA!$B$3:$N$23,13,0)&lt;='TCO TO BE- SW'!$D98,SUM('TCO TO BE- SW'!N$6:N$15)*VLOOKUP('TCO TO BE- SW'!N$2,MODULY_CBA!$B$3:$L$23,11,0),0),0)</f>
        <v>0</v>
      </c>
      <c r="O98" s="588">
        <f>IFERROR(IF(VLOOKUP(O$2,MODULY_CBA!$B$3:$N$23,13,0)&lt;='TCO TO BE- SW'!$D98,SUM('TCO TO BE- SW'!O$6:O$15)*VLOOKUP('TCO TO BE- SW'!O$2,MODULY_CBA!$B$3:$L$23,11,0),0),0)</f>
        <v>0</v>
      </c>
      <c r="P98" s="588">
        <f>IFERROR(IF(VLOOKUP(P$2,MODULY_CBA!$B$3:$N$23,13,0)&lt;='TCO TO BE- SW'!$D98,SUM('TCO TO BE- SW'!P$6:P$15)*VLOOKUP('TCO TO BE- SW'!P$2,MODULY_CBA!$B$3:$L$23,11,0),0),0)</f>
        <v>0</v>
      </c>
      <c r="Q98" s="588">
        <f>IFERROR(IF(VLOOKUP(Q$2,MODULY_CBA!$B$3:$N$23,13,0)&lt;='TCO TO BE- SW'!$D98,SUM('TCO TO BE- SW'!Q$6:Q$15)*VLOOKUP('TCO TO BE- SW'!Q$2,MODULY_CBA!$B$3:$L$23,11,0),0),0)</f>
        <v>0</v>
      </c>
      <c r="R98" s="588">
        <f>IFERROR(IF(VLOOKUP(R$2,MODULY_CBA!$B$3:$N$23,13,0)&lt;='TCO TO BE- SW'!$D98,SUM('TCO TO BE- SW'!R$6:R$15)*VLOOKUP('TCO TO BE- SW'!R$2,MODULY_CBA!$B$3:$L$23,11,0),0),0)</f>
        <v>0</v>
      </c>
      <c r="S98" s="588">
        <f>IFERROR(IF(VLOOKUP(S$2,MODULY_CBA!$B$3:$N$23,13,0)&lt;='TCO TO BE- SW'!$D98,SUM('TCO TO BE- SW'!S$6:S$15)*VLOOKUP('TCO TO BE- SW'!S$2,MODULY_CBA!$B$3:$L$23,11,0),0),0)</f>
        <v>0</v>
      </c>
      <c r="T98" s="588">
        <f>IFERROR(IF(VLOOKUP(T$2,MODULY_CBA!$B$3:$N$23,13,0)&lt;='TCO TO BE- SW'!$D98,SUM('TCO TO BE- SW'!T$6:T$15)*VLOOKUP('TCO TO BE- SW'!T$2,MODULY_CBA!$B$3:$L$23,11,0),0),0)</f>
        <v>0</v>
      </c>
      <c r="U98" s="588">
        <f>IFERROR(IF(VLOOKUP(U$2,MODULY_CBA!$B$3:$N$23,13,0)&lt;='TCO TO BE- SW'!$D98,SUM('TCO TO BE- SW'!U$6:U$15)*VLOOKUP('TCO TO BE- SW'!U$2,MODULY_CBA!$B$3:$L$23,11,0),0),0)</f>
        <v>0</v>
      </c>
      <c r="V98" s="588">
        <f>IFERROR(IF(VLOOKUP(V$2,MODULY_CBA!$B$3:$N$23,13,0)&lt;='TCO TO BE- SW'!$D98,SUM('TCO TO BE- SW'!V$6:V$15)*VLOOKUP('TCO TO BE- SW'!V$2,MODULY_CBA!$B$3:$L$23,11,0),0),0)</f>
        <v>0</v>
      </c>
      <c r="W98" s="588">
        <f>IFERROR(IF(VLOOKUP(W$2,MODULY_CBA!$B$3:$N$23,13,0)&lt;='TCO TO BE- SW'!$D98,SUM('TCO TO BE- SW'!W$6:W$15)*VLOOKUP('TCO TO BE- SW'!W$2,MODULY_CBA!$B$3:$L$23,11,0),0),0)</f>
        <v>0</v>
      </c>
      <c r="X98" s="588">
        <f>IFERROR(IF(VLOOKUP(X$2,MODULY_CBA!$B$3:$N$23,13,0)&lt;='TCO TO BE- SW'!$D98,SUM('TCO TO BE- SW'!X$6:X$15)*VLOOKUP('TCO TO BE- SW'!X$2,MODULY_CBA!$B$3:$L$23,11,0),0),0)</f>
        <v>0</v>
      </c>
      <c r="Y98" s="588">
        <f>IFERROR(IF(VLOOKUP(Y$2,MODULY_CBA!$B$3:$N$23,13,0)&lt;='TCO TO BE- SW'!$D98,SUM('TCO TO BE- SW'!Y$6:Y$15)*VLOOKUP('TCO TO BE- SW'!Y$2,MODULY_CBA!$B$3:$L$23,11,0),0),0)</f>
        <v>0</v>
      </c>
      <c r="Z98" s="588">
        <f>IFERROR(IF(VLOOKUP(Z$2,MODULY_CBA!$B$3:$N$23,13,0)&lt;='TCO TO BE- SW'!$D98,SUM('TCO TO BE- SW'!Z$6:Z$15)*VLOOKUP('TCO TO BE- SW'!Z$2,MODULY_CBA!$B$3:$L$23,11,0),0),0)</f>
        <v>0</v>
      </c>
    </row>
    <row r="99" spans="1:26" ht="15.75" outlineLevel="1" thickBot="1">
      <c r="A99" s="17" t="s">
        <v>104</v>
      </c>
      <c r="B99" s="17"/>
      <c r="C99" s="17"/>
      <c r="D99" s="27"/>
      <c r="E99" s="450">
        <f t="shared" ref="E99:Z99" si="13">SUM(E100:E149)</f>
        <v>6212201.0129004624</v>
      </c>
      <c r="F99" s="451">
        <f t="shared" si="13"/>
        <v>391121.1880477466</v>
      </c>
      <c r="G99" s="451">
        <f t="shared" si="13"/>
        <v>1421607.7695325459</v>
      </c>
      <c r="H99" s="451">
        <f t="shared" si="13"/>
        <v>1312790.6469894857</v>
      </c>
      <c r="I99" s="451">
        <f t="shared" si="13"/>
        <v>260541.03604281656</v>
      </c>
      <c r="J99" s="451">
        <f t="shared" si="13"/>
        <v>782065.45284159575</v>
      </c>
      <c r="K99" s="451">
        <f t="shared" si="13"/>
        <v>219402.9777202667</v>
      </c>
      <c r="L99" s="451">
        <f t="shared" si="13"/>
        <v>63476.466336407815</v>
      </c>
      <c r="M99" s="451">
        <f t="shared" si="13"/>
        <v>54187.227360348086</v>
      </c>
      <c r="N99" s="451">
        <f t="shared" si="13"/>
        <v>180918.98767659083</v>
      </c>
      <c r="O99" s="451">
        <f t="shared" si="13"/>
        <v>215421.87530195536</v>
      </c>
      <c r="P99" s="451">
        <f t="shared" si="13"/>
        <v>49100.263159172559</v>
      </c>
      <c r="Q99" s="451">
        <f t="shared" si="13"/>
        <v>11058.617828642469</v>
      </c>
      <c r="R99" s="451">
        <f t="shared" si="13"/>
        <v>87141.908489702648</v>
      </c>
      <c r="S99" s="451">
        <f t="shared" si="13"/>
        <v>59716.536274669335</v>
      </c>
      <c r="T99" s="451">
        <f t="shared" si="13"/>
        <v>178707.26411086231</v>
      </c>
      <c r="U99" s="451">
        <f t="shared" si="13"/>
        <v>139338.58464089513</v>
      </c>
      <c r="V99" s="451">
        <f t="shared" si="13"/>
        <v>120317.76197563008</v>
      </c>
      <c r="W99" s="451">
        <f t="shared" si="13"/>
        <v>265406.82788741926</v>
      </c>
      <c r="X99" s="451">
        <f t="shared" si="13"/>
        <v>399879.62068371172</v>
      </c>
      <c r="Y99" s="451">
        <f t="shared" si="13"/>
        <v>0</v>
      </c>
      <c r="Z99" s="451">
        <f t="shared" si="13"/>
        <v>0</v>
      </c>
    </row>
    <row r="100" spans="1:26" outlineLevel="2">
      <c r="A100" s="875" t="s">
        <v>81</v>
      </c>
      <c r="B100" s="876" t="s">
        <v>79</v>
      </c>
      <c r="C100" s="876">
        <v>635009</v>
      </c>
      <c r="D100" s="63">
        <v>1</v>
      </c>
      <c r="E100" s="61">
        <v>0</v>
      </c>
      <c r="F100" s="588">
        <f>IFERROR(IF(VLOOKUP(F$2,MODULY_CBA!$B$3:$N$23,13,0)&lt;='TCO TO BE- SW'!$D100,SUM('TCO TO BE- SW'!F$37:F$46)*VLOOKUP('TCO TO BE- SW'!F$2,MODULY_CBA!$B$3:$L$23,10,0),0),0)</f>
        <v>0</v>
      </c>
      <c r="G100" s="588">
        <f>IFERROR(IF(VLOOKUP(G$2,MODULY_CBA!$B$3:$N$23,13,0)&lt;='TCO TO BE- SW'!$D100,SUM('TCO TO BE- SW'!G$37:G$46)*VLOOKUP('TCO TO BE- SW'!G$2,MODULY_CBA!$B$3:$L$23,10,0),0),0)</f>
        <v>0</v>
      </c>
      <c r="H100" s="588">
        <f>IFERROR(IF(VLOOKUP(H$2,MODULY_CBA!$B$3:$N$23,13,0)&lt;='TCO TO BE- SW'!$D100,SUM('TCO TO BE- SW'!H$37:H$46)*VLOOKUP('TCO TO BE- SW'!H$2,MODULY_CBA!$B$3:$L$23,10,0),0),0)</f>
        <v>0</v>
      </c>
      <c r="I100" s="588">
        <f>IFERROR(IF(VLOOKUP(I$2,MODULY_CBA!$B$3:$N$23,13,0)&lt;='TCO TO BE- SW'!$D100,SUM('TCO TO BE- SW'!I$37:I$46)*VLOOKUP('TCO TO BE- SW'!I$2,MODULY_CBA!$B$3:$L$23,10,0),0),0)</f>
        <v>0</v>
      </c>
      <c r="J100" s="588">
        <f>IFERROR(IF(VLOOKUP(J$2,MODULY_CBA!$B$3:$N$23,13,0)&lt;='TCO TO BE- SW'!$D100,SUM('TCO TO BE- SW'!J$37:J$46)*VLOOKUP('TCO TO BE- SW'!J$2,MODULY_CBA!$B$3:$L$23,10,0),0),0)</f>
        <v>0</v>
      </c>
      <c r="K100" s="588">
        <f>IFERROR(IF(VLOOKUP(K$2,MODULY_CBA!$B$3:$N$23,13,0)&lt;='TCO TO BE- SW'!$D100,SUM('TCO TO BE- SW'!K$37:K$46)*VLOOKUP('TCO TO BE- SW'!K$2,MODULY_CBA!$B$3:$L$23,10,0),0),0)</f>
        <v>0</v>
      </c>
      <c r="L100" s="588">
        <f>IFERROR(IF(VLOOKUP(L$2,MODULY_CBA!$B$3:$N$23,13,0)&lt;='TCO TO BE- SW'!$D100,SUM('TCO TO BE- SW'!L$37:L$46)*VLOOKUP('TCO TO BE- SW'!L$2,MODULY_CBA!$B$3:$L$23,10,0),0),0)</f>
        <v>0</v>
      </c>
      <c r="M100" s="588">
        <f>IFERROR(IF(VLOOKUP(M$2,MODULY_CBA!$B$3:$N$23,13,0)&lt;='TCO TO BE- SW'!$D100,SUM('TCO TO BE- SW'!M$37:M$46)*VLOOKUP('TCO TO BE- SW'!M$2,MODULY_CBA!$B$3:$L$23,10,0),0),0)</f>
        <v>0</v>
      </c>
      <c r="N100" s="588">
        <f>IFERROR(IF(VLOOKUP(N$2,MODULY_CBA!$B$3:$N$23,13,0)&lt;='TCO TO BE- SW'!$D100,SUM('TCO TO BE- SW'!N$37:N$46)*VLOOKUP('TCO TO BE- SW'!N$2,MODULY_CBA!$B$3:$L$23,10,0),0),0)</f>
        <v>0</v>
      </c>
      <c r="O100" s="588">
        <f>IFERROR(IF(VLOOKUP(O$2,MODULY_CBA!$B$3:$N$23,13,0)&lt;='TCO TO BE- SW'!$D100,SUM('TCO TO BE- SW'!O$37:O$46)*VLOOKUP('TCO TO BE- SW'!O$2,MODULY_CBA!$B$3:$L$23,10,0),0),0)</f>
        <v>0</v>
      </c>
      <c r="P100" s="588">
        <f>IFERROR(IF(VLOOKUP(P$2,MODULY_CBA!$B$3:$N$23,13,0)&lt;='TCO TO BE- SW'!$D100,SUM('TCO TO BE- SW'!P$37:P$46)*VLOOKUP('TCO TO BE- SW'!P$2,MODULY_CBA!$B$3:$L$23,10,0),0),0)</f>
        <v>0</v>
      </c>
      <c r="Q100" s="588">
        <f>IFERROR(IF(VLOOKUP(Q$2,MODULY_CBA!$B$3:$N$23,13,0)&lt;='TCO TO BE- SW'!$D100,SUM('TCO TO BE- SW'!Q$37:Q$46)*VLOOKUP('TCO TO BE- SW'!Q$2,MODULY_CBA!$B$3:$L$23,10,0),0),0)</f>
        <v>0</v>
      </c>
      <c r="R100" s="588">
        <f>IFERROR(IF(VLOOKUP(R$2,MODULY_CBA!$B$3:$N$23,13,0)&lt;='TCO TO BE- SW'!$D100,SUM('TCO TO BE- SW'!R$37:R$46)*VLOOKUP('TCO TO BE- SW'!R$2,MODULY_CBA!$B$3:$L$23,10,0),0),0)</f>
        <v>0</v>
      </c>
      <c r="S100" s="588">
        <f>IFERROR(IF(VLOOKUP(S$2,MODULY_CBA!$B$3:$N$23,13,0)&lt;='TCO TO BE- SW'!$D100,SUM('TCO TO BE- SW'!S$37:S$46)*VLOOKUP('TCO TO BE- SW'!S$2,MODULY_CBA!$B$3:$L$23,10,0),0),0)</f>
        <v>0</v>
      </c>
      <c r="T100" s="588">
        <f>IFERROR(IF(VLOOKUP(T$2,MODULY_CBA!$B$3:$N$23,13,0)&lt;='TCO TO BE- SW'!$D100,SUM('TCO TO BE- SW'!T$37:T$46)*VLOOKUP('TCO TO BE- SW'!T$2,MODULY_CBA!$B$3:$L$23,10,0),0),0)</f>
        <v>0</v>
      </c>
      <c r="U100" s="588">
        <f>IFERROR(IF(VLOOKUP(U$2,MODULY_CBA!$B$3:$N$23,13,0)&lt;='TCO TO BE- SW'!$D100,SUM('TCO TO BE- SW'!U$37:U$46)*VLOOKUP('TCO TO BE- SW'!U$2,MODULY_CBA!$B$3:$L$23,10,0),0),0)</f>
        <v>0</v>
      </c>
      <c r="V100" s="588">
        <f>IFERROR(IF(VLOOKUP(V$2,MODULY_CBA!$B$3:$N$23,13,0)&lt;='TCO TO BE- SW'!$D100,SUM('TCO TO BE- SW'!V$37:V$46)*VLOOKUP('TCO TO BE- SW'!V$2,MODULY_CBA!$B$3:$L$23,10,0),0),0)</f>
        <v>0</v>
      </c>
      <c r="W100" s="588">
        <f>IFERROR(IF(VLOOKUP(W$2,MODULY_CBA!$B$3:$N$23,13,0)&lt;='TCO TO BE- SW'!$D100,SUM('TCO TO BE- SW'!W$37:W$46)*VLOOKUP('TCO TO BE- SW'!W$2,MODULY_CBA!$B$3:$L$23,10,0),0),0)</f>
        <v>0</v>
      </c>
      <c r="X100" s="588">
        <f>IFERROR(IF(VLOOKUP(X$2,MODULY_CBA!$B$3:$N$23,13,0)&lt;='TCO TO BE- SW'!$D100,SUM('TCO TO BE- SW'!X$37:X$46)*VLOOKUP('TCO TO BE- SW'!X$2,MODULY_CBA!$B$3:$L$23,10,0),0),0)</f>
        <v>0</v>
      </c>
      <c r="Y100" s="588">
        <f>IFERROR(IF(VLOOKUP(Y$2,MODULY_CBA!$B$3:$N$23,13,0)&lt;='TCO TO BE- SW'!$D100,SUM('TCO TO BE- SW'!Y$37:Y$46)*VLOOKUP('TCO TO BE- SW'!Y$2,MODULY_CBA!$B$3:$L$23,10,0),0),0)</f>
        <v>0</v>
      </c>
      <c r="Z100" s="588">
        <f>IFERROR(IF(VLOOKUP(Z$2,MODULY_CBA!$B$3:$N$23,13,0)&lt;='TCO TO BE- SW'!$D100,SUM('TCO TO BE- SW'!Z$37:Z$46)*VLOOKUP('TCO TO BE- SW'!Z$2,MODULY_CBA!$B$3:$L$23,10,0),0),0)</f>
        <v>0</v>
      </c>
    </row>
    <row r="101" spans="1:26" outlineLevel="2">
      <c r="A101" s="875"/>
      <c r="B101" s="876"/>
      <c r="C101" s="876"/>
      <c r="D101" s="64">
        <v>2</v>
      </c>
      <c r="E101" s="61">
        <v>0</v>
      </c>
      <c r="F101" s="588">
        <f>IFERROR(IF(VLOOKUP(F$2,MODULY_CBA!$B$3:$N$23,13,0)&lt;='TCO TO BE- SW'!$D101,SUM('TCO TO BE- SW'!F$37:F$46)*VLOOKUP('TCO TO BE- SW'!F$2,MODULY_CBA!$B$3:$L$23,10,0),0),0)</f>
        <v>0</v>
      </c>
      <c r="G101" s="588">
        <f>IFERROR(IF(VLOOKUP(G$2,MODULY_CBA!$B$3:$N$23,13,0)&lt;='TCO TO BE- SW'!$D101,SUM('TCO TO BE- SW'!G$37:G$46)*VLOOKUP('TCO TO BE- SW'!G$2,MODULY_CBA!$B$3:$L$23,10,0),0),0)</f>
        <v>0</v>
      </c>
      <c r="H101" s="588">
        <f>IFERROR(IF(VLOOKUP(H$2,MODULY_CBA!$B$3:$N$23,13,0)&lt;='TCO TO BE- SW'!$D101,SUM('TCO TO BE- SW'!H$37:H$46)*VLOOKUP('TCO TO BE- SW'!H$2,MODULY_CBA!$B$3:$L$23,10,0),0),0)</f>
        <v>0</v>
      </c>
      <c r="I101" s="588">
        <f>IFERROR(IF(VLOOKUP(I$2,MODULY_CBA!$B$3:$N$23,13,0)&lt;='TCO TO BE- SW'!$D101,SUM('TCO TO BE- SW'!I$37:I$46)*VLOOKUP('TCO TO BE- SW'!I$2,MODULY_CBA!$B$3:$L$23,10,0),0),0)</f>
        <v>0</v>
      </c>
      <c r="J101" s="588">
        <f>IFERROR(IF(VLOOKUP(J$2,MODULY_CBA!$B$3:$N$23,13,0)&lt;='TCO TO BE- SW'!$D101,SUM('TCO TO BE- SW'!J$37:J$46)*VLOOKUP('TCO TO BE- SW'!J$2,MODULY_CBA!$B$3:$L$23,10,0),0),0)</f>
        <v>0</v>
      </c>
      <c r="K101" s="588">
        <f>IFERROR(IF(VLOOKUP(K$2,MODULY_CBA!$B$3:$N$23,13,0)&lt;='TCO TO BE- SW'!$D101,SUM('TCO TO BE- SW'!K$37:K$46)*VLOOKUP('TCO TO BE- SW'!K$2,MODULY_CBA!$B$3:$L$23,10,0),0),0)</f>
        <v>0</v>
      </c>
      <c r="L101" s="588">
        <f>IFERROR(IF(VLOOKUP(L$2,MODULY_CBA!$B$3:$N$23,13,0)&lt;='TCO TO BE- SW'!$D101,SUM('TCO TO BE- SW'!L$37:L$46)*VLOOKUP('TCO TO BE- SW'!L$2,MODULY_CBA!$B$3:$L$23,10,0),0),0)</f>
        <v>0</v>
      </c>
      <c r="M101" s="588">
        <f>IFERROR(IF(VLOOKUP(M$2,MODULY_CBA!$B$3:$N$23,13,0)&lt;='TCO TO BE- SW'!$D101,SUM('TCO TO BE- SW'!M$37:M$46)*VLOOKUP('TCO TO BE- SW'!M$2,MODULY_CBA!$B$3:$L$23,10,0),0),0)</f>
        <v>0</v>
      </c>
      <c r="N101" s="588">
        <f>IFERROR(IF(VLOOKUP(N$2,MODULY_CBA!$B$3:$N$23,13,0)&lt;='TCO TO BE- SW'!$D101,SUM('TCO TO BE- SW'!N$37:N$46)*VLOOKUP('TCO TO BE- SW'!N$2,MODULY_CBA!$B$3:$L$23,10,0),0),0)</f>
        <v>0</v>
      </c>
      <c r="O101" s="588">
        <f>IFERROR(IF(VLOOKUP(O$2,MODULY_CBA!$B$3:$N$23,13,0)&lt;='TCO TO BE- SW'!$D101,SUM('TCO TO BE- SW'!O$37:O$46)*VLOOKUP('TCO TO BE- SW'!O$2,MODULY_CBA!$B$3:$L$23,10,0),0),0)</f>
        <v>0</v>
      </c>
      <c r="P101" s="588">
        <f>IFERROR(IF(VLOOKUP(P$2,MODULY_CBA!$B$3:$N$23,13,0)&lt;='TCO TO BE- SW'!$D101,SUM('TCO TO BE- SW'!P$37:P$46)*VLOOKUP('TCO TO BE- SW'!P$2,MODULY_CBA!$B$3:$L$23,10,0),0),0)</f>
        <v>0</v>
      </c>
      <c r="Q101" s="588">
        <f>IFERROR(IF(VLOOKUP(Q$2,MODULY_CBA!$B$3:$N$23,13,0)&lt;='TCO TO BE- SW'!$D101,SUM('TCO TO BE- SW'!Q$37:Q$46)*VLOOKUP('TCO TO BE- SW'!Q$2,MODULY_CBA!$B$3:$L$23,10,0),0),0)</f>
        <v>0</v>
      </c>
      <c r="R101" s="588">
        <f>IFERROR(IF(VLOOKUP(R$2,MODULY_CBA!$B$3:$N$23,13,0)&lt;='TCO TO BE- SW'!$D101,SUM('TCO TO BE- SW'!R$37:R$46)*VLOOKUP('TCO TO BE- SW'!R$2,MODULY_CBA!$B$3:$L$23,10,0),0),0)</f>
        <v>0</v>
      </c>
      <c r="S101" s="588">
        <f>IFERROR(IF(VLOOKUP(S$2,MODULY_CBA!$B$3:$N$23,13,0)&lt;='TCO TO BE- SW'!$D101,SUM('TCO TO BE- SW'!S$37:S$46)*VLOOKUP('TCO TO BE- SW'!S$2,MODULY_CBA!$B$3:$L$23,10,0),0),0)</f>
        <v>0</v>
      </c>
      <c r="T101" s="588">
        <f>IFERROR(IF(VLOOKUP(T$2,MODULY_CBA!$B$3:$N$23,13,0)&lt;='TCO TO BE- SW'!$D101,SUM('TCO TO BE- SW'!T$37:T$46)*VLOOKUP('TCO TO BE- SW'!T$2,MODULY_CBA!$B$3:$L$23,10,0),0),0)</f>
        <v>0</v>
      </c>
      <c r="U101" s="588">
        <f>IFERROR(IF(VLOOKUP(U$2,MODULY_CBA!$B$3:$N$23,13,0)&lt;='TCO TO BE- SW'!$D101,SUM('TCO TO BE- SW'!U$37:U$46)*VLOOKUP('TCO TO BE- SW'!U$2,MODULY_CBA!$B$3:$L$23,10,0),0),0)</f>
        <v>0</v>
      </c>
      <c r="V101" s="588">
        <f>IFERROR(IF(VLOOKUP(V$2,MODULY_CBA!$B$3:$N$23,13,0)&lt;='TCO TO BE- SW'!$D101,SUM('TCO TO BE- SW'!V$37:V$46)*VLOOKUP('TCO TO BE- SW'!V$2,MODULY_CBA!$B$3:$L$23,10,0),0),0)</f>
        <v>0</v>
      </c>
      <c r="W101" s="588">
        <f>IFERROR(IF(VLOOKUP(W$2,MODULY_CBA!$B$3:$N$23,13,0)&lt;='TCO TO BE- SW'!$D101,SUM('TCO TO BE- SW'!W$37:W$46)*VLOOKUP('TCO TO BE- SW'!W$2,MODULY_CBA!$B$3:$L$23,10,0),0),0)</f>
        <v>0</v>
      </c>
      <c r="X101" s="588">
        <f>IFERROR(IF(VLOOKUP(X$2,MODULY_CBA!$B$3:$N$23,13,0)&lt;='TCO TO BE- SW'!$D101,SUM('TCO TO BE- SW'!X$37:X$46)*VLOOKUP('TCO TO BE- SW'!X$2,MODULY_CBA!$B$3:$L$23,10,0),0),0)</f>
        <v>0</v>
      </c>
      <c r="Y101" s="588">
        <f>IFERROR(IF(VLOOKUP(Y$2,MODULY_CBA!$B$3:$N$23,13,0)&lt;='TCO TO BE- SW'!$D101,SUM('TCO TO BE- SW'!Y$37:Y$46)*VLOOKUP('TCO TO BE- SW'!Y$2,MODULY_CBA!$B$3:$L$23,10,0),0),0)</f>
        <v>0</v>
      </c>
      <c r="Z101" s="588">
        <f>IFERROR(IF(VLOOKUP(Z$2,MODULY_CBA!$B$3:$N$23,13,0)&lt;='TCO TO BE- SW'!$D101,SUM('TCO TO BE- SW'!Z$37:Z$46)*VLOOKUP('TCO TO BE- SW'!Z$2,MODULY_CBA!$B$3:$L$23,10,0),0),0)</f>
        <v>0</v>
      </c>
    </row>
    <row r="102" spans="1:26" outlineLevel="2">
      <c r="A102" s="875"/>
      <c r="B102" s="876"/>
      <c r="C102" s="876"/>
      <c r="D102" s="64">
        <v>3</v>
      </c>
      <c r="E102" s="68">
        <f t="shared" ref="E102:E149" si="14">SUM(F102:Z102)</f>
        <v>449896.71570659941</v>
      </c>
      <c r="F102" s="588">
        <f>IFERROR(IF(VLOOKUP(F$2,MODULY_CBA!$B$3:$N$23,13,0)&lt;='TCO TO BE- SW'!$D102,SUM('TCO TO BE- SW'!F$37:F$46)*VLOOKUP('TCO TO BE- SW'!F$2,MODULY_CBA!$B$3:$L$23,10,0),0),0)</f>
        <v>29493.266002740707</v>
      </c>
      <c r="G102" s="588">
        <f>IFERROR(IF(VLOOKUP(G$2,MODULY_CBA!$B$3:$N$23,13,0)&lt;='TCO TO BE- SW'!$D102,SUM('TCO TO BE- SW'!G$37:G$46)*VLOOKUP('TCO TO BE- SW'!G$2,MODULY_CBA!$B$3:$L$23,10,0),0),0)</f>
        <v>99427.804510926799</v>
      </c>
      <c r="H102" s="588">
        <f>IFERROR(IF(VLOOKUP(H$2,MODULY_CBA!$B$3:$N$23,13,0)&lt;='TCO TO BE- SW'!$D102,SUM('TCO TO BE- SW'!H$37:H$46)*VLOOKUP('TCO TO BE- SW'!H$2,MODULY_CBA!$B$3:$L$23,10,0),0),0)</f>
        <v>98299.828083375396</v>
      </c>
      <c r="I102" s="588">
        <f>IFERROR(IF(VLOOKUP(I$2,MODULY_CBA!$B$3:$N$23,13,0)&lt;='TCO TO BE- SW'!$D102,SUM('TCO TO BE- SW'!I$37:I$46)*VLOOKUP('TCO TO BE- SW'!I$2,MODULY_CBA!$B$3:$L$23,10,0),0),0)</f>
        <v>19540.532818463758</v>
      </c>
      <c r="J102" s="588">
        <f>IFERROR(IF(VLOOKUP(J$2,MODULY_CBA!$B$3:$N$23,13,0)&lt;='TCO TO BE- SW'!$D102,SUM('TCO TO BE- SW'!J$37:J$46)*VLOOKUP('TCO TO BE- SW'!J$2,MODULY_CBA!$B$3:$L$23,10,0),0),0)</f>
        <v>58654.774232672193</v>
      </c>
      <c r="K102" s="588">
        <f>IFERROR(IF(VLOOKUP(K$2,MODULY_CBA!$B$3:$N$23,13,0)&lt;='TCO TO BE- SW'!$D102,SUM('TCO TO BE- SW'!K$37:K$46)*VLOOKUP('TCO TO BE- SW'!K$2,MODULY_CBA!$B$3:$L$23,10,0),0),0)</f>
        <v>16455.185531337898</v>
      </c>
      <c r="L102" s="588">
        <f>IFERROR(IF(VLOOKUP(L$2,MODULY_CBA!$B$3:$N$23,13,0)&lt;='TCO TO BE- SW'!$D102,SUM('TCO TO BE- SW'!L$37:L$46)*VLOOKUP('TCO TO BE- SW'!L$2,MODULY_CBA!$B$3:$L$23,10,0),0),0)</f>
        <v>0</v>
      </c>
      <c r="M102" s="588">
        <f>IFERROR(IF(VLOOKUP(M$2,MODULY_CBA!$B$3:$N$23,13,0)&lt;='TCO TO BE- SW'!$D102,SUM('TCO TO BE- SW'!M$37:M$46)*VLOOKUP('TCO TO BE- SW'!M$2,MODULY_CBA!$B$3:$L$23,10,0),0),0)</f>
        <v>0</v>
      </c>
      <c r="N102" s="588">
        <f>IFERROR(IF(VLOOKUP(N$2,MODULY_CBA!$B$3:$N$23,13,0)&lt;='TCO TO BE- SW'!$D102,SUM('TCO TO BE- SW'!N$37:N$46)*VLOOKUP('TCO TO BE- SW'!N$2,MODULY_CBA!$B$3:$L$23,10,0),0),0)</f>
        <v>13568.892907897583</v>
      </c>
      <c r="O102" s="588">
        <f>IFERROR(IF(VLOOKUP(O$2,MODULY_CBA!$B$3:$N$23,13,0)&lt;='TCO TO BE- SW'!$D102,SUM('TCO TO BE- SW'!O$37:O$46)*VLOOKUP('TCO TO BE- SW'!O$2,MODULY_CBA!$B$3:$L$23,10,0),0),0)</f>
        <v>16156.603535809594</v>
      </c>
      <c r="P102" s="588">
        <f>IFERROR(IF(VLOOKUP(P$2,MODULY_CBA!$B$3:$N$23,13,0)&lt;='TCO TO BE- SW'!$D102,SUM('TCO TO BE- SW'!P$37:P$46)*VLOOKUP('TCO TO BE- SW'!P$2,MODULY_CBA!$B$3:$L$23,10,0),0),0)</f>
        <v>3682.5112781824737</v>
      </c>
      <c r="Q102" s="588">
        <f>IFERROR(IF(VLOOKUP(Q$2,MODULY_CBA!$B$3:$N$23,13,0)&lt;='TCO TO BE- SW'!$D102,SUM('TCO TO BE- SW'!Q$37:Q$46)*VLOOKUP('TCO TO BE- SW'!Q$2,MODULY_CBA!$B$3:$L$23,10,0),0),0)</f>
        <v>829.39443202307984</v>
      </c>
      <c r="R102" s="588">
        <f>IFERROR(IF(VLOOKUP(R$2,MODULY_CBA!$B$3:$N$23,13,0)&lt;='TCO TO BE- SW'!$D102,SUM('TCO TO BE- SW'!R$37:R$46)*VLOOKUP('TCO TO BE- SW'!R$2,MODULY_CBA!$B$3:$L$23,10,0),0),0)</f>
        <v>6535.6281243418671</v>
      </c>
      <c r="S102" s="588">
        <f>IFERROR(IF(VLOOKUP(S$2,MODULY_CBA!$B$3:$N$23,13,0)&lt;='TCO TO BE- SW'!$D102,SUM('TCO TO BE- SW'!S$37:S$46)*VLOOKUP('TCO TO BE- SW'!S$2,MODULY_CBA!$B$3:$L$23,10,0),0),0)</f>
        <v>4478.7299329246298</v>
      </c>
      <c r="T102" s="588">
        <f>IFERROR(IF(VLOOKUP(T$2,MODULY_CBA!$B$3:$N$23,13,0)&lt;='TCO TO BE- SW'!$D102,SUM('TCO TO BE- SW'!T$37:T$46)*VLOOKUP('TCO TO BE- SW'!T$2,MODULY_CBA!$B$3:$L$23,10,0),0),0)</f>
        <v>13403.014021492967</v>
      </c>
      <c r="U102" s="588">
        <f>IFERROR(IF(VLOOKUP(U$2,MODULY_CBA!$B$3:$N$23,13,0)&lt;='TCO TO BE- SW'!$D102,SUM('TCO TO BE- SW'!U$37:U$46)*VLOOKUP('TCO TO BE- SW'!U$2,MODULY_CBA!$B$3:$L$23,10,0),0),0)</f>
        <v>10450.369843490802</v>
      </c>
      <c r="V102" s="588">
        <f>IFERROR(IF(VLOOKUP(V$2,MODULY_CBA!$B$3:$N$23,13,0)&lt;='TCO TO BE- SW'!$D102,SUM('TCO TO BE- SW'!V$37:V$46)*VLOOKUP('TCO TO BE- SW'!V$2,MODULY_CBA!$B$3:$L$23,10,0),0),0)</f>
        <v>9023.8114204111062</v>
      </c>
      <c r="W102" s="588">
        <f>IFERROR(IF(VLOOKUP(W$2,MODULY_CBA!$B$3:$N$23,13,0)&lt;='TCO TO BE- SW'!$D102,SUM('TCO TO BE- SW'!W$37:W$46)*VLOOKUP('TCO TO BE- SW'!W$2,MODULY_CBA!$B$3:$L$23,10,0),0),0)</f>
        <v>19905.466368553909</v>
      </c>
      <c r="X102" s="588">
        <f>IFERROR(IF(VLOOKUP(X$2,MODULY_CBA!$B$3:$N$23,13,0)&lt;='TCO TO BE- SW'!$D102,SUM('TCO TO BE- SW'!X$37:X$46)*VLOOKUP('TCO TO BE- SW'!X$2,MODULY_CBA!$B$3:$L$23,10,0),0),0)</f>
        <v>29990.902661954555</v>
      </c>
      <c r="Y102" s="588">
        <f>IFERROR(IF(VLOOKUP(Y$2,MODULY_CBA!$B$3:$N$23,13,0)&lt;='TCO TO BE- SW'!$D102,SUM('TCO TO BE- SW'!Y$37:Y$46)*VLOOKUP('TCO TO BE- SW'!Y$2,MODULY_CBA!$B$3:$L$23,10,0),0),0)</f>
        <v>0</v>
      </c>
      <c r="Z102" s="588">
        <f>IFERROR(IF(VLOOKUP(Z$2,MODULY_CBA!$B$3:$N$23,13,0)&lt;='TCO TO BE- SW'!$D102,SUM('TCO TO BE- SW'!Z$37:Z$46)*VLOOKUP('TCO TO BE- SW'!Z$2,MODULY_CBA!$B$3:$L$23,10,0),0),0)</f>
        <v>0</v>
      </c>
    </row>
    <row r="103" spans="1:26" outlineLevel="2">
      <c r="A103" s="875"/>
      <c r="B103" s="876"/>
      <c r="C103" s="876"/>
      <c r="D103" s="64">
        <v>4</v>
      </c>
      <c r="E103" s="68">
        <f t="shared" si="14"/>
        <v>459982.15200000006</v>
      </c>
      <c r="F103" s="588">
        <f>IFERROR(IF(VLOOKUP(F$2,MODULY_CBA!$B$3:$N$23,13,0)&lt;='TCO TO BE- SW'!$D103,SUM('TCO TO BE- SW'!F$37:F$46)*VLOOKUP('TCO TO BE- SW'!F$2,MODULY_CBA!$B$3:$L$23,10,0),0),0)</f>
        <v>29493.266002740707</v>
      </c>
      <c r="G103" s="588">
        <f>IFERROR(IF(VLOOKUP(G$2,MODULY_CBA!$B$3:$N$23,13,0)&lt;='TCO TO BE- SW'!$D103,SUM('TCO TO BE- SW'!G$37:G$46)*VLOOKUP('TCO TO BE- SW'!G$2,MODULY_CBA!$B$3:$L$23,10,0),0),0)</f>
        <v>99427.804510926799</v>
      </c>
      <c r="H103" s="588">
        <f>IFERROR(IF(VLOOKUP(H$2,MODULY_CBA!$B$3:$N$23,13,0)&lt;='TCO TO BE- SW'!$D103,SUM('TCO TO BE- SW'!H$37:H$46)*VLOOKUP('TCO TO BE- SW'!H$2,MODULY_CBA!$B$3:$L$23,10,0),0),0)</f>
        <v>98299.828083375396</v>
      </c>
      <c r="I103" s="588">
        <f>IFERROR(IF(VLOOKUP(I$2,MODULY_CBA!$B$3:$N$23,13,0)&lt;='TCO TO BE- SW'!$D103,SUM('TCO TO BE- SW'!I$37:I$46)*VLOOKUP('TCO TO BE- SW'!I$2,MODULY_CBA!$B$3:$L$23,10,0),0),0)</f>
        <v>19540.532818463758</v>
      </c>
      <c r="J103" s="588">
        <f>IFERROR(IF(VLOOKUP(J$2,MODULY_CBA!$B$3:$N$23,13,0)&lt;='TCO TO BE- SW'!$D103,SUM('TCO TO BE- SW'!J$37:J$46)*VLOOKUP('TCO TO BE- SW'!J$2,MODULY_CBA!$B$3:$L$23,10,0),0),0)</f>
        <v>58654.774232672193</v>
      </c>
      <c r="K103" s="588">
        <f>IFERROR(IF(VLOOKUP(K$2,MODULY_CBA!$B$3:$N$23,13,0)&lt;='TCO TO BE- SW'!$D103,SUM('TCO TO BE- SW'!K$37:K$46)*VLOOKUP('TCO TO BE- SW'!K$2,MODULY_CBA!$B$3:$L$23,10,0),0),0)</f>
        <v>16455.185531337898</v>
      </c>
      <c r="L103" s="588">
        <f>IFERROR(IF(VLOOKUP(L$2,MODULY_CBA!$B$3:$N$23,13,0)&lt;='TCO TO BE- SW'!$D103,SUM('TCO TO BE- SW'!L$37:L$46)*VLOOKUP('TCO TO BE- SW'!L$2,MODULY_CBA!$B$3:$L$23,10,0),0),0)</f>
        <v>5440.8274740714023</v>
      </c>
      <c r="M103" s="588">
        <f>IFERROR(IF(VLOOKUP(M$2,MODULY_CBA!$B$3:$N$23,13,0)&lt;='TCO TO BE- SW'!$D103,SUM('TCO TO BE- SW'!M$37:M$46)*VLOOKUP('TCO TO BE- SW'!M$2,MODULY_CBA!$B$3:$L$23,10,0),0),0)</f>
        <v>4644.6088193292462</v>
      </c>
      <c r="N103" s="588">
        <f>IFERROR(IF(VLOOKUP(N$2,MODULY_CBA!$B$3:$N$23,13,0)&lt;='TCO TO BE- SW'!$D103,SUM('TCO TO BE- SW'!N$37:N$46)*VLOOKUP('TCO TO BE- SW'!N$2,MODULY_CBA!$B$3:$L$23,10,0),0),0)</f>
        <v>13568.892907897583</v>
      </c>
      <c r="O103" s="588">
        <f>IFERROR(IF(VLOOKUP(O$2,MODULY_CBA!$B$3:$N$23,13,0)&lt;='TCO TO BE- SW'!$D103,SUM('TCO TO BE- SW'!O$37:O$46)*VLOOKUP('TCO TO BE- SW'!O$2,MODULY_CBA!$B$3:$L$23,10,0),0),0)</f>
        <v>16156.603535809594</v>
      </c>
      <c r="P103" s="588">
        <f>IFERROR(IF(VLOOKUP(P$2,MODULY_CBA!$B$3:$N$23,13,0)&lt;='TCO TO BE- SW'!$D103,SUM('TCO TO BE- SW'!P$37:P$46)*VLOOKUP('TCO TO BE- SW'!P$2,MODULY_CBA!$B$3:$L$23,10,0),0),0)</f>
        <v>3682.5112781824737</v>
      </c>
      <c r="Q103" s="588">
        <f>IFERROR(IF(VLOOKUP(Q$2,MODULY_CBA!$B$3:$N$23,13,0)&lt;='TCO TO BE- SW'!$D103,SUM('TCO TO BE- SW'!Q$37:Q$46)*VLOOKUP('TCO TO BE- SW'!Q$2,MODULY_CBA!$B$3:$L$23,10,0),0),0)</f>
        <v>829.39443202307984</v>
      </c>
      <c r="R103" s="588">
        <f>IFERROR(IF(VLOOKUP(R$2,MODULY_CBA!$B$3:$N$23,13,0)&lt;='TCO TO BE- SW'!$D103,SUM('TCO TO BE- SW'!R$37:R$46)*VLOOKUP('TCO TO BE- SW'!R$2,MODULY_CBA!$B$3:$L$23,10,0),0),0)</f>
        <v>6535.6281243418671</v>
      </c>
      <c r="S103" s="588">
        <f>IFERROR(IF(VLOOKUP(S$2,MODULY_CBA!$B$3:$N$23,13,0)&lt;='TCO TO BE- SW'!$D103,SUM('TCO TO BE- SW'!S$37:S$46)*VLOOKUP('TCO TO BE- SW'!S$2,MODULY_CBA!$B$3:$L$23,10,0),0),0)</f>
        <v>4478.7299329246298</v>
      </c>
      <c r="T103" s="588">
        <f>IFERROR(IF(VLOOKUP(T$2,MODULY_CBA!$B$3:$N$23,13,0)&lt;='TCO TO BE- SW'!$D103,SUM('TCO TO BE- SW'!T$37:T$46)*VLOOKUP('TCO TO BE- SW'!T$2,MODULY_CBA!$B$3:$L$23,10,0),0),0)</f>
        <v>13403.014021492967</v>
      </c>
      <c r="U103" s="588">
        <f>IFERROR(IF(VLOOKUP(U$2,MODULY_CBA!$B$3:$N$23,13,0)&lt;='TCO TO BE- SW'!$D103,SUM('TCO TO BE- SW'!U$37:U$46)*VLOOKUP('TCO TO BE- SW'!U$2,MODULY_CBA!$B$3:$L$23,10,0),0),0)</f>
        <v>10450.369843490802</v>
      </c>
      <c r="V103" s="588">
        <f>IFERROR(IF(VLOOKUP(V$2,MODULY_CBA!$B$3:$N$23,13,0)&lt;='TCO TO BE- SW'!$D103,SUM('TCO TO BE- SW'!V$37:V$46)*VLOOKUP('TCO TO BE- SW'!V$2,MODULY_CBA!$B$3:$L$23,10,0),0),0)</f>
        <v>9023.8114204111062</v>
      </c>
      <c r="W103" s="588">
        <f>IFERROR(IF(VLOOKUP(W$2,MODULY_CBA!$B$3:$N$23,13,0)&lt;='TCO TO BE- SW'!$D103,SUM('TCO TO BE- SW'!W$37:W$46)*VLOOKUP('TCO TO BE- SW'!W$2,MODULY_CBA!$B$3:$L$23,10,0),0),0)</f>
        <v>19905.466368553909</v>
      </c>
      <c r="X103" s="588">
        <f>IFERROR(IF(VLOOKUP(X$2,MODULY_CBA!$B$3:$N$23,13,0)&lt;='TCO TO BE- SW'!$D103,SUM('TCO TO BE- SW'!X$37:X$46)*VLOOKUP('TCO TO BE- SW'!X$2,MODULY_CBA!$B$3:$L$23,10,0),0),0)</f>
        <v>29990.902661954555</v>
      </c>
      <c r="Y103" s="588">
        <f>IFERROR(IF(VLOOKUP(Y$2,MODULY_CBA!$B$3:$N$23,13,0)&lt;='TCO TO BE- SW'!$D103,SUM('TCO TO BE- SW'!Y$37:Y$46)*VLOOKUP('TCO TO BE- SW'!Y$2,MODULY_CBA!$B$3:$L$23,10,0),0),0)</f>
        <v>0</v>
      </c>
      <c r="Z103" s="588">
        <f>IFERROR(IF(VLOOKUP(Z$2,MODULY_CBA!$B$3:$N$23,13,0)&lt;='TCO TO BE- SW'!$D103,SUM('TCO TO BE- SW'!Z$37:Z$46)*VLOOKUP('TCO TO BE- SW'!Z$2,MODULY_CBA!$B$3:$L$23,10,0),0),0)</f>
        <v>0</v>
      </c>
    </row>
    <row r="104" spans="1:26" outlineLevel="2">
      <c r="A104" s="875"/>
      <c r="B104" s="876"/>
      <c r="C104" s="876"/>
      <c r="D104" s="64">
        <v>5</v>
      </c>
      <c r="E104" s="68">
        <f t="shared" si="14"/>
        <v>459982.15200000006</v>
      </c>
      <c r="F104" s="588">
        <f>IFERROR(IF(VLOOKUP(F$2,MODULY_CBA!$B$3:$N$23,13,0)&lt;='TCO TO BE- SW'!$D104,SUM('TCO TO BE- SW'!F$37:F$46)*VLOOKUP('TCO TO BE- SW'!F$2,MODULY_CBA!$B$3:$L$23,10,0),0),0)</f>
        <v>29493.266002740707</v>
      </c>
      <c r="G104" s="588">
        <f>IFERROR(IF(VLOOKUP(G$2,MODULY_CBA!$B$3:$N$23,13,0)&lt;='TCO TO BE- SW'!$D104,SUM('TCO TO BE- SW'!G$37:G$46)*VLOOKUP('TCO TO BE- SW'!G$2,MODULY_CBA!$B$3:$L$23,10,0),0),0)</f>
        <v>99427.804510926799</v>
      </c>
      <c r="H104" s="588">
        <f>IFERROR(IF(VLOOKUP(H$2,MODULY_CBA!$B$3:$N$23,13,0)&lt;='TCO TO BE- SW'!$D104,SUM('TCO TO BE- SW'!H$37:H$46)*VLOOKUP('TCO TO BE- SW'!H$2,MODULY_CBA!$B$3:$L$23,10,0),0),0)</f>
        <v>98299.828083375396</v>
      </c>
      <c r="I104" s="588">
        <f>IFERROR(IF(VLOOKUP(I$2,MODULY_CBA!$B$3:$N$23,13,0)&lt;='TCO TO BE- SW'!$D104,SUM('TCO TO BE- SW'!I$37:I$46)*VLOOKUP('TCO TO BE- SW'!I$2,MODULY_CBA!$B$3:$L$23,10,0),0),0)</f>
        <v>19540.532818463758</v>
      </c>
      <c r="J104" s="588">
        <f>IFERROR(IF(VLOOKUP(J$2,MODULY_CBA!$B$3:$N$23,13,0)&lt;='TCO TO BE- SW'!$D104,SUM('TCO TO BE- SW'!J$37:J$46)*VLOOKUP('TCO TO BE- SW'!J$2,MODULY_CBA!$B$3:$L$23,10,0),0),0)</f>
        <v>58654.774232672193</v>
      </c>
      <c r="K104" s="588">
        <f>IFERROR(IF(VLOOKUP(K$2,MODULY_CBA!$B$3:$N$23,13,0)&lt;='TCO TO BE- SW'!$D104,SUM('TCO TO BE- SW'!K$37:K$46)*VLOOKUP('TCO TO BE- SW'!K$2,MODULY_CBA!$B$3:$L$23,10,0),0),0)</f>
        <v>16455.185531337898</v>
      </c>
      <c r="L104" s="588">
        <f>IFERROR(IF(VLOOKUP(L$2,MODULY_CBA!$B$3:$N$23,13,0)&lt;='TCO TO BE- SW'!$D104,SUM('TCO TO BE- SW'!L$37:L$46)*VLOOKUP('TCO TO BE- SW'!L$2,MODULY_CBA!$B$3:$L$23,10,0),0),0)</f>
        <v>5440.8274740714023</v>
      </c>
      <c r="M104" s="588">
        <f>IFERROR(IF(VLOOKUP(M$2,MODULY_CBA!$B$3:$N$23,13,0)&lt;='TCO TO BE- SW'!$D104,SUM('TCO TO BE- SW'!M$37:M$46)*VLOOKUP('TCO TO BE- SW'!M$2,MODULY_CBA!$B$3:$L$23,10,0),0),0)</f>
        <v>4644.6088193292462</v>
      </c>
      <c r="N104" s="588">
        <f>IFERROR(IF(VLOOKUP(N$2,MODULY_CBA!$B$3:$N$23,13,0)&lt;='TCO TO BE- SW'!$D104,SUM('TCO TO BE- SW'!N$37:N$46)*VLOOKUP('TCO TO BE- SW'!N$2,MODULY_CBA!$B$3:$L$23,10,0),0),0)</f>
        <v>13568.892907897583</v>
      </c>
      <c r="O104" s="588">
        <f>IFERROR(IF(VLOOKUP(O$2,MODULY_CBA!$B$3:$N$23,13,0)&lt;='TCO TO BE- SW'!$D104,SUM('TCO TO BE- SW'!O$37:O$46)*VLOOKUP('TCO TO BE- SW'!O$2,MODULY_CBA!$B$3:$L$23,10,0),0),0)</f>
        <v>16156.603535809594</v>
      </c>
      <c r="P104" s="588">
        <f>IFERROR(IF(VLOOKUP(P$2,MODULY_CBA!$B$3:$N$23,13,0)&lt;='TCO TO BE- SW'!$D104,SUM('TCO TO BE- SW'!P$37:P$46)*VLOOKUP('TCO TO BE- SW'!P$2,MODULY_CBA!$B$3:$L$23,10,0),0),0)</f>
        <v>3682.5112781824737</v>
      </c>
      <c r="Q104" s="588">
        <f>IFERROR(IF(VLOOKUP(Q$2,MODULY_CBA!$B$3:$N$23,13,0)&lt;='TCO TO BE- SW'!$D104,SUM('TCO TO BE- SW'!Q$37:Q$46)*VLOOKUP('TCO TO BE- SW'!Q$2,MODULY_CBA!$B$3:$L$23,10,0),0),0)</f>
        <v>829.39443202307984</v>
      </c>
      <c r="R104" s="588">
        <f>IFERROR(IF(VLOOKUP(R$2,MODULY_CBA!$B$3:$N$23,13,0)&lt;='TCO TO BE- SW'!$D104,SUM('TCO TO BE- SW'!R$37:R$46)*VLOOKUP('TCO TO BE- SW'!R$2,MODULY_CBA!$B$3:$L$23,10,0),0),0)</f>
        <v>6535.6281243418671</v>
      </c>
      <c r="S104" s="588">
        <f>IFERROR(IF(VLOOKUP(S$2,MODULY_CBA!$B$3:$N$23,13,0)&lt;='TCO TO BE- SW'!$D104,SUM('TCO TO BE- SW'!S$37:S$46)*VLOOKUP('TCO TO BE- SW'!S$2,MODULY_CBA!$B$3:$L$23,10,0),0),0)</f>
        <v>4478.7299329246298</v>
      </c>
      <c r="T104" s="588">
        <f>IFERROR(IF(VLOOKUP(T$2,MODULY_CBA!$B$3:$N$23,13,0)&lt;='TCO TO BE- SW'!$D104,SUM('TCO TO BE- SW'!T$37:T$46)*VLOOKUP('TCO TO BE- SW'!T$2,MODULY_CBA!$B$3:$L$23,10,0),0),0)</f>
        <v>13403.014021492967</v>
      </c>
      <c r="U104" s="588">
        <f>IFERROR(IF(VLOOKUP(U$2,MODULY_CBA!$B$3:$N$23,13,0)&lt;='TCO TO BE- SW'!$D104,SUM('TCO TO BE- SW'!U$37:U$46)*VLOOKUP('TCO TO BE- SW'!U$2,MODULY_CBA!$B$3:$L$23,10,0),0),0)</f>
        <v>10450.369843490802</v>
      </c>
      <c r="V104" s="588">
        <f>IFERROR(IF(VLOOKUP(V$2,MODULY_CBA!$B$3:$N$23,13,0)&lt;='TCO TO BE- SW'!$D104,SUM('TCO TO BE- SW'!V$37:V$46)*VLOOKUP('TCO TO BE- SW'!V$2,MODULY_CBA!$B$3:$L$23,10,0),0),0)</f>
        <v>9023.8114204111062</v>
      </c>
      <c r="W104" s="588">
        <f>IFERROR(IF(VLOOKUP(W$2,MODULY_CBA!$B$3:$N$23,13,0)&lt;='TCO TO BE- SW'!$D104,SUM('TCO TO BE- SW'!W$37:W$46)*VLOOKUP('TCO TO BE- SW'!W$2,MODULY_CBA!$B$3:$L$23,10,0),0),0)</f>
        <v>19905.466368553909</v>
      </c>
      <c r="X104" s="588">
        <f>IFERROR(IF(VLOOKUP(X$2,MODULY_CBA!$B$3:$N$23,13,0)&lt;='TCO TO BE- SW'!$D104,SUM('TCO TO BE- SW'!X$37:X$46)*VLOOKUP('TCO TO BE- SW'!X$2,MODULY_CBA!$B$3:$L$23,10,0),0),0)</f>
        <v>29990.902661954555</v>
      </c>
      <c r="Y104" s="588">
        <f>IFERROR(IF(VLOOKUP(Y$2,MODULY_CBA!$B$3:$N$23,13,0)&lt;='TCO TO BE- SW'!$D104,SUM('TCO TO BE- SW'!Y$37:Y$46)*VLOOKUP('TCO TO BE- SW'!Y$2,MODULY_CBA!$B$3:$L$23,10,0),0),0)</f>
        <v>0</v>
      </c>
      <c r="Z104" s="588">
        <f>IFERROR(IF(VLOOKUP(Z$2,MODULY_CBA!$B$3:$N$23,13,0)&lt;='TCO TO BE- SW'!$D104,SUM('TCO TO BE- SW'!Z$37:Z$46)*VLOOKUP('TCO TO BE- SW'!Z$2,MODULY_CBA!$B$3:$L$23,10,0),0),0)</f>
        <v>0</v>
      </c>
    </row>
    <row r="105" spans="1:26" outlineLevel="2">
      <c r="A105" s="875"/>
      <c r="B105" s="876"/>
      <c r="C105" s="876"/>
      <c r="D105" s="64">
        <v>6</v>
      </c>
      <c r="E105" s="68">
        <f t="shared" si="14"/>
        <v>459982.15200000006</v>
      </c>
      <c r="F105" s="588">
        <f>IFERROR(IF(VLOOKUP(F$2,MODULY_CBA!$B$3:$N$23,13,0)&lt;='TCO TO BE- SW'!$D105,SUM('TCO TO BE- SW'!F$37:F$46)*VLOOKUP('TCO TO BE- SW'!F$2,MODULY_CBA!$B$3:$L$23,10,0),0),0)</f>
        <v>29493.266002740707</v>
      </c>
      <c r="G105" s="588">
        <f>IFERROR(IF(VLOOKUP(G$2,MODULY_CBA!$B$3:$N$23,13,0)&lt;='TCO TO BE- SW'!$D105,SUM('TCO TO BE- SW'!G$37:G$46)*VLOOKUP('TCO TO BE- SW'!G$2,MODULY_CBA!$B$3:$L$23,10,0),0),0)</f>
        <v>99427.804510926799</v>
      </c>
      <c r="H105" s="588">
        <f>IFERROR(IF(VLOOKUP(H$2,MODULY_CBA!$B$3:$N$23,13,0)&lt;='TCO TO BE- SW'!$D105,SUM('TCO TO BE- SW'!H$37:H$46)*VLOOKUP('TCO TO BE- SW'!H$2,MODULY_CBA!$B$3:$L$23,10,0),0),0)</f>
        <v>98299.828083375396</v>
      </c>
      <c r="I105" s="588">
        <f>IFERROR(IF(VLOOKUP(I$2,MODULY_CBA!$B$3:$N$23,13,0)&lt;='TCO TO BE- SW'!$D105,SUM('TCO TO BE- SW'!I$37:I$46)*VLOOKUP('TCO TO BE- SW'!I$2,MODULY_CBA!$B$3:$L$23,10,0),0),0)</f>
        <v>19540.532818463758</v>
      </c>
      <c r="J105" s="588">
        <f>IFERROR(IF(VLOOKUP(J$2,MODULY_CBA!$B$3:$N$23,13,0)&lt;='TCO TO BE- SW'!$D105,SUM('TCO TO BE- SW'!J$37:J$46)*VLOOKUP('TCO TO BE- SW'!J$2,MODULY_CBA!$B$3:$L$23,10,0),0),0)</f>
        <v>58654.774232672193</v>
      </c>
      <c r="K105" s="588">
        <f>IFERROR(IF(VLOOKUP(K$2,MODULY_CBA!$B$3:$N$23,13,0)&lt;='TCO TO BE- SW'!$D105,SUM('TCO TO BE- SW'!K$37:K$46)*VLOOKUP('TCO TO BE- SW'!K$2,MODULY_CBA!$B$3:$L$23,10,0),0),0)</f>
        <v>16455.185531337898</v>
      </c>
      <c r="L105" s="588">
        <f>IFERROR(IF(VLOOKUP(L$2,MODULY_CBA!$B$3:$N$23,13,0)&lt;='TCO TO BE- SW'!$D105,SUM('TCO TO BE- SW'!L$37:L$46)*VLOOKUP('TCO TO BE- SW'!L$2,MODULY_CBA!$B$3:$L$23,10,0),0),0)</f>
        <v>5440.8274740714023</v>
      </c>
      <c r="M105" s="588">
        <f>IFERROR(IF(VLOOKUP(M$2,MODULY_CBA!$B$3:$N$23,13,0)&lt;='TCO TO BE- SW'!$D105,SUM('TCO TO BE- SW'!M$37:M$46)*VLOOKUP('TCO TO BE- SW'!M$2,MODULY_CBA!$B$3:$L$23,10,0),0),0)</f>
        <v>4644.6088193292462</v>
      </c>
      <c r="N105" s="588">
        <f>IFERROR(IF(VLOOKUP(N$2,MODULY_CBA!$B$3:$N$23,13,0)&lt;='TCO TO BE- SW'!$D105,SUM('TCO TO BE- SW'!N$37:N$46)*VLOOKUP('TCO TO BE- SW'!N$2,MODULY_CBA!$B$3:$L$23,10,0),0),0)</f>
        <v>13568.892907897583</v>
      </c>
      <c r="O105" s="588">
        <f>IFERROR(IF(VLOOKUP(O$2,MODULY_CBA!$B$3:$N$23,13,0)&lt;='TCO TO BE- SW'!$D105,SUM('TCO TO BE- SW'!O$37:O$46)*VLOOKUP('TCO TO BE- SW'!O$2,MODULY_CBA!$B$3:$L$23,10,0),0),0)</f>
        <v>16156.603535809594</v>
      </c>
      <c r="P105" s="588">
        <f>IFERROR(IF(VLOOKUP(P$2,MODULY_CBA!$B$3:$N$23,13,0)&lt;='TCO TO BE- SW'!$D105,SUM('TCO TO BE- SW'!P$37:P$46)*VLOOKUP('TCO TO BE- SW'!P$2,MODULY_CBA!$B$3:$L$23,10,0),0),0)</f>
        <v>3682.5112781824737</v>
      </c>
      <c r="Q105" s="588">
        <f>IFERROR(IF(VLOOKUP(Q$2,MODULY_CBA!$B$3:$N$23,13,0)&lt;='TCO TO BE- SW'!$D105,SUM('TCO TO BE- SW'!Q$37:Q$46)*VLOOKUP('TCO TO BE- SW'!Q$2,MODULY_CBA!$B$3:$L$23,10,0),0),0)</f>
        <v>829.39443202307984</v>
      </c>
      <c r="R105" s="588">
        <f>IFERROR(IF(VLOOKUP(R$2,MODULY_CBA!$B$3:$N$23,13,0)&lt;='TCO TO BE- SW'!$D105,SUM('TCO TO BE- SW'!R$37:R$46)*VLOOKUP('TCO TO BE- SW'!R$2,MODULY_CBA!$B$3:$L$23,10,0),0),0)</f>
        <v>6535.6281243418671</v>
      </c>
      <c r="S105" s="588">
        <f>IFERROR(IF(VLOOKUP(S$2,MODULY_CBA!$B$3:$N$23,13,0)&lt;='TCO TO BE- SW'!$D105,SUM('TCO TO BE- SW'!S$37:S$46)*VLOOKUP('TCO TO BE- SW'!S$2,MODULY_CBA!$B$3:$L$23,10,0),0),0)</f>
        <v>4478.7299329246298</v>
      </c>
      <c r="T105" s="588">
        <f>IFERROR(IF(VLOOKUP(T$2,MODULY_CBA!$B$3:$N$23,13,0)&lt;='TCO TO BE- SW'!$D105,SUM('TCO TO BE- SW'!T$37:T$46)*VLOOKUP('TCO TO BE- SW'!T$2,MODULY_CBA!$B$3:$L$23,10,0),0),0)</f>
        <v>13403.014021492967</v>
      </c>
      <c r="U105" s="588">
        <f>IFERROR(IF(VLOOKUP(U$2,MODULY_CBA!$B$3:$N$23,13,0)&lt;='TCO TO BE- SW'!$D105,SUM('TCO TO BE- SW'!U$37:U$46)*VLOOKUP('TCO TO BE- SW'!U$2,MODULY_CBA!$B$3:$L$23,10,0),0),0)</f>
        <v>10450.369843490802</v>
      </c>
      <c r="V105" s="588">
        <f>IFERROR(IF(VLOOKUP(V$2,MODULY_CBA!$B$3:$N$23,13,0)&lt;='TCO TO BE- SW'!$D105,SUM('TCO TO BE- SW'!V$37:V$46)*VLOOKUP('TCO TO BE- SW'!V$2,MODULY_CBA!$B$3:$L$23,10,0),0),0)</f>
        <v>9023.8114204111062</v>
      </c>
      <c r="W105" s="588">
        <f>IFERROR(IF(VLOOKUP(W$2,MODULY_CBA!$B$3:$N$23,13,0)&lt;='TCO TO BE- SW'!$D105,SUM('TCO TO BE- SW'!W$37:W$46)*VLOOKUP('TCO TO BE- SW'!W$2,MODULY_CBA!$B$3:$L$23,10,0),0),0)</f>
        <v>19905.466368553909</v>
      </c>
      <c r="X105" s="588">
        <f>IFERROR(IF(VLOOKUP(X$2,MODULY_CBA!$B$3:$N$23,13,0)&lt;='TCO TO BE- SW'!$D105,SUM('TCO TO BE- SW'!X$37:X$46)*VLOOKUP('TCO TO BE- SW'!X$2,MODULY_CBA!$B$3:$L$23,10,0),0),0)</f>
        <v>29990.902661954555</v>
      </c>
      <c r="Y105" s="588">
        <f>IFERROR(IF(VLOOKUP(Y$2,MODULY_CBA!$B$3:$N$23,13,0)&lt;='TCO TO BE- SW'!$D105,SUM('TCO TO BE- SW'!Y$37:Y$46)*VLOOKUP('TCO TO BE- SW'!Y$2,MODULY_CBA!$B$3:$L$23,10,0),0),0)</f>
        <v>0</v>
      </c>
      <c r="Z105" s="588">
        <f>IFERROR(IF(VLOOKUP(Z$2,MODULY_CBA!$B$3:$N$23,13,0)&lt;='TCO TO BE- SW'!$D105,SUM('TCO TO BE- SW'!Z$37:Z$46)*VLOOKUP('TCO TO BE- SW'!Z$2,MODULY_CBA!$B$3:$L$23,10,0),0),0)</f>
        <v>0</v>
      </c>
    </row>
    <row r="106" spans="1:26" outlineLevel="2">
      <c r="A106" s="875"/>
      <c r="B106" s="876"/>
      <c r="C106" s="876"/>
      <c r="D106" s="64">
        <v>7</v>
      </c>
      <c r="E106" s="68">
        <f t="shared" si="14"/>
        <v>459982.15200000006</v>
      </c>
      <c r="F106" s="588">
        <f>IFERROR(IF(VLOOKUP(F$2,MODULY_CBA!$B$3:$N$23,13,0)&lt;='TCO TO BE- SW'!$D106,SUM('TCO TO BE- SW'!F$37:F$46)*VLOOKUP('TCO TO BE- SW'!F$2,MODULY_CBA!$B$3:$L$23,10,0),0),0)</f>
        <v>29493.266002740707</v>
      </c>
      <c r="G106" s="588">
        <f>IFERROR(IF(VLOOKUP(G$2,MODULY_CBA!$B$3:$N$23,13,0)&lt;='TCO TO BE- SW'!$D106,SUM('TCO TO BE- SW'!G$37:G$46)*VLOOKUP('TCO TO BE- SW'!G$2,MODULY_CBA!$B$3:$L$23,10,0),0),0)</f>
        <v>99427.804510926799</v>
      </c>
      <c r="H106" s="588">
        <f>IFERROR(IF(VLOOKUP(H$2,MODULY_CBA!$B$3:$N$23,13,0)&lt;='TCO TO BE- SW'!$D106,SUM('TCO TO BE- SW'!H$37:H$46)*VLOOKUP('TCO TO BE- SW'!H$2,MODULY_CBA!$B$3:$L$23,10,0),0),0)</f>
        <v>98299.828083375396</v>
      </c>
      <c r="I106" s="588">
        <f>IFERROR(IF(VLOOKUP(I$2,MODULY_CBA!$B$3:$N$23,13,0)&lt;='TCO TO BE- SW'!$D106,SUM('TCO TO BE- SW'!I$37:I$46)*VLOOKUP('TCO TO BE- SW'!I$2,MODULY_CBA!$B$3:$L$23,10,0),0),0)</f>
        <v>19540.532818463758</v>
      </c>
      <c r="J106" s="588">
        <f>IFERROR(IF(VLOOKUP(J$2,MODULY_CBA!$B$3:$N$23,13,0)&lt;='TCO TO BE- SW'!$D106,SUM('TCO TO BE- SW'!J$37:J$46)*VLOOKUP('TCO TO BE- SW'!J$2,MODULY_CBA!$B$3:$L$23,10,0),0),0)</f>
        <v>58654.774232672193</v>
      </c>
      <c r="K106" s="588">
        <f>IFERROR(IF(VLOOKUP(K$2,MODULY_CBA!$B$3:$N$23,13,0)&lt;='TCO TO BE- SW'!$D106,SUM('TCO TO BE- SW'!K$37:K$46)*VLOOKUP('TCO TO BE- SW'!K$2,MODULY_CBA!$B$3:$L$23,10,0),0),0)</f>
        <v>16455.185531337898</v>
      </c>
      <c r="L106" s="588">
        <f>IFERROR(IF(VLOOKUP(L$2,MODULY_CBA!$B$3:$N$23,13,0)&lt;='TCO TO BE- SW'!$D106,SUM('TCO TO BE- SW'!L$37:L$46)*VLOOKUP('TCO TO BE- SW'!L$2,MODULY_CBA!$B$3:$L$23,10,0),0),0)</f>
        <v>5440.8274740714023</v>
      </c>
      <c r="M106" s="588">
        <f>IFERROR(IF(VLOOKUP(M$2,MODULY_CBA!$B$3:$N$23,13,0)&lt;='TCO TO BE- SW'!$D106,SUM('TCO TO BE- SW'!M$37:M$46)*VLOOKUP('TCO TO BE- SW'!M$2,MODULY_CBA!$B$3:$L$23,10,0),0),0)</f>
        <v>4644.6088193292462</v>
      </c>
      <c r="N106" s="588">
        <f>IFERROR(IF(VLOOKUP(N$2,MODULY_CBA!$B$3:$N$23,13,0)&lt;='TCO TO BE- SW'!$D106,SUM('TCO TO BE- SW'!N$37:N$46)*VLOOKUP('TCO TO BE- SW'!N$2,MODULY_CBA!$B$3:$L$23,10,0),0),0)</f>
        <v>13568.892907897583</v>
      </c>
      <c r="O106" s="588">
        <f>IFERROR(IF(VLOOKUP(O$2,MODULY_CBA!$B$3:$N$23,13,0)&lt;='TCO TO BE- SW'!$D106,SUM('TCO TO BE- SW'!O$37:O$46)*VLOOKUP('TCO TO BE- SW'!O$2,MODULY_CBA!$B$3:$L$23,10,0),0),0)</f>
        <v>16156.603535809594</v>
      </c>
      <c r="P106" s="588">
        <f>IFERROR(IF(VLOOKUP(P$2,MODULY_CBA!$B$3:$N$23,13,0)&lt;='TCO TO BE- SW'!$D106,SUM('TCO TO BE- SW'!P$37:P$46)*VLOOKUP('TCO TO BE- SW'!P$2,MODULY_CBA!$B$3:$L$23,10,0),0),0)</f>
        <v>3682.5112781824737</v>
      </c>
      <c r="Q106" s="588">
        <f>IFERROR(IF(VLOOKUP(Q$2,MODULY_CBA!$B$3:$N$23,13,0)&lt;='TCO TO BE- SW'!$D106,SUM('TCO TO BE- SW'!Q$37:Q$46)*VLOOKUP('TCO TO BE- SW'!Q$2,MODULY_CBA!$B$3:$L$23,10,0),0),0)</f>
        <v>829.39443202307984</v>
      </c>
      <c r="R106" s="588">
        <f>IFERROR(IF(VLOOKUP(R$2,MODULY_CBA!$B$3:$N$23,13,0)&lt;='TCO TO BE- SW'!$D106,SUM('TCO TO BE- SW'!R$37:R$46)*VLOOKUP('TCO TO BE- SW'!R$2,MODULY_CBA!$B$3:$L$23,10,0),0),0)</f>
        <v>6535.6281243418671</v>
      </c>
      <c r="S106" s="588">
        <f>IFERROR(IF(VLOOKUP(S$2,MODULY_CBA!$B$3:$N$23,13,0)&lt;='TCO TO BE- SW'!$D106,SUM('TCO TO BE- SW'!S$37:S$46)*VLOOKUP('TCO TO BE- SW'!S$2,MODULY_CBA!$B$3:$L$23,10,0),0),0)</f>
        <v>4478.7299329246298</v>
      </c>
      <c r="T106" s="588">
        <f>IFERROR(IF(VLOOKUP(T$2,MODULY_CBA!$B$3:$N$23,13,0)&lt;='TCO TO BE- SW'!$D106,SUM('TCO TO BE- SW'!T$37:T$46)*VLOOKUP('TCO TO BE- SW'!T$2,MODULY_CBA!$B$3:$L$23,10,0),0),0)</f>
        <v>13403.014021492967</v>
      </c>
      <c r="U106" s="588">
        <f>IFERROR(IF(VLOOKUP(U$2,MODULY_CBA!$B$3:$N$23,13,0)&lt;='TCO TO BE- SW'!$D106,SUM('TCO TO BE- SW'!U$37:U$46)*VLOOKUP('TCO TO BE- SW'!U$2,MODULY_CBA!$B$3:$L$23,10,0),0),0)</f>
        <v>10450.369843490802</v>
      </c>
      <c r="V106" s="588">
        <f>IFERROR(IF(VLOOKUP(V$2,MODULY_CBA!$B$3:$N$23,13,0)&lt;='TCO TO BE- SW'!$D106,SUM('TCO TO BE- SW'!V$37:V$46)*VLOOKUP('TCO TO BE- SW'!V$2,MODULY_CBA!$B$3:$L$23,10,0),0),0)</f>
        <v>9023.8114204111062</v>
      </c>
      <c r="W106" s="588">
        <f>IFERROR(IF(VLOOKUP(W$2,MODULY_CBA!$B$3:$N$23,13,0)&lt;='TCO TO BE- SW'!$D106,SUM('TCO TO BE- SW'!W$37:W$46)*VLOOKUP('TCO TO BE- SW'!W$2,MODULY_CBA!$B$3:$L$23,10,0),0),0)</f>
        <v>19905.466368553909</v>
      </c>
      <c r="X106" s="588">
        <f>IFERROR(IF(VLOOKUP(X$2,MODULY_CBA!$B$3:$N$23,13,0)&lt;='TCO TO BE- SW'!$D106,SUM('TCO TO BE- SW'!X$37:X$46)*VLOOKUP('TCO TO BE- SW'!X$2,MODULY_CBA!$B$3:$L$23,10,0),0),0)</f>
        <v>29990.902661954555</v>
      </c>
      <c r="Y106" s="588">
        <f>IFERROR(IF(VLOOKUP(Y$2,MODULY_CBA!$B$3:$N$23,13,0)&lt;='TCO TO BE- SW'!$D106,SUM('TCO TO BE- SW'!Y$37:Y$46)*VLOOKUP('TCO TO BE- SW'!Y$2,MODULY_CBA!$B$3:$L$23,10,0),0),0)</f>
        <v>0</v>
      </c>
      <c r="Z106" s="588">
        <f>IFERROR(IF(VLOOKUP(Z$2,MODULY_CBA!$B$3:$N$23,13,0)&lt;='TCO TO BE- SW'!$D106,SUM('TCO TO BE- SW'!Z$37:Z$46)*VLOOKUP('TCO TO BE- SW'!Z$2,MODULY_CBA!$B$3:$L$23,10,0),0),0)</f>
        <v>0</v>
      </c>
    </row>
    <row r="107" spans="1:26" outlineLevel="2">
      <c r="A107" s="875"/>
      <c r="B107" s="876"/>
      <c r="C107" s="876"/>
      <c r="D107" s="64">
        <v>8</v>
      </c>
      <c r="E107" s="68">
        <f t="shared" si="14"/>
        <v>459982.15200000006</v>
      </c>
      <c r="F107" s="588">
        <f>IFERROR(IF(VLOOKUP(F$2,MODULY_CBA!$B$3:$N$23,13,0)&lt;='TCO TO BE- SW'!$D107,SUM('TCO TO BE- SW'!F$37:F$46)*VLOOKUP('TCO TO BE- SW'!F$2,MODULY_CBA!$B$3:$L$23,10,0),0),0)</f>
        <v>29493.266002740707</v>
      </c>
      <c r="G107" s="588">
        <f>IFERROR(IF(VLOOKUP(G$2,MODULY_CBA!$B$3:$N$23,13,0)&lt;='TCO TO BE- SW'!$D107,SUM('TCO TO BE- SW'!G$37:G$46)*VLOOKUP('TCO TO BE- SW'!G$2,MODULY_CBA!$B$3:$L$23,10,0),0),0)</f>
        <v>99427.804510926799</v>
      </c>
      <c r="H107" s="588">
        <f>IFERROR(IF(VLOOKUP(H$2,MODULY_CBA!$B$3:$N$23,13,0)&lt;='TCO TO BE- SW'!$D107,SUM('TCO TO BE- SW'!H$37:H$46)*VLOOKUP('TCO TO BE- SW'!H$2,MODULY_CBA!$B$3:$L$23,10,0),0),0)</f>
        <v>98299.828083375396</v>
      </c>
      <c r="I107" s="588">
        <f>IFERROR(IF(VLOOKUP(I$2,MODULY_CBA!$B$3:$N$23,13,0)&lt;='TCO TO BE- SW'!$D107,SUM('TCO TO BE- SW'!I$37:I$46)*VLOOKUP('TCO TO BE- SW'!I$2,MODULY_CBA!$B$3:$L$23,10,0),0),0)</f>
        <v>19540.532818463758</v>
      </c>
      <c r="J107" s="588">
        <f>IFERROR(IF(VLOOKUP(J$2,MODULY_CBA!$B$3:$N$23,13,0)&lt;='TCO TO BE- SW'!$D107,SUM('TCO TO BE- SW'!J$37:J$46)*VLOOKUP('TCO TO BE- SW'!J$2,MODULY_CBA!$B$3:$L$23,10,0),0),0)</f>
        <v>58654.774232672193</v>
      </c>
      <c r="K107" s="588">
        <f>IFERROR(IF(VLOOKUP(K$2,MODULY_CBA!$B$3:$N$23,13,0)&lt;='TCO TO BE- SW'!$D107,SUM('TCO TO BE- SW'!K$37:K$46)*VLOOKUP('TCO TO BE- SW'!K$2,MODULY_CBA!$B$3:$L$23,10,0),0),0)</f>
        <v>16455.185531337898</v>
      </c>
      <c r="L107" s="588">
        <f>IFERROR(IF(VLOOKUP(L$2,MODULY_CBA!$B$3:$N$23,13,0)&lt;='TCO TO BE- SW'!$D107,SUM('TCO TO BE- SW'!L$37:L$46)*VLOOKUP('TCO TO BE- SW'!L$2,MODULY_CBA!$B$3:$L$23,10,0),0),0)</f>
        <v>5440.8274740714023</v>
      </c>
      <c r="M107" s="588">
        <f>IFERROR(IF(VLOOKUP(M$2,MODULY_CBA!$B$3:$N$23,13,0)&lt;='TCO TO BE- SW'!$D107,SUM('TCO TO BE- SW'!M$37:M$46)*VLOOKUP('TCO TO BE- SW'!M$2,MODULY_CBA!$B$3:$L$23,10,0),0),0)</f>
        <v>4644.6088193292462</v>
      </c>
      <c r="N107" s="588">
        <f>IFERROR(IF(VLOOKUP(N$2,MODULY_CBA!$B$3:$N$23,13,0)&lt;='TCO TO BE- SW'!$D107,SUM('TCO TO BE- SW'!N$37:N$46)*VLOOKUP('TCO TO BE- SW'!N$2,MODULY_CBA!$B$3:$L$23,10,0),0),0)</f>
        <v>13568.892907897583</v>
      </c>
      <c r="O107" s="588">
        <f>IFERROR(IF(VLOOKUP(O$2,MODULY_CBA!$B$3:$N$23,13,0)&lt;='TCO TO BE- SW'!$D107,SUM('TCO TO BE- SW'!O$37:O$46)*VLOOKUP('TCO TO BE- SW'!O$2,MODULY_CBA!$B$3:$L$23,10,0),0),0)</f>
        <v>16156.603535809594</v>
      </c>
      <c r="P107" s="588">
        <f>IFERROR(IF(VLOOKUP(P$2,MODULY_CBA!$B$3:$N$23,13,0)&lt;='TCO TO BE- SW'!$D107,SUM('TCO TO BE- SW'!P$37:P$46)*VLOOKUP('TCO TO BE- SW'!P$2,MODULY_CBA!$B$3:$L$23,10,0),0),0)</f>
        <v>3682.5112781824737</v>
      </c>
      <c r="Q107" s="588">
        <f>IFERROR(IF(VLOOKUP(Q$2,MODULY_CBA!$B$3:$N$23,13,0)&lt;='TCO TO BE- SW'!$D107,SUM('TCO TO BE- SW'!Q$37:Q$46)*VLOOKUP('TCO TO BE- SW'!Q$2,MODULY_CBA!$B$3:$L$23,10,0),0),0)</f>
        <v>829.39443202307984</v>
      </c>
      <c r="R107" s="588">
        <f>IFERROR(IF(VLOOKUP(R$2,MODULY_CBA!$B$3:$N$23,13,0)&lt;='TCO TO BE- SW'!$D107,SUM('TCO TO BE- SW'!R$37:R$46)*VLOOKUP('TCO TO BE- SW'!R$2,MODULY_CBA!$B$3:$L$23,10,0),0),0)</f>
        <v>6535.6281243418671</v>
      </c>
      <c r="S107" s="588">
        <f>IFERROR(IF(VLOOKUP(S$2,MODULY_CBA!$B$3:$N$23,13,0)&lt;='TCO TO BE- SW'!$D107,SUM('TCO TO BE- SW'!S$37:S$46)*VLOOKUP('TCO TO BE- SW'!S$2,MODULY_CBA!$B$3:$L$23,10,0),0),0)</f>
        <v>4478.7299329246298</v>
      </c>
      <c r="T107" s="588">
        <f>IFERROR(IF(VLOOKUP(T$2,MODULY_CBA!$B$3:$N$23,13,0)&lt;='TCO TO BE- SW'!$D107,SUM('TCO TO BE- SW'!T$37:T$46)*VLOOKUP('TCO TO BE- SW'!T$2,MODULY_CBA!$B$3:$L$23,10,0),0),0)</f>
        <v>13403.014021492967</v>
      </c>
      <c r="U107" s="588">
        <f>IFERROR(IF(VLOOKUP(U$2,MODULY_CBA!$B$3:$N$23,13,0)&lt;='TCO TO BE- SW'!$D107,SUM('TCO TO BE- SW'!U$37:U$46)*VLOOKUP('TCO TO BE- SW'!U$2,MODULY_CBA!$B$3:$L$23,10,0),0),0)</f>
        <v>10450.369843490802</v>
      </c>
      <c r="V107" s="588">
        <f>IFERROR(IF(VLOOKUP(V$2,MODULY_CBA!$B$3:$N$23,13,0)&lt;='TCO TO BE- SW'!$D107,SUM('TCO TO BE- SW'!V$37:V$46)*VLOOKUP('TCO TO BE- SW'!V$2,MODULY_CBA!$B$3:$L$23,10,0),0),0)</f>
        <v>9023.8114204111062</v>
      </c>
      <c r="W107" s="588">
        <f>IFERROR(IF(VLOOKUP(W$2,MODULY_CBA!$B$3:$N$23,13,0)&lt;='TCO TO BE- SW'!$D107,SUM('TCO TO BE- SW'!W$37:W$46)*VLOOKUP('TCO TO BE- SW'!W$2,MODULY_CBA!$B$3:$L$23,10,0),0),0)</f>
        <v>19905.466368553909</v>
      </c>
      <c r="X107" s="588">
        <f>IFERROR(IF(VLOOKUP(X$2,MODULY_CBA!$B$3:$N$23,13,0)&lt;='TCO TO BE- SW'!$D107,SUM('TCO TO BE- SW'!X$37:X$46)*VLOOKUP('TCO TO BE- SW'!X$2,MODULY_CBA!$B$3:$L$23,10,0),0),0)</f>
        <v>29990.902661954555</v>
      </c>
      <c r="Y107" s="588">
        <f>IFERROR(IF(VLOOKUP(Y$2,MODULY_CBA!$B$3:$N$23,13,0)&lt;='TCO TO BE- SW'!$D107,SUM('TCO TO BE- SW'!Y$37:Y$46)*VLOOKUP('TCO TO BE- SW'!Y$2,MODULY_CBA!$B$3:$L$23,10,0),0),0)</f>
        <v>0</v>
      </c>
      <c r="Z107" s="588">
        <f>IFERROR(IF(VLOOKUP(Z$2,MODULY_CBA!$B$3:$N$23,13,0)&lt;='TCO TO BE- SW'!$D107,SUM('TCO TO BE- SW'!Z$37:Z$46)*VLOOKUP('TCO TO BE- SW'!Z$2,MODULY_CBA!$B$3:$L$23,10,0),0),0)</f>
        <v>0</v>
      </c>
    </row>
    <row r="108" spans="1:26" outlineLevel="2">
      <c r="A108" s="875"/>
      <c r="B108" s="876"/>
      <c r="C108" s="876"/>
      <c r="D108" s="64">
        <v>9</v>
      </c>
      <c r="E108" s="68">
        <f t="shared" si="14"/>
        <v>459982.15200000006</v>
      </c>
      <c r="F108" s="588">
        <f>IFERROR(IF(VLOOKUP(F$2,MODULY_CBA!$B$3:$N$23,13,0)&lt;='TCO TO BE- SW'!$D108,SUM('TCO TO BE- SW'!F$37:F$46)*VLOOKUP('TCO TO BE- SW'!F$2,MODULY_CBA!$B$3:$L$23,10,0),0),0)</f>
        <v>29493.266002740707</v>
      </c>
      <c r="G108" s="588">
        <f>IFERROR(IF(VLOOKUP(G$2,MODULY_CBA!$B$3:$N$23,13,0)&lt;='TCO TO BE- SW'!$D108,SUM('TCO TO BE- SW'!G$37:G$46)*VLOOKUP('TCO TO BE- SW'!G$2,MODULY_CBA!$B$3:$L$23,10,0),0),0)</f>
        <v>99427.804510926799</v>
      </c>
      <c r="H108" s="588">
        <f>IFERROR(IF(VLOOKUP(H$2,MODULY_CBA!$B$3:$N$23,13,0)&lt;='TCO TO BE- SW'!$D108,SUM('TCO TO BE- SW'!H$37:H$46)*VLOOKUP('TCO TO BE- SW'!H$2,MODULY_CBA!$B$3:$L$23,10,0),0),0)</f>
        <v>98299.828083375396</v>
      </c>
      <c r="I108" s="588">
        <f>IFERROR(IF(VLOOKUP(I$2,MODULY_CBA!$B$3:$N$23,13,0)&lt;='TCO TO BE- SW'!$D108,SUM('TCO TO BE- SW'!I$37:I$46)*VLOOKUP('TCO TO BE- SW'!I$2,MODULY_CBA!$B$3:$L$23,10,0),0),0)</f>
        <v>19540.532818463758</v>
      </c>
      <c r="J108" s="588">
        <f>IFERROR(IF(VLOOKUP(J$2,MODULY_CBA!$B$3:$N$23,13,0)&lt;='TCO TO BE- SW'!$D108,SUM('TCO TO BE- SW'!J$37:J$46)*VLOOKUP('TCO TO BE- SW'!J$2,MODULY_CBA!$B$3:$L$23,10,0),0),0)</f>
        <v>58654.774232672193</v>
      </c>
      <c r="K108" s="588">
        <f>IFERROR(IF(VLOOKUP(K$2,MODULY_CBA!$B$3:$N$23,13,0)&lt;='TCO TO BE- SW'!$D108,SUM('TCO TO BE- SW'!K$37:K$46)*VLOOKUP('TCO TO BE- SW'!K$2,MODULY_CBA!$B$3:$L$23,10,0),0),0)</f>
        <v>16455.185531337898</v>
      </c>
      <c r="L108" s="588">
        <f>IFERROR(IF(VLOOKUP(L$2,MODULY_CBA!$B$3:$N$23,13,0)&lt;='TCO TO BE- SW'!$D108,SUM('TCO TO BE- SW'!L$37:L$46)*VLOOKUP('TCO TO BE- SW'!L$2,MODULY_CBA!$B$3:$L$23,10,0),0),0)</f>
        <v>5440.8274740714023</v>
      </c>
      <c r="M108" s="588">
        <f>IFERROR(IF(VLOOKUP(M$2,MODULY_CBA!$B$3:$N$23,13,0)&lt;='TCO TO BE- SW'!$D108,SUM('TCO TO BE- SW'!M$37:M$46)*VLOOKUP('TCO TO BE- SW'!M$2,MODULY_CBA!$B$3:$L$23,10,0),0),0)</f>
        <v>4644.6088193292462</v>
      </c>
      <c r="N108" s="588">
        <f>IFERROR(IF(VLOOKUP(N$2,MODULY_CBA!$B$3:$N$23,13,0)&lt;='TCO TO BE- SW'!$D108,SUM('TCO TO BE- SW'!N$37:N$46)*VLOOKUP('TCO TO BE- SW'!N$2,MODULY_CBA!$B$3:$L$23,10,0),0),0)</f>
        <v>13568.892907897583</v>
      </c>
      <c r="O108" s="588">
        <f>IFERROR(IF(VLOOKUP(O$2,MODULY_CBA!$B$3:$N$23,13,0)&lt;='TCO TO BE- SW'!$D108,SUM('TCO TO BE- SW'!O$37:O$46)*VLOOKUP('TCO TO BE- SW'!O$2,MODULY_CBA!$B$3:$L$23,10,0),0),0)</f>
        <v>16156.603535809594</v>
      </c>
      <c r="P108" s="588">
        <f>IFERROR(IF(VLOOKUP(P$2,MODULY_CBA!$B$3:$N$23,13,0)&lt;='TCO TO BE- SW'!$D108,SUM('TCO TO BE- SW'!P$37:P$46)*VLOOKUP('TCO TO BE- SW'!P$2,MODULY_CBA!$B$3:$L$23,10,0),0),0)</f>
        <v>3682.5112781824737</v>
      </c>
      <c r="Q108" s="588">
        <f>IFERROR(IF(VLOOKUP(Q$2,MODULY_CBA!$B$3:$N$23,13,0)&lt;='TCO TO BE- SW'!$D108,SUM('TCO TO BE- SW'!Q$37:Q$46)*VLOOKUP('TCO TO BE- SW'!Q$2,MODULY_CBA!$B$3:$L$23,10,0),0),0)</f>
        <v>829.39443202307984</v>
      </c>
      <c r="R108" s="588">
        <f>IFERROR(IF(VLOOKUP(R$2,MODULY_CBA!$B$3:$N$23,13,0)&lt;='TCO TO BE- SW'!$D108,SUM('TCO TO BE- SW'!R$37:R$46)*VLOOKUP('TCO TO BE- SW'!R$2,MODULY_CBA!$B$3:$L$23,10,0),0),0)</f>
        <v>6535.6281243418671</v>
      </c>
      <c r="S108" s="588">
        <f>IFERROR(IF(VLOOKUP(S$2,MODULY_CBA!$B$3:$N$23,13,0)&lt;='TCO TO BE- SW'!$D108,SUM('TCO TO BE- SW'!S$37:S$46)*VLOOKUP('TCO TO BE- SW'!S$2,MODULY_CBA!$B$3:$L$23,10,0),0),0)</f>
        <v>4478.7299329246298</v>
      </c>
      <c r="T108" s="588">
        <f>IFERROR(IF(VLOOKUP(T$2,MODULY_CBA!$B$3:$N$23,13,0)&lt;='TCO TO BE- SW'!$D108,SUM('TCO TO BE- SW'!T$37:T$46)*VLOOKUP('TCO TO BE- SW'!T$2,MODULY_CBA!$B$3:$L$23,10,0),0),0)</f>
        <v>13403.014021492967</v>
      </c>
      <c r="U108" s="588">
        <f>IFERROR(IF(VLOOKUP(U$2,MODULY_CBA!$B$3:$N$23,13,0)&lt;='TCO TO BE- SW'!$D108,SUM('TCO TO BE- SW'!U$37:U$46)*VLOOKUP('TCO TO BE- SW'!U$2,MODULY_CBA!$B$3:$L$23,10,0),0),0)</f>
        <v>10450.369843490802</v>
      </c>
      <c r="V108" s="588">
        <f>IFERROR(IF(VLOOKUP(V$2,MODULY_CBA!$B$3:$N$23,13,0)&lt;='TCO TO BE- SW'!$D108,SUM('TCO TO BE- SW'!V$37:V$46)*VLOOKUP('TCO TO BE- SW'!V$2,MODULY_CBA!$B$3:$L$23,10,0),0),0)</f>
        <v>9023.8114204111062</v>
      </c>
      <c r="W108" s="588">
        <f>IFERROR(IF(VLOOKUP(W$2,MODULY_CBA!$B$3:$N$23,13,0)&lt;='TCO TO BE- SW'!$D108,SUM('TCO TO BE- SW'!W$37:W$46)*VLOOKUP('TCO TO BE- SW'!W$2,MODULY_CBA!$B$3:$L$23,10,0),0),0)</f>
        <v>19905.466368553909</v>
      </c>
      <c r="X108" s="588">
        <f>IFERROR(IF(VLOOKUP(X$2,MODULY_CBA!$B$3:$N$23,13,0)&lt;='TCO TO BE- SW'!$D108,SUM('TCO TO BE- SW'!X$37:X$46)*VLOOKUP('TCO TO BE- SW'!X$2,MODULY_CBA!$B$3:$L$23,10,0),0),0)</f>
        <v>29990.902661954555</v>
      </c>
      <c r="Y108" s="588">
        <f>IFERROR(IF(VLOOKUP(Y$2,MODULY_CBA!$B$3:$N$23,13,0)&lt;='TCO TO BE- SW'!$D108,SUM('TCO TO BE- SW'!Y$37:Y$46)*VLOOKUP('TCO TO BE- SW'!Y$2,MODULY_CBA!$B$3:$L$23,10,0),0),0)</f>
        <v>0</v>
      </c>
      <c r="Z108" s="588">
        <f>IFERROR(IF(VLOOKUP(Z$2,MODULY_CBA!$B$3:$N$23,13,0)&lt;='TCO TO BE- SW'!$D108,SUM('TCO TO BE- SW'!Z$37:Z$46)*VLOOKUP('TCO TO BE- SW'!Z$2,MODULY_CBA!$B$3:$L$23,10,0),0),0)</f>
        <v>0</v>
      </c>
    </row>
    <row r="109" spans="1:26" ht="15.75" outlineLevel="2" thickBot="1">
      <c r="A109" s="875"/>
      <c r="B109" s="876"/>
      <c r="C109" s="876"/>
      <c r="D109" s="65">
        <v>10</v>
      </c>
      <c r="E109" s="69">
        <f t="shared" si="14"/>
        <v>459982.15200000006</v>
      </c>
      <c r="F109" s="588">
        <f>IFERROR(IF(VLOOKUP(F$2,MODULY_CBA!$B$3:$N$23,13,0)&lt;='TCO TO BE- SW'!$D109,SUM('TCO TO BE- SW'!F$37:F$46)*VLOOKUP('TCO TO BE- SW'!F$2,MODULY_CBA!$B$3:$L$23,10,0),0),0)</f>
        <v>29493.266002740707</v>
      </c>
      <c r="G109" s="588">
        <f>IFERROR(IF(VLOOKUP(G$2,MODULY_CBA!$B$3:$N$23,13,0)&lt;='TCO TO BE- SW'!$D109,SUM('TCO TO BE- SW'!G$37:G$46)*VLOOKUP('TCO TO BE- SW'!G$2,MODULY_CBA!$B$3:$L$23,10,0),0),0)</f>
        <v>99427.804510926799</v>
      </c>
      <c r="H109" s="588">
        <f>IFERROR(IF(VLOOKUP(H$2,MODULY_CBA!$B$3:$N$23,13,0)&lt;='TCO TO BE- SW'!$D109,SUM('TCO TO BE- SW'!H$37:H$46)*VLOOKUP('TCO TO BE- SW'!H$2,MODULY_CBA!$B$3:$L$23,10,0),0),0)</f>
        <v>98299.828083375396</v>
      </c>
      <c r="I109" s="588">
        <f>IFERROR(IF(VLOOKUP(I$2,MODULY_CBA!$B$3:$N$23,13,0)&lt;='TCO TO BE- SW'!$D109,SUM('TCO TO BE- SW'!I$37:I$46)*VLOOKUP('TCO TO BE- SW'!I$2,MODULY_CBA!$B$3:$L$23,10,0),0),0)</f>
        <v>19540.532818463758</v>
      </c>
      <c r="J109" s="588">
        <f>IFERROR(IF(VLOOKUP(J$2,MODULY_CBA!$B$3:$N$23,13,0)&lt;='TCO TO BE- SW'!$D109,SUM('TCO TO BE- SW'!J$37:J$46)*VLOOKUP('TCO TO BE- SW'!J$2,MODULY_CBA!$B$3:$L$23,10,0),0),0)</f>
        <v>58654.774232672193</v>
      </c>
      <c r="K109" s="588">
        <f>IFERROR(IF(VLOOKUP(K$2,MODULY_CBA!$B$3:$N$23,13,0)&lt;='TCO TO BE- SW'!$D109,SUM('TCO TO BE- SW'!K$37:K$46)*VLOOKUP('TCO TO BE- SW'!K$2,MODULY_CBA!$B$3:$L$23,10,0),0),0)</f>
        <v>16455.185531337898</v>
      </c>
      <c r="L109" s="588">
        <f>IFERROR(IF(VLOOKUP(L$2,MODULY_CBA!$B$3:$N$23,13,0)&lt;='TCO TO BE- SW'!$D109,SUM('TCO TO BE- SW'!L$37:L$46)*VLOOKUP('TCO TO BE- SW'!L$2,MODULY_CBA!$B$3:$L$23,10,0),0),0)</f>
        <v>5440.8274740714023</v>
      </c>
      <c r="M109" s="588">
        <f>IFERROR(IF(VLOOKUP(M$2,MODULY_CBA!$B$3:$N$23,13,0)&lt;='TCO TO BE- SW'!$D109,SUM('TCO TO BE- SW'!M$37:M$46)*VLOOKUP('TCO TO BE- SW'!M$2,MODULY_CBA!$B$3:$L$23,10,0),0),0)</f>
        <v>4644.6088193292462</v>
      </c>
      <c r="N109" s="588">
        <f>IFERROR(IF(VLOOKUP(N$2,MODULY_CBA!$B$3:$N$23,13,0)&lt;='TCO TO BE- SW'!$D109,SUM('TCO TO BE- SW'!N$37:N$46)*VLOOKUP('TCO TO BE- SW'!N$2,MODULY_CBA!$B$3:$L$23,10,0),0),0)</f>
        <v>13568.892907897583</v>
      </c>
      <c r="O109" s="588">
        <f>IFERROR(IF(VLOOKUP(O$2,MODULY_CBA!$B$3:$N$23,13,0)&lt;='TCO TO BE- SW'!$D109,SUM('TCO TO BE- SW'!O$37:O$46)*VLOOKUP('TCO TO BE- SW'!O$2,MODULY_CBA!$B$3:$L$23,10,0),0),0)</f>
        <v>16156.603535809594</v>
      </c>
      <c r="P109" s="588">
        <f>IFERROR(IF(VLOOKUP(P$2,MODULY_CBA!$B$3:$N$23,13,0)&lt;='TCO TO BE- SW'!$D109,SUM('TCO TO BE- SW'!P$37:P$46)*VLOOKUP('TCO TO BE- SW'!P$2,MODULY_CBA!$B$3:$L$23,10,0),0),0)</f>
        <v>3682.5112781824737</v>
      </c>
      <c r="Q109" s="588">
        <f>IFERROR(IF(VLOOKUP(Q$2,MODULY_CBA!$B$3:$N$23,13,0)&lt;='TCO TO BE- SW'!$D109,SUM('TCO TO BE- SW'!Q$37:Q$46)*VLOOKUP('TCO TO BE- SW'!Q$2,MODULY_CBA!$B$3:$L$23,10,0),0),0)</f>
        <v>829.39443202307984</v>
      </c>
      <c r="R109" s="588">
        <f>IFERROR(IF(VLOOKUP(R$2,MODULY_CBA!$B$3:$N$23,13,0)&lt;='TCO TO BE- SW'!$D109,SUM('TCO TO BE- SW'!R$37:R$46)*VLOOKUP('TCO TO BE- SW'!R$2,MODULY_CBA!$B$3:$L$23,10,0),0),0)</f>
        <v>6535.6281243418671</v>
      </c>
      <c r="S109" s="588">
        <f>IFERROR(IF(VLOOKUP(S$2,MODULY_CBA!$B$3:$N$23,13,0)&lt;='TCO TO BE- SW'!$D109,SUM('TCO TO BE- SW'!S$37:S$46)*VLOOKUP('TCO TO BE- SW'!S$2,MODULY_CBA!$B$3:$L$23,10,0),0),0)</f>
        <v>4478.7299329246298</v>
      </c>
      <c r="T109" s="588">
        <f>IFERROR(IF(VLOOKUP(T$2,MODULY_CBA!$B$3:$N$23,13,0)&lt;='TCO TO BE- SW'!$D109,SUM('TCO TO BE- SW'!T$37:T$46)*VLOOKUP('TCO TO BE- SW'!T$2,MODULY_CBA!$B$3:$L$23,10,0),0),0)</f>
        <v>13403.014021492967</v>
      </c>
      <c r="U109" s="588">
        <f>IFERROR(IF(VLOOKUP(U$2,MODULY_CBA!$B$3:$N$23,13,0)&lt;='TCO TO BE- SW'!$D109,SUM('TCO TO BE- SW'!U$37:U$46)*VLOOKUP('TCO TO BE- SW'!U$2,MODULY_CBA!$B$3:$L$23,10,0),0),0)</f>
        <v>10450.369843490802</v>
      </c>
      <c r="V109" s="588">
        <f>IFERROR(IF(VLOOKUP(V$2,MODULY_CBA!$B$3:$N$23,13,0)&lt;='TCO TO BE- SW'!$D109,SUM('TCO TO BE- SW'!V$37:V$46)*VLOOKUP('TCO TO BE- SW'!V$2,MODULY_CBA!$B$3:$L$23,10,0),0),0)</f>
        <v>9023.8114204111062</v>
      </c>
      <c r="W109" s="588">
        <f>IFERROR(IF(VLOOKUP(W$2,MODULY_CBA!$B$3:$N$23,13,0)&lt;='TCO TO BE- SW'!$D109,SUM('TCO TO BE- SW'!W$37:W$46)*VLOOKUP('TCO TO BE- SW'!W$2,MODULY_CBA!$B$3:$L$23,10,0),0),0)</f>
        <v>19905.466368553909</v>
      </c>
      <c r="X109" s="588">
        <f>IFERROR(IF(VLOOKUP(X$2,MODULY_CBA!$B$3:$N$23,13,0)&lt;='TCO TO BE- SW'!$D109,SUM('TCO TO BE- SW'!X$37:X$46)*VLOOKUP('TCO TO BE- SW'!X$2,MODULY_CBA!$B$3:$L$23,10,0),0),0)</f>
        <v>29990.902661954555</v>
      </c>
      <c r="Y109" s="588">
        <f>IFERROR(IF(VLOOKUP(Y$2,MODULY_CBA!$B$3:$N$23,13,0)&lt;='TCO TO BE- SW'!$D109,SUM('TCO TO BE- SW'!Y$37:Y$46)*VLOOKUP('TCO TO BE- SW'!Y$2,MODULY_CBA!$B$3:$L$23,10,0),0),0)</f>
        <v>0</v>
      </c>
      <c r="Z109" s="588">
        <f>IFERROR(IF(VLOOKUP(Z$2,MODULY_CBA!$B$3:$N$23,13,0)&lt;='TCO TO BE- SW'!$D109,SUM('TCO TO BE- SW'!Z$37:Z$46)*VLOOKUP('TCO TO BE- SW'!Z$2,MODULY_CBA!$B$3:$L$23,10,0),0),0)</f>
        <v>0</v>
      </c>
    </row>
    <row r="110" spans="1:26" outlineLevel="2">
      <c r="A110" s="875" t="s">
        <v>82</v>
      </c>
      <c r="B110" s="876" t="s">
        <v>79</v>
      </c>
      <c r="C110" s="876">
        <v>635009</v>
      </c>
      <c r="D110" s="63">
        <v>1</v>
      </c>
      <c r="E110" s="68">
        <f t="shared" si="14"/>
        <v>0</v>
      </c>
      <c r="F110" s="578">
        <v>0</v>
      </c>
      <c r="G110" s="578">
        <v>0</v>
      </c>
      <c r="H110" s="578">
        <v>0</v>
      </c>
      <c r="I110" s="578">
        <v>0</v>
      </c>
      <c r="J110" s="578">
        <v>0</v>
      </c>
      <c r="K110" s="578">
        <v>0</v>
      </c>
      <c r="L110" s="578">
        <v>0</v>
      </c>
      <c r="M110" s="578">
        <v>0</v>
      </c>
      <c r="N110" s="578">
        <v>0</v>
      </c>
      <c r="O110" s="578">
        <v>0</v>
      </c>
      <c r="P110" s="578">
        <v>0</v>
      </c>
      <c r="Q110" s="578">
        <v>0</v>
      </c>
      <c r="R110" s="578">
        <v>0</v>
      </c>
      <c r="S110" s="578">
        <v>0</v>
      </c>
      <c r="T110" s="578">
        <v>0</v>
      </c>
      <c r="U110" s="578">
        <v>0</v>
      </c>
      <c r="V110" s="578">
        <v>0</v>
      </c>
      <c r="W110" s="578">
        <v>0</v>
      </c>
      <c r="X110" s="578">
        <v>0</v>
      </c>
      <c r="Y110" s="578">
        <v>0</v>
      </c>
      <c r="Z110" s="578">
        <v>0</v>
      </c>
    </row>
    <row r="111" spans="1:26" outlineLevel="2">
      <c r="A111" s="875"/>
      <c r="B111" s="876"/>
      <c r="C111" s="876"/>
      <c r="D111" s="64">
        <v>2</v>
      </c>
      <c r="E111" s="68">
        <f t="shared" si="14"/>
        <v>0</v>
      </c>
      <c r="F111" s="579">
        <v>0</v>
      </c>
      <c r="G111" s="579">
        <v>0</v>
      </c>
      <c r="H111" s="579">
        <v>0</v>
      </c>
      <c r="I111" s="579">
        <v>0</v>
      </c>
      <c r="J111" s="579">
        <v>0</v>
      </c>
      <c r="K111" s="579">
        <v>0</v>
      </c>
      <c r="L111" s="579">
        <v>0</v>
      </c>
      <c r="M111" s="579">
        <v>0</v>
      </c>
      <c r="N111" s="579">
        <v>0</v>
      </c>
      <c r="O111" s="579">
        <v>0</v>
      </c>
      <c r="P111" s="579">
        <v>0</v>
      </c>
      <c r="Q111" s="579">
        <v>0</v>
      </c>
      <c r="R111" s="579">
        <v>0</v>
      </c>
      <c r="S111" s="579">
        <v>0</v>
      </c>
      <c r="T111" s="579">
        <v>0</v>
      </c>
      <c r="U111" s="579">
        <v>0</v>
      </c>
      <c r="V111" s="579">
        <v>0</v>
      </c>
      <c r="W111" s="579">
        <v>0</v>
      </c>
      <c r="X111" s="579">
        <v>0</v>
      </c>
      <c r="Y111" s="579">
        <v>0</v>
      </c>
      <c r="Z111" s="579">
        <v>0</v>
      </c>
    </row>
    <row r="112" spans="1:26" outlineLevel="2">
      <c r="A112" s="875"/>
      <c r="B112" s="876"/>
      <c r="C112" s="876"/>
      <c r="D112" s="64">
        <v>3</v>
      </c>
      <c r="E112" s="68">
        <f t="shared" si="14"/>
        <v>311920.44919386419</v>
      </c>
      <c r="F112" s="579">
        <v>19396.8825032276</v>
      </c>
      <c r="G112" s="579">
        <v>78273.166680641341</v>
      </c>
      <c r="H112" s="579">
        <v>65799.002790310275</v>
      </c>
      <c r="I112" s="579">
        <v>13027.096686888319</v>
      </c>
      <c r="J112" s="579">
        <v>39103.407372527239</v>
      </c>
      <c r="K112" s="579">
        <v>10970.186683695429</v>
      </c>
      <c r="L112" s="579">
        <v>0</v>
      </c>
      <c r="M112" s="579">
        <v>0</v>
      </c>
      <c r="N112" s="579">
        <v>9045.9805516762681</v>
      </c>
      <c r="O112" s="579">
        <v>10771.130876934823</v>
      </c>
      <c r="P112" s="579">
        <v>2455.0216167140975</v>
      </c>
      <c r="Q112" s="579">
        <v>552.93279655722904</v>
      </c>
      <c r="R112" s="579">
        <v>4357.1104368709657</v>
      </c>
      <c r="S112" s="579">
        <v>2985.8371014090371</v>
      </c>
      <c r="T112" s="579">
        <v>8935.3939923648213</v>
      </c>
      <c r="U112" s="579">
        <v>6966.9532366210869</v>
      </c>
      <c r="V112" s="579">
        <v>6015.9088265426544</v>
      </c>
      <c r="W112" s="579">
        <v>13270.387117373501</v>
      </c>
      <c r="X112" s="579">
        <v>19994.049923509407</v>
      </c>
      <c r="Y112" s="579">
        <v>0</v>
      </c>
      <c r="Z112" s="579">
        <v>0</v>
      </c>
    </row>
    <row r="113" spans="1:26" outlineLevel="2">
      <c r="A113" s="875"/>
      <c r="B113" s="876"/>
      <c r="C113" s="876"/>
      <c r="D113" s="64">
        <v>4</v>
      </c>
      <c r="E113" s="68">
        <f t="shared" si="14"/>
        <v>318644.1120000002</v>
      </c>
      <c r="F113" s="579">
        <v>19396.882503227607</v>
      </c>
      <c r="G113" s="579">
        <v>78273.166680641356</v>
      </c>
      <c r="H113" s="579">
        <v>65799.002790310304</v>
      </c>
      <c r="I113" s="579">
        <v>13027.096686888321</v>
      </c>
      <c r="J113" s="579">
        <v>39103.407372527254</v>
      </c>
      <c r="K113" s="579">
        <v>10970.18668369543</v>
      </c>
      <c r="L113" s="579">
        <v>3627.239145415424</v>
      </c>
      <c r="M113" s="579">
        <v>3096.4236607204834</v>
      </c>
      <c r="N113" s="579">
        <v>9045.9805516762717</v>
      </c>
      <c r="O113" s="579">
        <v>10771.130876934827</v>
      </c>
      <c r="P113" s="579">
        <v>2455.0216167140979</v>
      </c>
      <c r="Q113" s="579">
        <v>552.93279655722915</v>
      </c>
      <c r="R113" s="579">
        <v>4357.1104368709666</v>
      </c>
      <c r="S113" s="579">
        <v>2985.8371014090376</v>
      </c>
      <c r="T113" s="579">
        <v>8935.393992364825</v>
      </c>
      <c r="U113" s="579">
        <v>6966.9532366210888</v>
      </c>
      <c r="V113" s="579">
        <v>6015.9088265426553</v>
      </c>
      <c r="W113" s="579">
        <v>13270.387117373504</v>
      </c>
      <c r="X113" s="579">
        <v>19994.049923509407</v>
      </c>
      <c r="Y113" s="579">
        <v>0</v>
      </c>
      <c r="Z113" s="579">
        <v>0</v>
      </c>
    </row>
    <row r="114" spans="1:26" outlineLevel="2">
      <c r="A114" s="875"/>
      <c r="B114" s="876"/>
      <c r="C114" s="876"/>
      <c r="D114" s="64">
        <v>5</v>
      </c>
      <c r="E114" s="68">
        <f t="shared" si="14"/>
        <v>318644.1120000002</v>
      </c>
      <c r="F114" s="579">
        <v>19396.882503227607</v>
      </c>
      <c r="G114" s="579">
        <v>78273.166680641356</v>
      </c>
      <c r="H114" s="579">
        <v>65799.002790310304</v>
      </c>
      <c r="I114" s="579">
        <v>13027.096686888321</v>
      </c>
      <c r="J114" s="579">
        <v>39103.407372527254</v>
      </c>
      <c r="K114" s="579">
        <v>10970.18668369543</v>
      </c>
      <c r="L114" s="579">
        <v>3627.239145415424</v>
      </c>
      <c r="M114" s="579">
        <v>3096.4236607204834</v>
      </c>
      <c r="N114" s="579">
        <v>9045.9805516762717</v>
      </c>
      <c r="O114" s="579">
        <v>10771.130876934827</v>
      </c>
      <c r="P114" s="579">
        <v>2455.0216167140979</v>
      </c>
      <c r="Q114" s="579">
        <v>552.93279655722915</v>
      </c>
      <c r="R114" s="579">
        <v>4357.1104368709666</v>
      </c>
      <c r="S114" s="579">
        <v>2985.8371014090376</v>
      </c>
      <c r="T114" s="579">
        <v>8935.393992364825</v>
      </c>
      <c r="U114" s="579">
        <v>6966.9532366210888</v>
      </c>
      <c r="V114" s="579">
        <v>6015.9088265426553</v>
      </c>
      <c r="W114" s="579">
        <v>13270.387117373504</v>
      </c>
      <c r="X114" s="579">
        <v>19994.049923509407</v>
      </c>
      <c r="Y114" s="579">
        <v>0</v>
      </c>
      <c r="Z114" s="579">
        <v>0</v>
      </c>
    </row>
    <row r="115" spans="1:26" outlineLevel="2">
      <c r="A115" s="875"/>
      <c r="B115" s="876"/>
      <c r="C115" s="876"/>
      <c r="D115" s="64">
        <v>6</v>
      </c>
      <c r="E115" s="68">
        <f t="shared" si="14"/>
        <v>318644.1120000002</v>
      </c>
      <c r="F115" s="579">
        <v>19396.882503227607</v>
      </c>
      <c r="G115" s="579">
        <v>78273.166680641356</v>
      </c>
      <c r="H115" s="579">
        <v>65799.002790310304</v>
      </c>
      <c r="I115" s="579">
        <v>13027.096686888321</v>
      </c>
      <c r="J115" s="579">
        <v>39103.407372527254</v>
      </c>
      <c r="K115" s="579">
        <v>10970.18668369543</v>
      </c>
      <c r="L115" s="579">
        <v>3627.239145415424</v>
      </c>
      <c r="M115" s="579">
        <v>3096.4236607204834</v>
      </c>
      <c r="N115" s="579">
        <v>9045.9805516762717</v>
      </c>
      <c r="O115" s="579">
        <v>10771.130876934827</v>
      </c>
      <c r="P115" s="579">
        <v>2455.0216167140979</v>
      </c>
      <c r="Q115" s="579">
        <v>552.93279655722915</v>
      </c>
      <c r="R115" s="579">
        <v>4357.1104368709666</v>
      </c>
      <c r="S115" s="579">
        <v>2985.8371014090376</v>
      </c>
      <c r="T115" s="579">
        <v>8935.393992364825</v>
      </c>
      <c r="U115" s="579">
        <v>6966.9532366210888</v>
      </c>
      <c r="V115" s="579">
        <v>6015.9088265426553</v>
      </c>
      <c r="W115" s="579">
        <v>13270.387117373504</v>
      </c>
      <c r="X115" s="579">
        <v>19994.049923509407</v>
      </c>
      <c r="Y115" s="579">
        <v>0</v>
      </c>
      <c r="Z115" s="579">
        <v>0</v>
      </c>
    </row>
    <row r="116" spans="1:26" outlineLevel="2">
      <c r="A116" s="875"/>
      <c r="B116" s="876"/>
      <c r="C116" s="876"/>
      <c r="D116" s="64">
        <v>7</v>
      </c>
      <c r="E116" s="68">
        <f t="shared" si="14"/>
        <v>318644.1120000002</v>
      </c>
      <c r="F116" s="579">
        <v>19396.882503227607</v>
      </c>
      <c r="G116" s="579">
        <v>78273.166680641356</v>
      </c>
      <c r="H116" s="579">
        <v>65799.002790310304</v>
      </c>
      <c r="I116" s="579">
        <v>13027.096686888321</v>
      </c>
      <c r="J116" s="579">
        <v>39103.407372527254</v>
      </c>
      <c r="K116" s="579">
        <v>10970.18668369543</v>
      </c>
      <c r="L116" s="579">
        <v>3627.239145415424</v>
      </c>
      <c r="M116" s="579">
        <v>3096.4236607204834</v>
      </c>
      <c r="N116" s="579">
        <v>9045.9805516762717</v>
      </c>
      <c r="O116" s="579">
        <v>10771.130876934827</v>
      </c>
      <c r="P116" s="579">
        <v>2455.0216167140979</v>
      </c>
      <c r="Q116" s="579">
        <v>552.93279655722915</v>
      </c>
      <c r="R116" s="579">
        <v>4357.1104368709666</v>
      </c>
      <c r="S116" s="579">
        <v>2985.8371014090376</v>
      </c>
      <c r="T116" s="579">
        <v>8935.393992364825</v>
      </c>
      <c r="U116" s="579">
        <v>6966.9532366210888</v>
      </c>
      <c r="V116" s="579">
        <v>6015.9088265426553</v>
      </c>
      <c r="W116" s="579">
        <v>13270.387117373504</v>
      </c>
      <c r="X116" s="579">
        <v>19994.049923509407</v>
      </c>
      <c r="Y116" s="579">
        <v>0</v>
      </c>
      <c r="Z116" s="579">
        <v>0</v>
      </c>
    </row>
    <row r="117" spans="1:26" outlineLevel="2">
      <c r="A117" s="875"/>
      <c r="B117" s="876"/>
      <c r="C117" s="876"/>
      <c r="D117" s="64">
        <v>8</v>
      </c>
      <c r="E117" s="68">
        <f t="shared" si="14"/>
        <v>318644.1120000002</v>
      </c>
      <c r="F117" s="579">
        <v>19396.882503227607</v>
      </c>
      <c r="G117" s="579">
        <v>78273.166680641356</v>
      </c>
      <c r="H117" s="579">
        <v>65799.002790310304</v>
      </c>
      <c r="I117" s="579">
        <v>13027.096686888321</v>
      </c>
      <c r="J117" s="579">
        <v>39103.407372527254</v>
      </c>
      <c r="K117" s="579">
        <v>10970.18668369543</v>
      </c>
      <c r="L117" s="579">
        <v>3627.239145415424</v>
      </c>
      <c r="M117" s="579">
        <v>3096.4236607204834</v>
      </c>
      <c r="N117" s="579">
        <v>9045.9805516762717</v>
      </c>
      <c r="O117" s="579">
        <v>10771.130876934827</v>
      </c>
      <c r="P117" s="579">
        <v>2455.0216167140979</v>
      </c>
      <c r="Q117" s="579">
        <v>552.93279655722915</v>
      </c>
      <c r="R117" s="579">
        <v>4357.1104368709666</v>
      </c>
      <c r="S117" s="579">
        <v>2985.8371014090376</v>
      </c>
      <c r="T117" s="579">
        <v>8935.393992364825</v>
      </c>
      <c r="U117" s="579">
        <v>6966.9532366210888</v>
      </c>
      <c r="V117" s="579">
        <v>6015.9088265426553</v>
      </c>
      <c r="W117" s="579">
        <v>13270.387117373504</v>
      </c>
      <c r="X117" s="579">
        <v>19994.049923509407</v>
      </c>
      <c r="Y117" s="579">
        <v>0</v>
      </c>
      <c r="Z117" s="579">
        <v>0</v>
      </c>
    </row>
    <row r="118" spans="1:26" outlineLevel="2">
      <c r="A118" s="875"/>
      <c r="B118" s="876"/>
      <c r="C118" s="876"/>
      <c r="D118" s="64">
        <v>9</v>
      </c>
      <c r="E118" s="68">
        <f t="shared" si="14"/>
        <v>318644.1120000002</v>
      </c>
      <c r="F118" s="579">
        <v>19396.882503227607</v>
      </c>
      <c r="G118" s="579">
        <v>78273.166680641356</v>
      </c>
      <c r="H118" s="579">
        <v>65799.002790310304</v>
      </c>
      <c r="I118" s="579">
        <v>13027.096686888321</v>
      </c>
      <c r="J118" s="579">
        <v>39103.407372527254</v>
      </c>
      <c r="K118" s="579">
        <v>10970.18668369543</v>
      </c>
      <c r="L118" s="579">
        <v>3627.239145415424</v>
      </c>
      <c r="M118" s="579">
        <v>3096.4236607204834</v>
      </c>
      <c r="N118" s="579">
        <v>9045.9805516762717</v>
      </c>
      <c r="O118" s="579">
        <v>10771.130876934827</v>
      </c>
      <c r="P118" s="579">
        <v>2455.0216167140979</v>
      </c>
      <c r="Q118" s="579">
        <v>552.93279655722915</v>
      </c>
      <c r="R118" s="579">
        <v>4357.1104368709666</v>
      </c>
      <c r="S118" s="579">
        <v>2985.8371014090376</v>
      </c>
      <c r="T118" s="579">
        <v>8935.393992364825</v>
      </c>
      <c r="U118" s="579">
        <v>6966.9532366210888</v>
      </c>
      <c r="V118" s="579">
        <v>6015.9088265426553</v>
      </c>
      <c r="W118" s="579">
        <v>13270.387117373504</v>
      </c>
      <c r="X118" s="579">
        <v>19994.049923509407</v>
      </c>
      <c r="Y118" s="579">
        <v>0</v>
      </c>
      <c r="Z118" s="579">
        <v>0</v>
      </c>
    </row>
    <row r="119" spans="1:26" ht="15.75" outlineLevel="2" thickBot="1">
      <c r="A119" s="875"/>
      <c r="B119" s="876"/>
      <c r="C119" s="876"/>
      <c r="D119" s="65">
        <v>10</v>
      </c>
      <c r="E119" s="69">
        <f t="shared" si="14"/>
        <v>318644.1120000002</v>
      </c>
      <c r="F119" s="583">
        <v>19396.882503227607</v>
      </c>
      <c r="G119" s="583">
        <v>78273.166680641356</v>
      </c>
      <c r="H119" s="583">
        <v>65799.002790310304</v>
      </c>
      <c r="I119" s="583">
        <v>13027.096686888321</v>
      </c>
      <c r="J119" s="583">
        <v>39103.407372527254</v>
      </c>
      <c r="K119" s="583">
        <v>10970.18668369543</v>
      </c>
      <c r="L119" s="583">
        <v>3627.239145415424</v>
      </c>
      <c r="M119" s="583">
        <v>3096.4236607204834</v>
      </c>
      <c r="N119" s="583">
        <v>9045.9805516762717</v>
      </c>
      <c r="O119" s="583">
        <v>10771.130876934827</v>
      </c>
      <c r="P119" s="583">
        <v>2455.0216167140979</v>
      </c>
      <c r="Q119" s="583">
        <v>552.93279655722915</v>
      </c>
      <c r="R119" s="583">
        <v>4357.1104368709666</v>
      </c>
      <c r="S119" s="583">
        <v>2985.8371014090376</v>
      </c>
      <c r="T119" s="583">
        <v>8935.393992364825</v>
      </c>
      <c r="U119" s="583">
        <v>6966.9532366210888</v>
      </c>
      <c r="V119" s="583">
        <v>6015.9088265426553</v>
      </c>
      <c r="W119" s="583">
        <v>13270.387117373504</v>
      </c>
      <c r="X119" s="583">
        <v>19994.049923509407</v>
      </c>
      <c r="Y119" s="583">
        <v>0</v>
      </c>
      <c r="Z119" s="583">
        <v>0</v>
      </c>
    </row>
    <row r="120" spans="1:26" outlineLevel="2">
      <c r="A120" s="875" t="s">
        <v>83</v>
      </c>
      <c r="B120" s="876" t="s">
        <v>71</v>
      </c>
      <c r="C120" s="876">
        <v>718006</v>
      </c>
      <c r="D120" s="63">
        <v>1</v>
      </c>
      <c r="E120" s="68">
        <f t="shared" si="14"/>
        <v>0</v>
      </c>
      <c r="F120" s="588">
        <f>IFERROR(IF(VLOOKUP(F$2,MODULY_CBA!$B$3:$N$23,13,0)&lt;='TCO TO BE- SW'!$D120,SUM('TCO TO BE- SW'!F$37:F$46)*VLOOKUP('TCO TO BE- SW'!F$2,MODULY_CBA!$B$3:$L$23,11,0),0),0)</f>
        <v>0</v>
      </c>
      <c r="G120" s="588">
        <f>IFERROR(IF(VLOOKUP(G$2,MODULY_CBA!$B$3:$N$23,13,0)&lt;='TCO TO BE- SW'!$D120,SUM('TCO TO BE- SW'!G$37:G$46)*VLOOKUP('TCO TO BE- SW'!G$2,MODULY_CBA!$B$3:$L$23,11,0),0),0)</f>
        <v>0</v>
      </c>
      <c r="H120" s="588">
        <f>IFERROR(IF(VLOOKUP(H$2,MODULY_CBA!$B$3:$N$23,13,0)&lt;='TCO TO BE- SW'!$D120,SUM('TCO TO BE- SW'!H$37:H$46)*VLOOKUP('TCO TO BE- SW'!H$2,MODULY_CBA!$B$3:$L$23,11,0),0),0)</f>
        <v>0</v>
      </c>
      <c r="I120" s="588">
        <f>IFERROR(IF(VLOOKUP(I$2,MODULY_CBA!$B$3:$N$23,13,0)&lt;='TCO TO BE- SW'!$D120,SUM('TCO TO BE- SW'!I$37:I$46)*VLOOKUP('TCO TO BE- SW'!I$2,MODULY_CBA!$B$3:$L$23,11,0),0),0)</f>
        <v>0</v>
      </c>
      <c r="J120" s="588">
        <f>IFERROR(IF(VLOOKUP(J$2,MODULY_CBA!$B$3:$N$23,13,0)&lt;='TCO TO BE- SW'!$D120,SUM('TCO TO BE- SW'!J$37:J$46)*VLOOKUP('TCO TO BE- SW'!J$2,MODULY_CBA!$B$3:$L$23,11,0),0),0)</f>
        <v>0</v>
      </c>
      <c r="K120" s="588">
        <f>IFERROR(IF(VLOOKUP(K$2,MODULY_CBA!$B$3:$N$23,13,0)&lt;='TCO TO BE- SW'!$D120,SUM('TCO TO BE- SW'!K$37:K$46)*VLOOKUP('TCO TO BE- SW'!K$2,MODULY_CBA!$B$3:$L$23,11,0),0),0)</f>
        <v>0</v>
      </c>
      <c r="L120" s="588">
        <f>IFERROR(IF(VLOOKUP(L$2,MODULY_CBA!$B$3:$N$23,13,0)&lt;='TCO TO BE- SW'!$D120,SUM('TCO TO BE- SW'!L$37:L$46)*VLOOKUP('TCO TO BE- SW'!L$2,MODULY_CBA!$B$3:$L$23,11,0),0),0)</f>
        <v>0</v>
      </c>
      <c r="M120" s="588">
        <f>IFERROR(IF(VLOOKUP(M$2,MODULY_CBA!$B$3:$N$23,13,0)&lt;='TCO TO BE- SW'!$D120,SUM('TCO TO BE- SW'!M$37:M$46)*VLOOKUP('TCO TO BE- SW'!M$2,MODULY_CBA!$B$3:$L$23,11,0),0),0)</f>
        <v>0</v>
      </c>
      <c r="N120" s="588">
        <f>IFERROR(IF(VLOOKUP(N$2,MODULY_CBA!$B$3:$N$23,13,0)&lt;='TCO TO BE- SW'!$D120,SUM('TCO TO BE- SW'!N$37:N$46)*VLOOKUP('TCO TO BE- SW'!N$2,MODULY_CBA!$B$3:$L$23,11,0),0),0)</f>
        <v>0</v>
      </c>
      <c r="O120" s="588">
        <f>IFERROR(IF(VLOOKUP(O$2,MODULY_CBA!$B$3:$N$23,13,0)&lt;='TCO TO BE- SW'!$D120,SUM('TCO TO BE- SW'!O$37:O$46)*VLOOKUP('TCO TO BE- SW'!O$2,MODULY_CBA!$B$3:$L$23,11,0),0),0)</f>
        <v>0</v>
      </c>
      <c r="P120" s="588">
        <f>IFERROR(IF(VLOOKUP(P$2,MODULY_CBA!$B$3:$N$23,13,0)&lt;='TCO TO BE- SW'!$D120,SUM('TCO TO BE- SW'!P$37:P$46)*VLOOKUP('TCO TO BE- SW'!P$2,MODULY_CBA!$B$3:$L$23,11,0),0),0)</f>
        <v>0</v>
      </c>
      <c r="Q120" s="588">
        <f>IFERROR(IF(VLOOKUP(Q$2,MODULY_CBA!$B$3:$N$23,13,0)&lt;='TCO TO BE- SW'!$D120,SUM('TCO TO BE- SW'!Q$37:Q$46)*VLOOKUP('TCO TO BE- SW'!Q$2,MODULY_CBA!$B$3:$L$23,11,0),0),0)</f>
        <v>0</v>
      </c>
      <c r="R120" s="588">
        <f>IFERROR(IF(VLOOKUP(R$2,MODULY_CBA!$B$3:$N$23,13,0)&lt;='TCO TO BE- SW'!$D120,SUM('TCO TO BE- SW'!R$37:R$46)*VLOOKUP('TCO TO BE- SW'!R$2,MODULY_CBA!$B$3:$L$23,11,0),0),0)</f>
        <v>0</v>
      </c>
      <c r="S120" s="588">
        <f>IFERROR(IF(VLOOKUP(S$2,MODULY_CBA!$B$3:$N$23,13,0)&lt;='TCO TO BE- SW'!$D120,SUM('TCO TO BE- SW'!S$37:S$46)*VLOOKUP('TCO TO BE- SW'!S$2,MODULY_CBA!$B$3:$L$23,11,0),0),0)</f>
        <v>0</v>
      </c>
      <c r="T120" s="588">
        <f>IFERROR(IF(VLOOKUP(T$2,MODULY_CBA!$B$3:$N$23,13,0)&lt;='TCO TO BE- SW'!$D120,SUM('TCO TO BE- SW'!T$37:T$46)*VLOOKUP('TCO TO BE- SW'!T$2,MODULY_CBA!$B$3:$L$23,11,0),0),0)</f>
        <v>0</v>
      </c>
      <c r="U120" s="588">
        <f>IFERROR(IF(VLOOKUP(U$2,MODULY_CBA!$B$3:$N$23,13,0)&lt;='TCO TO BE- SW'!$D120,SUM('TCO TO BE- SW'!U$37:U$46)*VLOOKUP('TCO TO BE- SW'!U$2,MODULY_CBA!$B$3:$L$23,11,0),0),0)</f>
        <v>0</v>
      </c>
      <c r="V120" s="588">
        <f>IFERROR(IF(VLOOKUP(V$2,MODULY_CBA!$B$3:$N$23,13,0)&lt;='TCO TO BE- SW'!$D120,SUM('TCO TO BE- SW'!V$37:V$46)*VLOOKUP('TCO TO BE- SW'!V$2,MODULY_CBA!$B$3:$L$23,11,0),0),0)</f>
        <v>0</v>
      </c>
      <c r="W120" s="588">
        <f>IFERROR(IF(VLOOKUP(W$2,MODULY_CBA!$B$3:$N$23,13,0)&lt;='TCO TO BE- SW'!$D120,SUM('TCO TO BE- SW'!W$37:W$46)*VLOOKUP('TCO TO BE- SW'!W$2,MODULY_CBA!$B$3:$L$23,11,0),0),0)</f>
        <v>0</v>
      </c>
      <c r="X120" s="588">
        <f>IFERROR(IF(VLOOKUP(X$2,MODULY_CBA!$B$3:$N$23,13,0)&lt;='TCO TO BE- SW'!$D120,SUM('TCO TO BE- SW'!X$37:X$46)*VLOOKUP('TCO TO BE- SW'!X$2,MODULY_CBA!$B$3:$L$23,11,0),0),0)</f>
        <v>0</v>
      </c>
      <c r="Y120" s="588">
        <f>IFERROR(IF(VLOOKUP(Y$2,MODULY_CBA!$B$3:$N$23,13,0)&lt;='TCO TO BE- SW'!$D120,SUM('TCO TO BE- SW'!Y$37:Y$46)*VLOOKUP('TCO TO BE- SW'!Y$2,MODULY_CBA!$B$3:$L$23,11,0),0),0)</f>
        <v>0</v>
      </c>
      <c r="Z120" s="588">
        <f>IFERROR(IF(VLOOKUP(Z$2,MODULY_CBA!$B$3:$N$23,13,0)&lt;='TCO TO BE- SW'!$D120,SUM('TCO TO BE- SW'!Z$37:Z$46)*VLOOKUP('TCO TO BE- SW'!Z$2,MODULY_CBA!$B$3:$L$23,11,0),0),0)</f>
        <v>0</v>
      </c>
    </row>
    <row r="121" spans="1:26" outlineLevel="2">
      <c r="A121" s="875"/>
      <c r="B121" s="876"/>
      <c r="C121" s="876"/>
      <c r="D121" s="64">
        <v>2</v>
      </c>
      <c r="E121" s="68">
        <f t="shared" si="14"/>
        <v>0</v>
      </c>
      <c r="F121" s="588">
        <f>IFERROR(IF(VLOOKUP(F$2,MODULY_CBA!$B$3:$N$23,13,0)&lt;='TCO TO BE- SW'!$D121,SUM('TCO TO BE- SW'!F$37:F$46)*VLOOKUP('TCO TO BE- SW'!F$2,MODULY_CBA!$B$3:$L$23,11,0),0),0)</f>
        <v>0</v>
      </c>
      <c r="G121" s="588">
        <f>IFERROR(IF(VLOOKUP(G$2,MODULY_CBA!$B$3:$N$23,13,0)&lt;='TCO TO BE- SW'!$D121,SUM('TCO TO BE- SW'!G$37:G$46)*VLOOKUP('TCO TO BE- SW'!G$2,MODULY_CBA!$B$3:$L$23,11,0),0),0)</f>
        <v>0</v>
      </c>
      <c r="H121" s="588">
        <f>IFERROR(IF(VLOOKUP(H$2,MODULY_CBA!$B$3:$N$23,13,0)&lt;='TCO TO BE- SW'!$D121,SUM('TCO TO BE- SW'!H$37:H$46)*VLOOKUP('TCO TO BE- SW'!H$2,MODULY_CBA!$B$3:$L$23,11,0),0),0)</f>
        <v>0</v>
      </c>
      <c r="I121" s="588">
        <f>IFERROR(IF(VLOOKUP(I$2,MODULY_CBA!$B$3:$N$23,13,0)&lt;='TCO TO BE- SW'!$D121,SUM('TCO TO BE- SW'!I$37:I$46)*VLOOKUP('TCO TO BE- SW'!I$2,MODULY_CBA!$B$3:$L$23,11,0),0),0)</f>
        <v>0</v>
      </c>
      <c r="J121" s="588">
        <f>IFERROR(IF(VLOOKUP(J$2,MODULY_CBA!$B$3:$N$23,13,0)&lt;='TCO TO BE- SW'!$D121,SUM('TCO TO BE- SW'!J$37:J$46)*VLOOKUP('TCO TO BE- SW'!J$2,MODULY_CBA!$B$3:$L$23,11,0),0),0)</f>
        <v>0</v>
      </c>
      <c r="K121" s="588">
        <f>IFERROR(IF(VLOOKUP(K$2,MODULY_CBA!$B$3:$N$23,13,0)&lt;='TCO TO BE- SW'!$D121,SUM('TCO TO BE- SW'!K$37:K$46)*VLOOKUP('TCO TO BE- SW'!K$2,MODULY_CBA!$B$3:$L$23,11,0),0),0)</f>
        <v>0</v>
      </c>
      <c r="L121" s="588">
        <f>IFERROR(IF(VLOOKUP(L$2,MODULY_CBA!$B$3:$N$23,13,0)&lt;='TCO TO BE- SW'!$D121,SUM('TCO TO BE- SW'!L$37:L$46)*VLOOKUP('TCO TO BE- SW'!L$2,MODULY_CBA!$B$3:$L$23,11,0),0),0)</f>
        <v>0</v>
      </c>
      <c r="M121" s="588">
        <f>IFERROR(IF(VLOOKUP(M$2,MODULY_CBA!$B$3:$N$23,13,0)&lt;='TCO TO BE- SW'!$D121,SUM('TCO TO BE- SW'!M$37:M$46)*VLOOKUP('TCO TO BE- SW'!M$2,MODULY_CBA!$B$3:$L$23,11,0),0),0)</f>
        <v>0</v>
      </c>
      <c r="N121" s="588">
        <f>IFERROR(IF(VLOOKUP(N$2,MODULY_CBA!$B$3:$N$23,13,0)&lt;='TCO TO BE- SW'!$D121,SUM('TCO TO BE- SW'!N$37:N$46)*VLOOKUP('TCO TO BE- SW'!N$2,MODULY_CBA!$B$3:$L$23,11,0),0),0)</f>
        <v>0</v>
      </c>
      <c r="O121" s="588">
        <f>IFERROR(IF(VLOOKUP(O$2,MODULY_CBA!$B$3:$N$23,13,0)&lt;='TCO TO BE- SW'!$D121,SUM('TCO TO BE- SW'!O$37:O$46)*VLOOKUP('TCO TO BE- SW'!O$2,MODULY_CBA!$B$3:$L$23,11,0),0),0)</f>
        <v>0</v>
      </c>
      <c r="P121" s="588">
        <f>IFERROR(IF(VLOOKUP(P$2,MODULY_CBA!$B$3:$N$23,13,0)&lt;='TCO TO BE- SW'!$D121,SUM('TCO TO BE- SW'!P$37:P$46)*VLOOKUP('TCO TO BE- SW'!P$2,MODULY_CBA!$B$3:$L$23,11,0),0),0)</f>
        <v>0</v>
      </c>
      <c r="Q121" s="588">
        <f>IFERROR(IF(VLOOKUP(Q$2,MODULY_CBA!$B$3:$N$23,13,0)&lt;='TCO TO BE- SW'!$D121,SUM('TCO TO BE- SW'!Q$37:Q$46)*VLOOKUP('TCO TO BE- SW'!Q$2,MODULY_CBA!$B$3:$L$23,11,0),0),0)</f>
        <v>0</v>
      </c>
      <c r="R121" s="588">
        <f>IFERROR(IF(VLOOKUP(R$2,MODULY_CBA!$B$3:$N$23,13,0)&lt;='TCO TO BE- SW'!$D121,SUM('TCO TO BE- SW'!R$37:R$46)*VLOOKUP('TCO TO BE- SW'!R$2,MODULY_CBA!$B$3:$L$23,11,0),0),0)</f>
        <v>0</v>
      </c>
      <c r="S121" s="588">
        <f>IFERROR(IF(VLOOKUP(S$2,MODULY_CBA!$B$3:$N$23,13,0)&lt;='TCO TO BE- SW'!$D121,SUM('TCO TO BE- SW'!S$37:S$46)*VLOOKUP('TCO TO BE- SW'!S$2,MODULY_CBA!$B$3:$L$23,11,0),0),0)</f>
        <v>0</v>
      </c>
      <c r="T121" s="588">
        <f>IFERROR(IF(VLOOKUP(T$2,MODULY_CBA!$B$3:$N$23,13,0)&lt;='TCO TO BE- SW'!$D121,SUM('TCO TO BE- SW'!T$37:T$46)*VLOOKUP('TCO TO BE- SW'!T$2,MODULY_CBA!$B$3:$L$23,11,0),0),0)</f>
        <v>0</v>
      </c>
      <c r="U121" s="588">
        <f>IFERROR(IF(VLOOKUP(U$2,MODULY_CBA!$B$3:$N$23,13,0)&lt;='TCO TO BE- SW'!$D121,SUM('TCO TO BE- SW'!U$37:U$46)*VLOOKUP('TCO TO BE- SW'!U$2,MODULY_CBA!$B$3:$L$23,11,0),0),0)</f>
        <v>0</v>
      </c>
      <c r="V121" s="588">
        <f>IFERROR(IF(VLOOKUP(V$2,MODULY_CBA!$B$3:$N$23,13,0)&lt;='TCO TO BE- SW'!$D121,SUM('TCO TO BE- SW'!V$37:V$46)*VLOOKUP('TCO TO BE- SW'!V$2,MODULY_CBA!$B$3:$L$23,11,0),0),0)</f>
        <v>0</v>
      </c>
      <c r="W121" s="588">
        <f>IFERROR(IF(VLOOKUP(W$2,MODULY_CBA!$B$3:$N$23,13,0)&lt;='TCO TO BE- SW'!$D121,SUM('TCO TO BE- SW'!W$37:W$46)*VLOOKUP('TCO TO BE- SW'!W$2,MODULY_CBA!$B$3:$L$23,11,0),0),0)</f>
        <v>0</v>
      </c>
      <c r="X121" s="588">
        <f>IFERROR(IF(VLOOKUP(X$2,MODULY_CBA!$B$3:$N$23,13,0)&lt;='TCO TO BE- SW'!$D121,SUM('TCO TO BE- SW'!X$37:X$46)*VLOOKUP('TCO TO BE- SW'!X$2,MODULY_CBA!$B$3:$L$23,11,0),0),0)</f>
        <v>0</v>
      </c>
      <c r="Y121" s="588">
        <f>IFERROR(IF(VLOOKUP(Y$2,MODULY_CBA!$B$3:$N$23,13,0)&lt;='TCO TO BE- SW'!$D121,SUM('TCO TO BE- SW'!Y$37:Y$46)*VLOOKUP('TCO TO BE- SW'!Y$2,MODULY_CBA!$B$3:$L$23,11,0),0),0)</f>
        <v>0</v>
      </c>
      <c r="Z121" s="588">
        <f>IFERROR(IF(VLOOKUP(Z$2,MODULY_CBA!$B$3:$N$23,13,0)&lt;='TCO TO BE- SW'!$D121,SUM('TCO TO BE- SW'!Z$37:Z$46)*VLOOKUP('TCO TO BE- SW'!Z$2,MODULY_CBA!$B$3:$L$23,11,0),0),0)</f>
        <v>0</v>
      </c>
    </row>
    <row r="122" spans="1:26" outlineLevel="2">
      <c r="A122" s="875"/>
      <c r="B122" s="876"/>
      <c r="C122" s="876"/>
      <c r="D122" s="64">
        <v>3</v>
      </c>
      <c r="E122" s="68">
        <f t="shared" si="14"/>
        <v>0</v>
      </c>
      <c r="F122" s="588">
        <f>IFERROR(IF(VLOOKUP(F$2,MODULY_CBA!$B$3:$N$23,13,0)&lt;='TCO TO BE- SW'!$D122,SUM('TCO TO BE- SW'!F$37:F$46)*VLOOKUP('TCO TO BE- SW'!F$2,MODULY_CBA!$B$3:$L$23,11,0),0),0)</f>
        <v>0</v>
      </c>
      <c r="G122" s="588">
        <f>IFERROR(IF(VLOOKUP(G$2,MODULY_CBA!$B$3:$N$23,13,0)&lt;='TCO TO BE- SW'!$D122,SUM('TCO TO BE- SW'!G$37:G$46)*VLOOKUP('TCO TO BE- SW'!G$2,MODULY_CBA!$B$3:$L$23,11,0),0),0)</f>
        <v>0</v>
      </c>
      <c r="H122" s="588">
        <f>IFERROR(IF(VLOOKUP(H$2,MODULY_CBA!$B$3:$N$23,13,0)&lt;='TCO TO BE- SW'!$D122,SUM('TCO TO BE- SW'!H$37:H$46)*VLOOKUP('TCO TO BE- SW'!H$2,MODULY_CBA!$B$3:$L$23,11,0),0),0)</f>
        <v>0</v>
      </c>
      <c r="I122" s="588">
        <f>IFERROR(IF(VLOOKUP(I$2,MODULY_CBA!$B$3:$N$23,13,0)&lt;='TCO TO BE- SW'!$D122,SUM('TCO TO BE- SW'!I$37:I$46)*VLOOKUP('TCO TO BE- SW'!I$2,MODULY_CBA!$B$3:$L$23,11,0),0),0)</f>
        <v>0</v>
      </c>
      <c r="J122" s="588">
        <f>IFERROR(IF(VLOOKUP(J$2,MODULY_CBA!$B$3:$N$23,13,0)&lt;='TCO TO BE- SW'!$D122,SUM('TCO TO BE- SW'!J$37:J$46)*VLOOKUP('TCO TO BE- SW'!J$2,MODULY_CBA!$B$3:$L$23,11,0),0),0)</f>
        <v>0</v>
      </c>
      <c r="K122" s="588">
        <f>IFERROR(IF(VLOOKUP(K$2,MODULY_CBA!$B$3:$N$23,13,0)&lt;='TCO TO BE- SW'!$D122,SUM('TCO TO BE- SW'!K$37:K$46)*VLOOKUP('TCO TO BE- SW'!K$2,MODULY_CBA!$B$3:$L$23,11,0),0),0)</f>
        <v>0</v>
      </c>
      <c r="L122" s="588">
        <f>IFERROR(IF(VLOOKUP(L$2,MODULY_CBA!$B$3:$N$23,13,0)&lt;='TCO TO BE- SW'!$D122,SUM('TCO TO BE- SW'!L$37:L$46)*VLOOKUP('TCO TO BE- SW'!L$2,MODULY_CBA!$B$3:$L$23,11,0),0),0)</f>
        <v>0</v>
      </c>
      <c r="M122" s="588">
        <f>IFERROR(IF(VLOOKUP(M$2,MODULY_CBA!$B$3:$N$23,13,0)&lt;='TCO TO BE- SW'!$D122,SUM('TCO TO BE- SW'!M$37:M$46)*VLOOKUP('TCO TO BE- SW'!M$2,MODULY_CBA!$B$3:$L$23,11,0),0),0)</f>
        <v>0</v>
      </c>
      <c r="N122" s="588">
        <f>IFERROR(IF(VLOOKUP(N$2,MODULY_CBA!$B$3:$N$23,13,0)&lt;='TCO TO BE- SW'!$D122,SUM('TCO TO BE- SW'!N$37:N$46)*VLOOKUP('TCO TO BE- SW'!N$2,MODULY_CBA!$B$3:$L$23,11,0),0),0)</f>
        <v>0</v>
      </c>
      <c r="O122" s="588">
        <f>IFERROR(IF(VLOOKUP(O$2,MODULY_CBA!$B$3:$N$23,13,0)&lt;='TCO TO BE- SW'!$D122,SUM('TCO TO BE- SW'!O$37:O$46)*VLOOKUP('TCO TO BE- SW'!O$2,MODULY_CBA!$B$3:$L$23,11,0),0),0)</f>
        <v>0</v>
      </c>
      <c r="P122" s="588">
        <f>IFERROR(IF(VLOOKUP(P$2,MODULY_CBA!$B$3:$N$23,13,0)&lt;='TCO TO BE- SW'!$D122,SUM('TCO TO BE- SW'!P$37:P$46)*VLOOKUP('TCO TO BE- SW'!P$2,MODULY_CBA!$B$3:$L$23,11,0),0),0)</f>
        <v>0</v>
      </c>
      <c r="Q122" s="588">
        <f>IFERROR(IF(VLOOKUP(Q$2,MODULY_CBA!$B$3:$N$23,13,0)&lt;='TCO TO BE- SW'!$D122,SUM('TCO TO BE- SW'!Q$37:Q$46)*VLOOKUP('TCO TO BE- SW'!Q$2,MODULY_CBA!$B$3:$L$23,11,0),0),0)</f>
        <v>0</v>
      </c>
      <c r="R122" s="588">
        <f>IFERROR(IF(VLOOKUP(R$2,MODULY_CBA!$B$3:$N$23,13,0)&lt;='TCO TO BE- SW'!$D122,SUM('TCO TO BE- SW'!R$37:R$46)*VLOOKUP('TCO TO BE- SW'!R$2,MODULY_CBA!$B$3:$L$23,11,0),0),0)</f>
        <v>0</v>
      </c>
      <c r="S122" s="588">
        <f>IFERROR(IF(VLOOKUP(S$2,MODULY_CBA!$B$3:$N$23,13,0)&lt;='TCO TO BE- SW'!$D122,SUM('TCO TO BE- SW'!S$37:S$46)*VLOOKUP('TCO TO BE- SW'!S$2,MODULY_CBA!$B$3:$L$23,11,0),0),0)</f>
        <v>0</v>
      </c>
      <c r="T122" s="588">
        <f>IFERROR(IF(VLOOKUP(T$2,MODULY_CBA!$B$3:$N$23,13,0)&lt;='TCO TO BE- SW'!$D122,SUM('TCO TO BE- SW'!T$37:T$46)*VLOOKUP('TCO TO BE- SW'!T$2,MODULY_CBA!$B$3:$L$23,11,0),0),0)</f>
        <v>0</v>
      </c>
      <c r="U122" s="588">
        <f>IFERROR(IF(VLOOKUP(U$2,MODULY_CBA!$B$3:$N$23,13,0)&lt;='TCO TO BE- SW'!$D122,SUM('TCO TO BE- SW'!U$37:U$46)*VLOOKUP('TCO TO BE- SW'!U$2,MODULY_CBA!$B$3:$L$23,11,0),0),0)</f>
        <v>0</v>
      </c>
      <c r="V122" s="588">
        <f>IFERROR(IF(VLOOKUP(V$2,MODULY_CBA!$B$3:$N$23,13,0)&lt;='TCO TO BE- SW'!$D122,SUM('TCO TO BE- SW'!V$37:V$46)*VLOOKUP('TCO TO BE- SW'!V$2,MODULY_CBA!$B$3:$L$23,11,0),0),0)</f>
        <v>0</v>
      </c>
      <c r="W122" s="588">
        <f>IFERROR(IF(VLOOKUP(W$2,MODULY_CBA!$B$3:$N$23,13,0)&lt;='TCO TO BE- SW'!$D122,SUM('TCO TO BE- SW'!W$37:W$46)*VLOOKUP('TCO TO BE- SW'!W$2,MODULY_CBA!$B$3:$L$23,11,0),0),0)</f>
        <v>0</v>
      </c>
      <c r="X122" s="588">
        <f>IFERROR(IF(VLOOKUP(X$2,MODULY_CBA!$B$3:$N$23,13,0)&lt;='TCO TO BE- SW'!$D122,SUM('TCO TO BE- SW'!X$37:X$46)*VLOOKUP('TCO TO BE- SW'!X$2,MODULY_CBA!$B$3:$L$23,11,0),0),0)</f>
        <v>0</v>
      </c>
      <c r="Y122" s="588">
        <f>IFERROR(IF(VLOOKUP(Y$2,MODULY_CBA!$B$3:$N$23,13,0)&lt;='TCO TO BE- SW'!$D122,SUM('TCO TO BE- SW'!Y$37:Y$46)*VLOOKUP('TCO TO BE- SW'!Y$2,MODULY_CBA!$B$3:$L$23,11,0),0),0)</f>
        <v>0</v>
      </c>
      <c r="Z122" s="588">
        <f>IFERROR(IF(VLOOKUP(Z$2,MODULY_CBA!$B$3:$N$23,13,0)&lt;='TCO TO BE- SW'!$D122,SUM('TCO TO BE- SW'!Z$37:Z$46)*VLOOKUP('TCO TO BE- SW'!Z$2,MODULY_CBA!$B$3:$L$23,11,0),0),0)</f>
        <v>0</v>
      </c>
    </row>
    <row r="123" spans="1:26" outlineLevel="2">
      <c r="A123" s="875"/>
      <c r="B123" s="876"/>
      <c r="C123" s="876"/>
      <c r="D123" s="64">
        <v>4</v>
      </c>
      <c r="E123" s="68">
        <f t="shared" si="14"/>
        <v>0</v>
      </c>
      <c r="F123" s="588">
        <f>IFERROR(IF(VLOOKUP(F$2,MODULY_CBA!$B$3:$N$23,13,0)&lt;='TCO TO BE- SW'!$D123,SUM('TCO TO BE- SW'!F$37:F$46)*VLOOKUP('TCO TO BE- SW'!F$2,MODULY_CBA!$B$3:$L$23,11,0),0),0)</f>
        <v>0</v>
      </c>
      <c r="G123" s="588">
        <f>IFERROR(IF(VLOOKUP(G$2,MODULY_CBA!$B$3:$N$23,13,0)&lt;='TCO TO BE- SW'!$D123,SUM('TCO TO BE- SW'!G$37:G$46)*VLOOKUP('TCO TO BE- SW'!G$2,MODULY_CBA!$B$3:$L$23,11,0),0),0)</f>
        <v>0</v>
      </c>
      <c r="H123" s="588">
        <f>IFERROR(IF(VLOOKUP(H$2,MODULY_CBA!$B$3:$N$23,13,0)&lt;='TCO TO BE- SW'!$D123,SUM('TCO TO BE- SW'!H$37:H$46)*VLOOKUP('TCO TO BE- SW'!H$2,MODULY_CBA!$B$3:$L$23,11,0),0),0)</f>
        <v>0</v>
      </c>
      <c r="I123" s="588">
        <f>IFERROR(IF(VLOOKUP(I$2,MODULY_CBA!$B$3:$N$23,13,0)&lt;='TCO TO BE- SW'!$D123,SUM('TCO TO BE- SW'!I$37:I$46)*VLOOKUP('TCO TO BE- SW'!I$2,MODULY_CBA!$B$3:$L$23,11,0),0),0)</f>
        <v>0</v>
      </c>
      <c r="J123" s="588">
        <f>IFERROR(IF(VLOOKUP(J$2,MODULY_CBA!$B$3:$N$23,13,0)&lt;='TCO TO BE- SW'!$D123,SUM('TCO TO BE- SW'!J$37:J$46)*VLOOKUP('TCO TO BE- SW'!J$2,MODULY_CBA!$B$3:$L$23,11,0),0),0)</f>
        <v>0</v>
      </c>
      <c r="K123" s="588">
        <f>IFERROR(IF(VLOOKUP(K$2,MODULY_CBA!$B$3:$N$23,13,0)&lt;='TCO TO BE- SW'!$D123,SUM('TCO TO BE- SW'!K$37:K$46)*VLOOKUP('TCO TO BE- SW'!K$2,MODULY_CBA!$B$3:$L$23,11,0),0),0)</f>
        <v>0</v>
      </c>
      <c r="L123" s="588">
        <f>IFERROR(IF(VLOOKUP(L$2,MODULY_CBA!$B$3:$N$23,13,0)&lt;='TCO TO BE- SW'!$D123,SUM('TCO TO BE- SW'!L$37:L$46)*VLOOKUP('TCO TO BE- SW'!L$2,MODULY_CBA!$B$3:$L$23,11,0),0),0)</f>
        <v>0</v>
      </c>
      <c r="M123" s="588">
        <f>IFERROR(IF(VLOOKUP(M$2,MODULY_CBA!$B$3:$N$23,13,0)&lt;='TCO TO BE- SW'!$D123,SUM('TCO TO BE- SW'!M$37:M$46)*VLOOKUP('TCO TO BE- SW'!M$2,MODULY_CBA!$B$3:$L$23,11,0),0),0)</f>
        <v>0</v>
      </c>
      <c r="N123" s="588">
        <f>IFERROR(IF(VLOOKUP(N$2,MODULY_CBA!$B$3:$N$23,13,0)&lt;='TCO TO BE- SW'!$D123,SUM('TCO TO BE- SW'!N$37:N$46)*VLOOKUP('TCO TO BE- SW'!N$2,MODULY_CBA!$B$3:$L$23,11,0),0),0)</f>
        <v>0</v>
      </c>
      <c r="O123" s="588">
        <f>IFERROR(IF(VLOOKUP(O$2,MODULY_CBA!$B$3:$N$23,13,0)&lt;='TCO TO BE- SW'!$D123,SUM('TCO TO BE- SW'!O$37:O$46)*VLOOKUP('TCO TO BE- SW'!O$2,MODULY_CBA!$B$3:$L$23,11,0),0),0)</f>
        <v>0</v>
      </c>
      <c r="P123" s="588">
        <f>IFERROR(IF(VLOOKUP(P$2,MODULY_CBA!$B$3:$N$23,13,0)&lt;='TCO TO BE- SW'!$D123,SUM('TCO TO BE- SW'!P$37:P$46)*VLOOKUP('TCO TO BE- SW'!P$2,MODULY_CBA!$B$3:$L$23,11,0),0),0)</f>
        <v>0</v>
      </c>
      <c r="Q123" s="588">
        <f>IFERROR(IF(VLOOKUP(Q$2,MODULY_CBA!$B$3:$N$23,13,0)&lt;='TCO TO BE- SW'!$D123,SUM('TCO TO BE- SW'!Q$37:Q$46)*VLOOKUP('TCO TO BE- SW'!Q$2,MODULY_CBA!$B$3:$L$23,11,0),0),0)</f>
        <v>0</v>
      </c>
      <c r="R123" s="588">
        <f>IFERROR(IF(VLOOKUP(R$2,MODULY_CBA!$B$3:$N$23,13,0)&lt;='TCO TO BE- SW'!$D123,SUM('TCO TO BE- SW'!R$37:R$46)*VLOOKUP('TCO TO BE- SW'!R$2,MODULY_CBA!$B$3:$L$23,11,0),0),0)</f>
        <v>0</v>
      </c>
      <c r="S123" s="588">
        <f>IFERROR(IF(VLOOKUP(S$2,MODULY_CBA!$B$3:$N$23,13,0)&lt;='TCO TO BE- SW'!$D123,SUM('TCO TO BE- SW'!S$37:S$46)*VLOOKUP('TCO TO BE- SW'!S$2,MODULY_CBA!$B$3:$L$23,11,0),0),0)</f>
        <v>0</v>
      </c>
      <c r="T123" s="588">
        <f>IFERROR(IF(VLOOKUP(T$2,MODULY_CBA!$B$3:$N$23,13,0)&lt;='TCO TO BE- SW'!$D123,SUM('TCO TO BE- SW'!T$37:T$46)*VLOOKUP('TCO TO BE- SW'!T$2,MODULY_CBA!$B$3:$L$23,11,0),0),0)</f>
        <v>0</v>
      </c>
      <c r="U123" s="588">
        <f>IFERROR(IF(VLOOKUP(U$2,MODULY_CBA!$B$3:$N$23,13,0)&lt;='TCO TO BE- SW'!$D123,SUM('TCO TO BE- SW'!U$37:U$46)*VLOOKUP('TCO TO BE- SW'!U$2,MODULY_CBA!$B$3:$L$23,11,0),0),0)</f>
        <v>0</v>
      </c>
      <c r="V123" s="588">
        <f>IFERROR(IF(VLOOKUP(V$2,MODULY_CBA!$B$3:$N$23,13,0)&lt;='TCO TO BE- SW'!$D123,SUM('TCO TO BE- SW'!V$37:V$46)*VLOOKUP('TCO TO BE- SW'!V$2,MODULY_CBA!$B$3:$L$23,11,0),0),0)</f>
        <v>0</v>
      </c>
      <c r="W123" s="588">
        <f>IFERROR(IF(VLOOKUP(W$2,MODULY_CBA!$B$3:$N$23,13,0)&lt;='TCO TO BE- SW'!$D123,SUM('TCO TO BE- SW'!W$37:W$46)*VLOOKUP('TCO TO BE- SW'!W$2,MODULY_CBA!$B$3:$L$23,11,0),0),0)</f>
        <v>0</v>
      </c>
      <c r="X123" s="588">
        <f>IFERROR(IF(VLOOKUP(X$2,MODULY_CBA!$B$3:$N$23,13,0)&lt;='TCO TO BE- SW'!$D123,SUM('TCO TO BE- SW'!X$37:X$46)*VLOOKUP('TCO TO BE- SW'!X$2,MODULY_CBA!$B$3:$L$23,11,0),0),0)</f>
        <v>0</v>
      </c>
      <c r="Y123" s="588">
        <f>IFERROR(IF(VLOOKUP(Y$2,MODULY_CBA!$B$3:$N$23,13,0)&lt;='TCO TO BE- SW'!$D123,SUM('TCO TO BE- SW'!Y$37:Y$46)*VLOOKUP('TCO TO BE- SW'!Y$2,MODULY_CBA!$B$3:$L$23,11,0),0),0)</f>
        <v>0</v>
      </c>
      <c r="Z123" s="588">
        <f>IFERROR(IF(VLOOKUP(Z$2,MODULY_CBA!$B$3:$N$23,13,0)&lt;='TCO TO BE- SW'!$D123,SUM('TCO TO BE- SW'!Z$37:Z$46)*VLOOKUP('TCO TO BE- SW'!Z$2,MODULY_CBA!$B$3:$L$23,11,0),0),0)</f>
        <v>0</v>
      </c>
    </row>
    <row r="124" spans="1:26" outlineLevel="2">
      <c r="A124" s="875"/>
      <c r="B124" s="876"/>
      <c r="C124" s="876"/>
      <c r="D124" s="64">
        <v>5</v>
      </c>
      <c r="E124" s="68">
        <f t="shared" si="14"/>
        <v>0</v>
      </c>
      <c r="F124" s="588">
        <f>IFERROR(IF(VLOOKUP(F$2,MODULY_CBA!$B$3:$N$23,13,0)&lt;='TCO TO BE- SW'!$D124,SUM('TCO TO BE- SW'!F$37:F$46)*VLOOKUP('TCO TO BE- SW'!F$2,MODULY_CBA!$B$3:$L$23,11,0),0),0)</f>
        <v>0</v>
      </c>
      <c r="G124" s="588">
        <f>IFERROR(IF(VLOOKUP(G$2,MODULY_CBA!$B$3:$N$23,13,0)&lt;='TCO TO BE- SW'!$D124,SUM('TCO TO BE- SW'!G$37:G$46)*VLOOKUP('TCO TO BE- SW'!G$2,MODULY_CBA!$B$3:$L$23,11,0),0),0)</f>
        <v>0</v>
      </c>
      <c r="H124" s="588">
        <f>IFERROR(IF(VLOOKUP(H$2,MODULY_CBA!$B$3:$N$23,13,0)&lt;='TCO TO BE- SW'!$D124,SUM('TCO TO BE- SW'!H$37:H$46)*VLOOKUP('TCO TO BE- SW'!H$2,MODULY_CBA!$B$3:$L$23,11,0),0),0)</f>
        <v>0</v>
      </c>
      <c r="I124" s="588">
        <f>IFERROR(IF(VLOOKUP(I$2,MODULY_CBA!$B$3:$N$23,13,0)&lt;='TCO TO BE- SW'!$D124,SUM('TCO TO BE- SW'!I$37:I$46)*VLOOKUP('TCO TO BE- SW'!I$2,MODULY_CBA!$B$3:$L$23,11,0),0),0)</f>
        <v>0</v>
      </c>
      <c r="J124" s="588">
        <f>IFERROR(IF(VLOOKUP(J$2,MODULY_CBA!$B$3:$N$23,13,0)&lt;='TCO TO BE- SW'!$D124,SUM('TCO TO BE- SW'!J$37:J$46)*VLOOKUP('TCO TO BE- SW'!J$2,MODULY_CBA!$B$3:$L$23,11,0),0),0)</f>
        <v>0</v>
      </c>
      <c r="K124" s="588">
        <f>IFERROR(IF(VLOOKUP(K$2,MODULY_CBA!$B$3:$N$23,13,0)&lt;='TCO TO BE- SW'!$D124,SUM('TCO TO BE- SW'!K$37:K$46)*VLOOKUP('TCO TO BE- SW'!K$2,MODULY_CBA!$B$3:$L$23,11,0),0),0)</f>
        <v>0</v>
      </c>
      <c r="L124" s="588">
        <f>IFERROR(IF(VLOOKUP(L$2,MODULY_CBA!$B$3:$N$23,13,0)&lt;='TCO TO BE- SW'!$D124,SUM('TCO TO BE- SW'!L$37:L$46)*VLOOKUP('TCO TO BE- SW'!L$2,MODULY_CBA!$B$3:$L$23,11,0),0),0)</f>
        <v>0</v>
      </c>
      <c r="M124" s="588">
        <f>IFERROR(IF(VLOOKUP(M$2,MODULY_CBA!$B$3:$N$23,13,0)&lt;='TCO TO BE- SW'!$D124,SUM('TCO TO BE- SW'!M$37:M$46)*VLOOKUP('TCO TO BE- SW'!M$2,MODULY_CBA!$B$3:$L$23,11,0),0),0)</f>
        <v>0</v>
      </c>
      <c r="N124" s="588">
        <f>IFERROR(IF(VLOOKUP(N$2,MODULY_CBA!$B$3:$N$23,13,0)&lt;='TCO TO BE- SW'!$D124,SUM('TCO TO BE- SW'!N$37:N$46)*VLOOKUP('TCO TO BE- SW'!N$2,MODULY_CBA!$B$3:$L$23,11,0),0),0)</f>
        <v>0</v>
      </c>
      <c r="O124" s="588">
        <f>IFERROR(IF(VLOOKUP(O$2,MODULY_CBA!$B$3:$N$23,13,0)&lt;='TCO TO BE- SW'!$D124,SUM('TCO TO BE- SW'!O$37:O$46)*VLOOKUP('TCO TO BE- SW'!O$2,MODULY_CBA!$B$3:$L$23,11,0),0),0)</f>
        <v>0</v>
      </c>
      <c r="P124" s="588">
        <f>IFERROR(IF(VLOOKUP(P$2,MODULY_CBA!$B$3:$N$23,13,0)&lt;='TCO TO BE- SW'!$D124,SUM('TCO TO BE- SW'!P$37:P$46)*VLOOKUP('TCO TO BE- SW'!P$2,MODULY_CBA!$B$3:$L$23,11,0),0),0)</f>
        <v>0</v>
      </c>
      <c r="Q124" s="588">
        <f>IFERROR(IF(VLOOKUP(Q$2,MODULY_CBA!$B$3:$N$23,13,0)&lt;='TCO TO BE- SW'!$D124,SUM('TCO TO BE- SW'!Q$37:Q$46)*VLOOKUP('TCO TO BE- SW'!Q$2,MODULY_CBA!$B$3:$L$23,11,0),0),0)</f>
        <v>0</v>
      </c>
      <c r="R124" s="588">
        <f>IFERROR(IF(VLOOKUP(R$2,MODULY_CBA!$B$3:$N$23,13,0)&lt;='TCO TO BE- SW'!$D124,SUM('TCO TO BE- SW'!R$37:R$46)*VLOOKUP('TCO TO BE- SW'!R$2,MODULY_CBA!$B$3:$L$23,11,0),0),0)</f>
        <v>0</v>
      </c>
      <c r="S124" s="588">
        <f>IFERROR(IF(VLOOKUP(S$2,MODULY_CBA!$B$3:$N$23,13,0)&lt;='TCO TO BE- SW'!$D124,SUM('TCO TO BE- SW'!S$37:S$46)*VLOOKUP('TCO TO BE- SW'!S$2,MODULY_CBA!$B$3:$L$23,11,0),0),0)</f>
        <v>0</v>
      </c>
      <c r="T124" s="588">
        <f>IFERROR(IF(VLOOKUP(T$2,MODULY_CBA!$B$3:$N$23,13,0)&lt;='TCO TO BE- SW'!$D124,SUM('TCO TO BE- SW'!T$37:T$46)*VLOOKUP('TCO TO BE- SW'!T$2,MODULY_CBA!$B$3:$L$23,11,0),0),0)</f>
        <v>0</v>
      </c>
      <c r="U124" s="588">
        <f>IFERROR(IF(VLOOKUP(U$2,MODULY_CBA!$B$3:$N$23,13,0)&lt;='TCO TO BE- SW'!$D124,SUM('TCO TO BE- SW'!U$37:U$46)*VLOOKUP('TCO TO BE- SW'!U$2,MODULY_CBA!$B$3:$L$23,11,0),0),0)</f>
        <v>0</v>
      </c>
      <c r="V124" s="588">
        <f>IFERROR(IF(VLOOKUP(V$2,MODULY_CBA!$B$3:$N$23,13,0)&lt;='TCO TO BE- SW'!$D124,SUM('TCO TO BE- SW'!V$37:V$46)*VLOOKUP('TCO TO BE- SW'!V$2,MODULY_CBA!$B$3:$L$23,11,0),0),0)</f>
        <v>0</v>
      </c>
      <c r="W124" s="588">
        <f>IFERROR(IF(VLOOKUP(W$2,MODULY_CBA!$B$3:$N$23,13,0)&lt;='TCO TO BE- SW'!$D124,SUM('TCO TO BE- SW'!W$37:W$46)*VLOOKUP('TCO TO BE- SW'!W$2,MODULY_CBA!$B$3:$L$23,11,0),0),0)</f>
        <v>0</v>
      </c>
      <c r="X124" s="588">
        <f>IFERROR(IF(VLOOKUP(X$2,MODULY_CBA!$B$3:$N$23,13,0)&lt;='TCO TO BE- SW'!$D124,SUM('TCO TO BE- SW'!X$37:X$46)*VLOOKUP('TCO TO BE- SW'!X$2,MODULY_CBA!$B$3:$L$23,11,0),0),0)</f>
        <v>0</v>
      </c>
      <c r="Y124" s="588">
        <f>IFERROR(IF(VLOOKUP(Y$2,MODULY_CBA!$B$3:$N$23,13,0)&lt;='TCO TO BE- SW'!$D124,SUM('TCO TO BE- SW'!Y$37:Y$46)*VLOOKUP('TCO TO BE- SW'!Y$2,MODULY_CBA!$B$3:$L$23,11,0),0),0)</f>
        <v>0</v>
      </c>
      <c r="Z124" s="588">
        <f>IFERROR(IF(VLOOKUP(Z$2,MODULY_CBA!$B$3:$N$23,13,0)&lt;='TCO TO BE- SW'!$D124,SUM('TCO TO BE- SW'!Z$37:Z$46)*VLOOKUP('TCO TO BE- SW'!Z$2,MODULY_CBA!$B$3:$L$23,11,0),0),0)</f>
        <v>0</v>
      </c>
    </row>
    <row r="125" spans="1:26" outlineLevel="2">
      <c r="A125" s="875"/>
      <c r="B125" s="876"/>
      <c r="C125" s="876"/>
      <c r="D125" s="64">
        <v>6</v>
      </c>
      <c r="E125" s="68">
        <f t="shared" si="14"/>
        <v>0</v>
      </c>
      <c r="F125" s="588">
        <f>IFERROR(IF(VLOOKUP(F$2,MODULY_CBA!$B$3:$N$23,13,0)&lt;='TCO TO BE- SW'!$D125,SUM('TCO TO BE- SW'!F$37:F$46)*VLOOKUP('TCO TO BE- SW'!F$2,MODULY_CBA!$B$3:$L$23,11,0),0),0)</f>
        <v>0</v>
      </c>
      <c r="G125" s="588">
        <f>IFERROR(IF(VLOOKUP(G$2,MODULY_CBA!$B$3:$N$23,13,0)&lt;='TCO TO BE- SW'!$D125,SUM('TCO TO BE- SW'!G$37:G$46)*VLOOKUP('TCO TO BE- SW'!G$2,MODULY_CBA!$B$3:$L$23,11,0),0),0)</f>
        <v>0</v>
      </c>
      <c r="H125" s="588">
        <f>IFERROR(IF(VLOOKUP(H$2,MODULY_CBA!$B$3:$N$23,13,0)&lt;='TCO TO BE- SW'!$D125,SUM('TCO TO BE- SW'!H$37:H$46)*VLOOKUP('TCO TO BE- SW'!H$2,MODULY_CBA!$B$3:$L$23,11,0),0),0)</f>
        <v>0</v>
      </c>
      <c r="I125" s="588">
        <f>IFERROR(IF(VLOOKUP(I$2,MODULY_CBA!$B$3:$N$23,13,0)&lt;='TCO TO BE- SW'!$D125,SUM('TCO TO BE- SW'!I$37:I$46)*VLOOKUP('TCO TO BE- SW'!I$2,MODULY_CBA!$B$3:$L$23,11,0),0),0)</f>
        <v>0</v>
      </c>
      <c r="J125" s="588">
        <f>IFERROR(IF(VLOOKUP(J$2,MODULY_CBA!$B$3:$N$23,13,0)&lt;='TCO TO BE- SW'!$D125,SUM('TCO TO BE- SW'!J$37:J$46)*VLOOKUP('TCO TO BE- SW'!J$2,MODULY_CBA!$B$3:$L$23,11,0),0),0)</f>
        <v>0</v>
      </c>
      <c r="K125" s="588">
        <f>IFERROR(IF(VLOOKUP(K$2,MODULY_CBA!$B$3:$N$23,13,0)&lt;='TCO TO BE- SW'!$D125,SUM('TCO TO BE- SW'!K$37:K$46)*VLOOKUP('TCO TO BE- SW'!K$2,MODULY_CBA!$B$3:$L$23,11,0),0),0)</f>
        <v>0</v>
      </c>
      <c r="L125" s="588">
        <f>IFERROR(IF(VLOOKUP(L$2,MODULY_CBA!$B$3:$N$23,13,0)&lt;='TCO TO BE- SW'!$D125,SUM('TCO TO BE- SW'!L$37:L$46)*VLOOKUP('TCO TO BE- SW'!L$2,MODULY_CBA!$B$3:$L$23,11,0),0),0)</f>
        <v>0</v>
      </c>
      <c r="M125" s="588">
        <f>IFERROR(IF(VLOOKUP(M$2,MODULY_CBA!$B$3:$N$23,13,0)&lt;='TCO TO BE- SW'!$D125,SUM('TCO TO BE- SW'!M$37:M$46)*VLOOKUP('TCO TO BE- SW'!M$2,MODULY_CBA!$B$3:$L$23,11,0),0),0)</f>
        <v>0</v>
      </c>
      <c r="N125" s="588">
        <f>IFERROR(IF(VLOOKUP(N$2,MODULY_CBA!$B$3:$N$23,13,0)&lt;='TCO TO BE- SW'!$D125,SUM('TCO TO BE- SW'!N$37:N$46)*VLOOKUP('TCO TO BE- SW'!N$2,MODULY_CBA!$B$3:$L$23,11,0),0),0)</f>
        <v>0</v>
      </c>
      <c r="O125" s="588">
        <f>IFERROR(IF(VLOOKUP(O$2,MODULY_CBA!$B$3:$N$23,13,0)&lt;='TCO TO BE- SW'!$D125,SUM('TCO TO BE- SW'!O$37:O$46)*VLOOKUP('TCO TO BE- SW'!O$2,MODULY_CBA!$B$3:$L$23,11,0),0),0)</f>
        <v>0</v>
      </c>
      <c r="P125" s="588">
        <f>IFERROR(IF(VLOOKUP(P$2,MODULY_CBA!$B$3:$N$23,13,0)&lt;='TCO TO BE- SW'!$D125,SUM('TCO TO BE- SW'!P$37:P$46)*VLOOKUP('TCO TO BE- SW'!P$2,MODULY_CBA!$B$3:$L$23,11,0),0),0)</f>
        <v>0</v>
      </c>
      <c r="Q125" s="588">
        <f>IFERROR(IF(VLOOKUP(Q$2,MODULY_CBA!$B$3:$N$23,13,0)&lt;='TCO TO BE- SW'!$D125,SUM('TCO TO BE- SW'!Q$37:Q$46)*VLOOKUP('TCO TO BE- SW'!Q$2,MODULY_CBA!$B$3:$L$23,11,0),0),0)</f>
        <v>0</v>
      </c>
      <c r="R125" s="588">
        <f>IFERROR(IF(VLOOKUP(R$2,MODULY_CBA!$B$3:$N$23,13,0)&lt;='TCO TO BE- SW'!$D125,SUM('TCO TO BE- SW'!R$37:R$46)*VLOOKUP('TCO TO BE- SW'!R$2,MODULY_CBA!$B$3:$L$23,11,0),0),0)</f>
        <v>0</v>
      </c>
      <c r="S125" s="588">
        <f>IFERROR(IF(VLOOKUP(S$2,MODULY_CBA!$B$3:$N$23,13,0)&lt;='TCO TO BE- SW'!$D125,SUM('TCO TO BE- SW'!S$37:S$46)*VLOOKUP('TCO TO BE- SW'!S$2,MODULY_CBA!$B$3:$L$23,11,0),0),0)</f>
        <v>0</v>
      </c>
      <c r="T125" s="588">
        <f>IFERROR(IF(VLOOKUP(T$2,MODULY_CBA!$B$3:$N$23,13,0)&lt;='TCO TO BE- SW'!$D125,SUM('TCO TO BE- SW'!T$37:T$46)*VLOOKUP('TCO TO BE- SW'!T$2,MODULY_CBA!$B$3:$L$23,11,0),0),0)</f>
        <v>0</v>
      </c>
      <c r="U125" s="588">
        <f>IFERROR(IF(VLOOKUP(U$2,MODULY_CBA!$B$3:$N$23,13,0)&lt;='TCO TO BE- SW'!$D125,SUM('TCO TO BE- SW'!U$37:U$46)*VLOOKUP('TCO TO BE- SW'!U$2,MODULY_CBA!$B$3:$L$23,11,0),0),0)</f>
        <v>0</v>
      </c>
      <c r="V125" s="588">
        <f>IFERROR(IF(VLOOKUP(V$2,MODULY_CBA!$B$3:$N$23,13,0)&lt;='TCO TO BE- SW'!$D125,SUM('TCO TO BE- SW'!V$37:V$46)*VLOOKUP('TCO TO BE- SW'!V$2,MODULY_CBA!$B$3:$L$23,11,0),0),0)</f>
        <v>0</v>
      </c>
      <c r="W125" s="588">
        <f>IFERROR(IF(VLOOKUP(W$2,MODULY_CBA!$B$3:$N$23,13,0)&lt;='TCO TO BE- SW'!$D125,SUM('TCO TO BE- SW'!W$37:W$46)*VLOOKUP('TCO TO BE- SW'!W$2,MODULY_CBA!$B$3:$L$23,11,0),0),0)</f>
        <v>0</v>
      </c>
      <c r="X125" s="588">
        <f>IFERROR(IF(VLOOKUP(X$2,MODULY_CBA!$B$3:$N$23,13,0)&lt;='TCO TO BE- SW'!$D125,SUM('TCO TO BE- SW'!X$37:X$46)*VLOOKUP('TCO TO BE- SW'!X$2,MODULY_CBA!$B$3:$L$23,11,0),0),0)</f>
        <v>0</v>
      </c>
      <c r="Y125" s="588">
        <f>IFERROR(IF(VLOOKUP(Y$2,MODULY_CBA!$B$3:$N$23,13,0)&lt;='TCO TO BE- SW'!$D125,SUM('TCO TO BE- SW'!Y$37:Y$46)*VLOOKUP('TCO TO BE- SW'!Y$2,MODULY_CBA!$B$3:$L$23,11,0),0),0)</f>
        <v>0</v>
      </c>
      <c r="Z125" s="588">
        <f>IFERROR(IF(VLOOKUP(Z$2,MODULY_CBA!$B$3:$N$23,13,0)&lt;='TCO TO BE- SW'!$D125,SUM('TCO TO BE- SW'!Z$37:Z$46)*VLOOKUP('TCO TO BE- SW'!Z$2,MODULY_CBA!$B$3:$L$23,11,0),0),0)</f>
        <v>0</v>
      </c>
    </row>
    <row r="126" spans="1:26" outlineLevel="2">
      <c r="A126" s="875"/>
      <c r="B126" s="876"/>
      <c r="C126" s="876"/>
      <c r="D126" s="64">
        <v>7</v>
      </c>
      <c r="E126" s="68">
        <f t="shared" si="14"/>
        <v>0</v>
      </c>
      <c r="F126" s="588">
        <f>IFERROR(IF(VLOOKUP(F$2,MODULY_CBA!$B$3:$N$23,13,0)&lt;='TCO TO BE- SW'!$D126,SUM('TCO TO BE- SW'!F$37:F$46)*VLOOKUP('TCO TO BE- SW'!F$2,MODULY_CBA!$B$3:$L$23,11,0),0),0)</f>
        <v>0</v>
      </c>
      <c r="G126" s="588">
        <f>IFERROR(IF(VLOOKUP(G$2,MODULY_CBA!$B$3:$N$23,13,0)&lt;='TCO TO BE- SW'!$D126,SUM('TCO TO BE- SW'!G$37:G$46)*VLOOKUP('TCO TO BE- SW'!G$2,MODULY_CBA!$B$3:$L$23,11,0),0),0)</f>
        <v>0</v>
      </c>
      <c r="H126" s="588">
        <f>IFERROR(IF(VLOOKUP(H$2,MODULY_CBA!$B$3:$N$23,13,0)&lt;='TCO TO BE- SW'!$D126,SUM('TCO TO BE- SW'!H$37:H$46)*VLOOKUP('TCO TO BE- SW'!H$2,MODULY_CBA!$B$3:$L$23,11,0),0),0)</f>
        <v>0</v>
      </c>
      <c r="I126" s="588">
        <f>IFERROR(IF(VLOOKUP(I$2,MODULY_CBA!$B$3:$N$23,13,0)&lt;='TCO TO BE- SW'!$D126,SUM('TCO TO BE- SW'!I$37:I$46)*VLOOKUP('TCO TO BE- SW'!I$2,MODULY_CBA!$B$3:$L$23,11,0),0),0)</f>
        <v>0</v>
      </c>
      <c r="J126" s="588">
        <f>IFERROR(IF(VLOOKUP(J$2,MODULY_CBA!$B$3:$N$23,13,0)&lt;='TCO TO BE- SW'!$D126,SUM('TCO TO BE- SW'!J$37:J$46)*VLOOKUP('TCO TO BE- SW'!J$2,MODULY_CBA!$B$3:$L$23,11,0),0),0)</f>
        <v>0</v>
      </c>
      <c r="K126" s="588">
        <f>IFERROR(IF(VLOOKUP(K$2,MODULY_CBA!$B$3:$N$23,13,0)&lt;='TCO TO BE- SW'!$D126,SUM('TCO TO BE- SW'!K$37:K$46)*VLOOKUP('TCO TO BE- SW'!K$2,MODULY_CBA!$B$3:$L$23,11,0),0),0)</f>
        <v>0</v>
      </c>
      <c r="L126" s="588">
        <f>IFERROR(IF(VLOOKUP(L$2,MODULY_CBA!$B$3:$N$23,13,0)&lt;='TCO TO BE- SW'!$D126,SUM('TCO TO BE- SW'!L$37:L$46)*VLOOKUP('TCO TO BE- SW'!L$2,MODULY_CBA!$B$3:$L$23,11,0),0),0)</f>
        <v>0</v>
      </c>
      <c r="M126" s="588">
        <f>IFERROR(IF(VLOOKUP(M$2,MODULY_CBA!$B$3:$N$23,13,0)&lt;='TCO TO BE- SW'!$D126,SUM('TCO TO BE- SW'!M$37:M$46)*VLOOKUP('TCO TO BE- SW'!M$2,MODULY_CBA!$B$3:$L$23,11,0),0),0)</f>
        <v>0</v>
      </c>
      <c r="N126" s="588">
        <f>IFERROR(IF(VLOOKUP(N$2,MODULY_CBA!$B$3:$N$23,13,0)&lt;='TCO TO BE- SW'!$D126,SUM('TCO TO BE- SW'!N$37:N$46)*VLOOKUP('TCO TO BE- SW'!N$2,MODULY_CBA!$B$3:$L$23,11,0),0),0)</f>
        <v>0</v>
      </c>
      <c r="O126" s="588">
        <f>IFERROR(IF(VLOOKUP(O$2,MODULY_CBA!$B$3:$N$23,13,0)&lt;='TCO TO BE- SW'!$D126,SUM('TCO TO BE- SW'!O$37:O$46)*VLOOKUP('TCO TO BE- SW'!O$2,MODULY_CBA!$B$3:$L$23,11,0),0),0)</f>
        <v>0</v>
      </c>
      <c r="P126" s="588">
        <f>IFERROR(IF(VLOOKUP(P$2,MODULY_CBA!$B$3:$N$23,13,0)&lt;='TCO TO BE- SW'!$D126,SUM('TCO TO BE- SW'!P$37:P$46)*VLOOKUP('TCO TO BE- SW'!P$2,MODULY_CBA!$B$3:$L$23,11,0),0),0)</f>
        <v>0</v>
      </c>
      <c r="Q126" s="588">
        <f>IFERROR(IF(VLOOKUP(Q$2,MODULY_CBA!$B$3:$N$23,13,0)&lt;='TCO TO BE- SW'!$D126,SUM('TCO TO BE- SW'!Q$37:Q$46)*VLOOKUP('TCO TO BE- SW'!Q$2,MODULY_CBA!$B$3:$L$23,11,0),0),0)</f>
        <v>0</v>
      </c>
      <c r="R126" s="588">
        <f>IFERROR(IF(VLOOKUP(R$2,MODULY_CBA!$B$3:$N$23,13,0)&lt;='TCO TO BE- SW'!$D126,SUM('TCO TO BE- SW'!R$37:R$46)*VLOOKUP('TCO TO BE- SW'!R$2,MODULY_CBA!$B$3:$L$23,11,0),0),0)</f>
        <v>0</v>
      </c>
      <c r="S126" s="588">
        <f>IFERROR(IF(VLOOKUP(S$2,MODULY_CBA!$B$3:$N$23,13,0)&lt;='TCO TO BE- SW'!$D126,SUM('TCO TO BE- SW'!S$37:S$46)*VLOOKUP('TCO TO BE- SW'!S$2,MODULY_CBA!$B$3:$L$23,11,0),0),0)</f>
        <v>0</v>
      </c>
      <c r="T126" s="588">
        <f>IFERROR(IF(VLOOKUP(T$2,MODULY_CBA!$B$3:$N$23,13,0)&lt;='TCO TO BE- SW'!$D126,SUM('TCO TO BE- SW'!T$37:T$46)*VLOOKUP('TCO TO BE- SW'!T$2,MODULY_CBA!$B$3:$L$23,11,0),0),0)</f>
        <v>0</v>
      </c>
      <c r="U126" s="588">
        <f>IFERROR(IF(VLOOKUP(U$2,MODULY_CBA!$B$3:$N$23,13,0)&lt;='TCO TO BE- SW'!$D126,SUM('TCO TO BE- SW'!U$37:U$46)*VLOOKUP('TCO TO BE- SW'!U$2,MODULY_CBA!$B$3:$L$23,11,0),0),0)</f>
        <v>0</v>
      </c>
      <c r="V126" s="588">
        <f>IFERROR(IF(VLOOKUP(V$2,MODULY_CBA!$B$3:$N$23,13,0)&lt;='TCO TO BE- SW'!$D126,SUM('TCO TO BE- SW'!V$37:V$46)*VLOOKUP('TCO TO BE- SW'!V$2,MODULY_CBA!$B$3:$L$23,11,0),0),0)</f>
        <v>0</v>
      </c>
      <c r="W126" s="588">
        <f>IFERROR(IF(VLOOKUP(W$2,MODULY_CBA!$B$3:$N$23,13,0)&lt;='TCO TO BE- SW'!$D126,SUM('TCO TO BE- SW'!W$37:W$46)*VLOOKUP('TCO TO BE- SW'!W$2,MODULY_CBA!$B$3:$L$23,11,0),0),0)</f>
        <v>0</v>
      </c>
      <c r="X126" s="588">
        <f>IFERROR(IF(VLOOKUP(X$2,MODULY_CBA!$B$3:$N$23,13,0)&lt;='TCO TO BE- SW'!$D126,SUM('TCO TO BE- SW'!X$37:X$46)*VLOOKUP('TCO TO BE- SW'!X$2,MODULY_CBA!$B$3:$L$23,11,0),0),0)</f>
        <v>0</v>
      </c>
      <c r="Y126" s="588">
        <f>IFERROR(IF(VLOOKUP(Y$2,MODULY_CBA!$B$3:$N$23,13,0)&lt;='TCO TO BE- SW'!$D126,SUM('TCO TO BE- SW'!Y$37:Y$46)*VLOOKUP('TCO TO BE- SW'!Y$2,MODULY_CBA!$B$3:$L$23,11,0),0),0)</f>
        <v>0</v>
      </c>
      <c r="Z126" s="588">
        <f>IFERROR(IF(VLOOKUP(Z$2,MODULY_CBA!$B$3:$N$23,13,0)&lt;='TCO TO BE- SW'!$D126,SUM('TCO TO BE- SW'!Z$37:Z$46)*VLOOKUP('TCO TO BE- SW'!Z$2,MODULY_CBA!$B$3:$L$23,11,0),0),0)</f>
        <v>0</v>
      </c>
    </row>
    <row r="127" spans="1:26" outlineLevel="2">
      <c r="A127" s="875"/>
      <c r="B127" s="876"/>
      <c r="C127" s="876"/>
      <c r="D127" s="64">
        <v>8</v>
      </c>
      <c r="E127" s="68">
        <f t="shared" si="14"/>
        <v>0</v>
      </c>
      <c r="F127" s="588">
        <f>IFERROR(IF(VLOOKUP(F$2,MODULY_CBA!$B$3:$N$23,13,0)&lt;='TCO TO BE- SW'!$D127,SUM('TCO TO BE- SW'!F$37:F$46)*VLOOKUP('TCO TO BE- SW'!F$2,MODULY_CBA!$B$3:$L$23,11,0),0),0)</f>
        <v>0</v>
      </c>
      <c r="G127" s="588">
        <f>IFERROR(IF(VLOOKUP(G$2,MODULY_CBA!$B$3:$N$23,13,0)&lt;='TCO TO BE- SW'!$D127,SUM('TCO TO BE- SW'!G$37:G$46)*VLOOKUP('TCO TO BE- SW'!G$2,MODULY_CBA!$B$3:$L$23,11,0),0),0)</f>
        <v>0</v>
      </c>
      <c r="H127" s="588">
        <f>IFERROR(IF(VLOOKUP(H$2,MODULY_CBA!$B$3:$N$23,13,0)&lt;='TCO TO BE- SW'!$D127,SUM('TCO TO BE- SW'!H$37:H$46)*VLOOKUP('TCO TO BE- SW'!H$2,MODULY_CBA!$B$3:$L$23,11,0),0),0)</f>
        <v>0</v>
      </c>
      <c r="I127" s="588">
        <f>IFERROR(IF(VLOOKUP(I$2,MODULY_CBA!$B$3:$N$23,13,0)&lt;='TCO TO BE- SW'!$D127,SUM('TCO TO BE- SW'!I$37:I$46)*VLOOKUP('TCO TO BE- SW'!I$2,MODULY_CBA!$B$3:$L$23,11,0),0),0)</f>
        <v>0</v>
      </c>
      <c r="J127" s="588">
        <f>IFERROR(IF(VLOOKUP(J$2,MODULY_CBA!$B$3:$N$23,13,0)&lt;='TCO TO BE- SW'!$D127,SUM('TCO TO BE- SW'!J$37:J$46)*VLOOKUP('TCO TO BE- SW'!J$2,MODULY_CBA!$B$3:$L$23,11,0),0),0)</f>
        <v>0</v>
      </c>
      <c r="K127" s="588">
        <f>IFERROR(IF(VLOOKUP(K$2,MODULY_CBA!$B$3:$N$23,13,0)&lt;='TCO TO BE- SW'!$D127,SUM('TCO TO BE- SW'!K$37:K$46)*VLOOKUP('TCO TO BE- SW'!K$2,MODULY_CBA!$B$3:$L$23,11,0),0),0)</f>
        <v>0</v>
      </c>
      <c r="L127" s="588">
        <f>IFERROR(IF(VLOOKUP(L$2,MODULY_CBA!$B$3:$N$23,13,0)&lt;='TCO TO BE- SW'!$D127,SUM('TCO TO BE- SW'!L$37:L$46)*VLOOKUP('TCO TO BE- SW'!L$2,MODULY_CBA!$B$3:$L$23,11,0),0),0)</f>
        <v>0</v>
      </c>
      <c r="M127" s="588">
        <f>IFERROR(IF(VLOOKUP(M$2,MODULY_CBA!$B$3:$N$23,13,0)&lt;='TCO TO BE- SW'!$D127,SUM('TCO TO BE- SW'!M$37:M$46)*VLOOKUP('TCO TO BE- SW'!M$2,MODULY_CBA!$B$3:$L$23,11,0),0),0)</f>
        <v>0</v>
      </c>
      <c r="N127" s="588">
        <f>IFERROR(IF(VLOOKUP(N$2,MODULY_CBA!$B$3:$N$23,13,0)&lt;='TCO TO BE- SW'!$D127,SUM('TCO TO BE- SW'!N$37:N$46)*VLOOKUP('TCO TO BE- SW'!N$2,MODULY_CBA!$B$3:$L$23,11,0),0),0)</f>
        <v>0</v>
      </c>
      <c r="O127" s="588">
        <f>IFERROR(IF(VLOOKUP(O$2,MODULY_CBA!$B$3:$N$23,13,0)&lt;='TCO TO BE- SW'!$D127,SUM('TCO TO BE- SW'!O$37:O$46)*VLOOKUP('TCO TO BE- SW'!O$2,MODULY_CBA!$B$3:$L$23,11,0),0),0)</f>
        <v>0</v>
      </c>
      <c r="P127" s="588">
        <f>IFERROR(IF(VLOOKUP(P$2,MODULY_CBA!$B$3:$N$23,13,0)&lt;='TCO TO BE- SW'!$D127,SUM('TCO TO BE- SW'!P$37:P$46)*VLOOKUP('TCO TO BE- SW'!P$2,MODULY_CBA!$B$3:$L$23,11,0),0),0)</f>
        <v>0</v>
      </c>
      <c r="Q127" s="588">
        <f>IFERROR(IF(VLOOKUP(Q$2,MODULY_CBA!$B$3:$N$23,13,0)&lt;='TCO TO BE- SW'!$D127,SUM('TCO TO BE- SW'!Q$37:Q$46)*VLOOKUP('TCO TO BE- SW'!Q$2,MODULY_CBA!$B$3:$L$23,11,0),0),0)</f>
        <v>0</v>
      </c>
      <c r="R127" s="588">
        <f>IFERROR(IF(VLOOKUP(R$2,MODULY_CBA!$B$3:$N$23,13,0)&lt;='TCO TO BE- SW'!$D127,SUM('TCO TO BE- SW'!R$37:R$46)*VLOOKUP('TCO TO BE- SW'!R$2,MODULY_CBA!$B$3:$L$23,11,0),0),0)</f>
        <v>0</v>
      </c>
      <c r="S127" s="588">
        <f>IFERROR(IF(VLOOKUP(S$2,MODULY_CBA!$B$3:$N$23,13,0)&lt;='TCO TO BE- SW'!$D127,SUM('TCO TO BE- SW'!S$37:S$46)*VLOOKUP('TCO TO BE- SW'!S$2,MODULY_CBA!$B$3:$L$23,11,0),0),0)</f>
        <v>0</v>
      </c>
      <c r="T127" s="588">
        <f>IFERROR(IF(VLOOKUP(T$2,MODULY_CBA!$B$3:$N$23,13,0)&lt;='TCO TO BE- SW'!$D127,SUM('TCO TO BE- SW'!T$37:T$46)*VLOOKUP('TCO TO BE- SW'!T$2,MODULY_CBA!$B$3:$L$23,11,0),0),0)</f>
        <v>0</v>
      </c>
      <c r="U127" s="588">
        <f>IFERROR(IF(VLOOKUP(U$2,MODULY_CBA!$B$3:$N$23,13,0)&lt;='TCO TO BE- SW'!$D127,SUM('TCO TO BE- SW'!U$37:U$46)*VLOOKUP('TCO TO BE- SW'!U$2,MODULY_CBA!$B$3:$L$23,11,0),0),0)</f>
        <v>0</v>
      </c>
      <c r="V127" s="588">
        <f>IFERROR(IF(VLOOKUP(V$2,MODULY_CBA!$B$3:$N$23,13,0)&lt;='TCO TO BE- SW'!$D127,SUM('TCO TO BE- SW'!V$37:V$46)*VLOOKUP('TCO TO BE- SW'!V$2,MODULY_CBA!$B$3:$L$23,11,0),0),0)</f>
        <v>0</v>
      </c>
      <c r="W127" s="588">
        <f>IFERROR(IF(VLOOKUP(W$2,MODULY_CBA!$B$3:$N$23,13,0)&lt;='TCO TO BE- SW'!$D127,SUM('TCO TO BE- SW'!W$37:W$46)*VLOOKUP('TCO TO BE- SW'!W$2,MODULY_CBA!$B$3:$L$23,11,0),0),0)</f>
        <v>0</v>
      </c>
      <c r="X127" s="588">
        <f>IFERROR(IF(VLOOKUP(X$2,MODULY_CBA!$B$3:$N$23,13,0)&lt;='TCO TO BE- SW'!$D127,SUM('TCO TO BE- SW'!X$37:X$46)*VLOOKUP('TCO TO BE- SW'!X$2,MODULY_CBA!$B$3:$L$23,11,0),0),0)</f>
        <v>0</v>
      </c>
      <c r="Y127" s="588">
        <f>IFERROR(IF(VLOOKUP(Y$2,MODULY_CBA!$B$3:$N$23,13,0)&lt;='TCO TO BE- SW'!$D127,SUM('TCO TO BE- SW'!Y$37:Y$46)*VLOOKUP('TCO TO BE- SW'!Y$2,MODULY_CBA!$B$3:$L$23,11,0),0),0)</f>
        <v>0</v>
      </c>
      <c r="Z127" s="588">
        <f>IFERROR(IF(VLOOKUP(Z$2,MODULY_CBA!$B$3:$N$23,13,0)&lt;='TCO TO BE- SW'!$D127,SUM('TCO TO BE- SW'!Z$37:Z$46)*VLOOKUP('TCO TO BE- SW'!Z$2,MODULY_CBA!$B$3:$L$23,11,0),0),0)</f>
        <v>0</v>
      </c>
    </row>
    <row r="128" spans="1:26" outlineLevel="2">
      <c r="A128" s="875"/>
      <c r="B128" s="876"/>
      <c r="C128" s="876"/>
      <c r="D128" s="64">
        <v>9</v>
      </c>
      <c r="E128" s="68">
        <f t="shared" si="14"/>
        <v>0</v>
      </c>
      <c r="F128" s="588">
        <f>IFERROR(IF(VLOOKUP(F$2,MODULY_CBA!$B$3:$N$23,13,0)&lt;='TCO TO BE- SW'!$D128,SUM('TCO TO BE- SW'!F$37:F$46)*VLOOKUP('TCO TO BE- SW'!F$2,MODULY_CBA!$B$3:$L$23,11,0),0),0)</f>
        <v>0</v>
      </c>
      <c r="G128" s="588">
        <f>IFERROR(IF(VLOOKUP(G$2,MODULY_CBA!$B$3:$N$23,13,0)&lt;='TCO TO BE- SW'!$D128,SUM('TCO TO BE- SW'!G$37:G$46)*VLOOKUP('TCO TO BE- SW'!G$2,MODULY_CBA!$B$3:$L$23,11,0),0),0)</f>
        <v>0</v>
      </c>
      <c r="H128" s="588">
        <f>IFERROR(IF(VLOOKUP(H$2,MODULY_CBA!$B$3:$N$23,13,0)&lt;='TCO TO BE- SW'!$D128,SUM('TCO TO BE- SW'!H$37:H$46)*VLOOKUP('TCO TO BE- SW'!H$2,MODULY_CBA!$B$3:$L$23,11,0),0),0)</f>
        <v>0</v>
      </c>
      <c r="I128" s="588">
        <f>IFERROR(IF(VLOOKUP(I$2,MODULY_CBA!$B$3:$N$23,13,0)&lt;='TCO TO BE- SW'!$D128,SUM('TCO TO BE- SW'!I$37:I$46)*VLOOKUP('TCO TO BE- SW'!I$2,MODULY_CBA!$B$3:$L$23,11,0),0),0)</f>
        <v>0</v>
      </c>
      <c r="J128" s="588">
        <f>IFERROR(IF(VLOOKUP(J$2,MODULY_CBA!$B$3:$N$23,13,0)&lt;='TCO TO BE- SW'!$D128,SUM('TCO TO BE- SW'!J$37:J$46)*VLOOKUP('TCO TO BE- SW'!J$2,MODULY_CBA!$B$3:$L$23,11,0),0),0)</f>
        <v>0</v>
      </c>
      <c r="K128" s="588">
        <f>IFERROR(IF(VLOOKUP(K$2,MODULY_CBA!$B$3:$N$23,13,0)&lt;='TCO TO BE- SW'!$D128,SUM('TCO TO BE- SW'!K$37:K$46)*VLOOKUP('TCO TO BE- SW'!K$2,MODULY_CBA!$B$3:$L$23,11,0),0),0)</f>
        <v>0</v>
      </c>
      <c r="L128" s="588">
        <f>IFERROR(IF(VLOOKUP(L$2,MODULY_CBA!$B$3:$N$23,13,0)&lt;='TCO TO BE- SW'!$D128,SUM('TCO TO BE- SW'!L$37:L$46)*VLOOKUP('TCO TO BE- SW'!L$2,MODULY_CBA!$B$3:$L$23,11,0),0),0)</f>
        <v>0</v>
      </c>
      <c r="M128" s="588">
        <f>IFERROR(IF(VLOOKUP(M$2,MODULY_CBA!$B$3:$N$23,13,0)&lt;='TCO TO BE- SW'!$D128,SUM('TCO TO BE- SW'!M$37:M$46)*VLOOKUP('TCO TO BE- SW'!M$2,MODULY_CBA!$B$3:$L$23,11,0),0),0)</f>
        <v>0</v>
      </c>
      <c r="N128" s="588">
        <f>IFERROR(IF(VLOOKUP(N$2,MODULY_CBA!$B$3:$N$23,13,0)&lt;='TCO TO BE- SW'!$D128,SUM('TCO TO BE- SW'!N$37:N$46)*VLOOKUP('TCO TO BE- SW'!N$2,MODULY_CBA!$B$3:$L$23,11,0),0),0)</f>
        <v>0</v>
      </c>
      <c r="O128" s="588">
        <f>IFERROR(IF(VLOOKUP(O$2,MODULY_CBA!$B$3:$N$23,13,0)&lt;='TCO TO BE- SW'!$D128,SUM('TCO TO BE- SW'!O$37:O$46)*VLOOKUP('TCO TO BE- SW'!O$2,MODULY_CBA!$B$3:$L$23,11,0),0),0)</f>
        <v>0</v>
      </c>
      <c r="P128" s="588">
        <f>IFERROR(IF(VLOOKUP(P$2,MODULY_CBA!$B$3:$N$23,13,0)&lt;='TCO TO BE- SW'!$D128,SUM('TCO TO BE- SW'!P$37:P$46)*VLOOKUP('TCO TO BE- SW'!P$2,MODULY_CBA!$B$3:$L$23,11,0),0),0)</f>
        <v>0</v>
      </c>
      <c r="Q128" s="588">
        <f>IFERROR(IF(VLOOKUP(Q$2,MODULY_CBA!$B$3:$N$23,13,0)&lt;='TCO TO BE- SW'!$D128,SUM('TCO TO BE- SW'!Q$37:Q$46)*VLOOKUP('TCO TO BE- SW'!Q$2,MODULY_CBA!$B$3:$L$23,11,0),0),0)</f>
        <v>0</v>
      </c>
      <c r="R128" s="588">
        <f>IFERROR(IF(VLOOKUP(R$2,MODULY_CBA!$B$3:$N$23,13,0)&lt;='TCO TO BE- SW'!$D128,SUM('TCO TO BE- SW'!R$37:R$46)*VLOOKUP('TCO TO BE- SW'!R$2,MODULY_CBA!$B$3:$L$23,11,0),0),0)</f>
        <v>0</v>
      </c>
      <c r="S128" s="588">
        <f>IFERROR(IF(VLOOKUP(S$2,MODULY_CBA!$B$3:$N$23,13,0)&lt;='TCO TO BE- SW'!$D128,SUM('TCO TO BE- SW'!S$37:S$46)*VLOOKUP('TCO TO BE- SW'!S$2,MODULY_CBA!$B$3:$L$23,11,0),0),0)</f>
        <v>0</v>
      </c>
      <c r="T128" s="588">
        <f>IFERROR(IF(VLOOKUP(T$2,MODULY_CBA!$B$3:$N$23,13,0)&lt;='TCO TO BE- SW'!$D128,SUM('TCO TO BE- SW'!T$37:T$46)*VLOOKUP('TCO TO BE- SW'!T$2,MODULY_CBA!$B$3:$L$23,11,0),0),0)</f>
        <v>0</v>
      </c>
      <c r="U128" s="588">
        <f>IFERROR(IF(VLOOKUP(U$2,MODULY_CBA!$B$3:$N$23,13,0)&lt;='TCO TO BE- SW'!$D128,SUM('TCO TO BE- SW'!U$37:U$46)*VLOOKUP('TCO TO BE- SW'!U$2,MODULY_CBA!$B$3:$L$23,11,0),0),0)</f>
        <v>0</v>
      </c>
      <c r="V128" s="588">
        <f>IFERROR(IF(VLOOKUP(V$2,MODULY_CBA!$B$3:$N$23,13,0)&lt;='TCO TO BE- SW'!$D128,SUM('TCO TO BE- SW'!V$37:V$46)*VLOOKUP('TCO TO BE- SW'!V$2,MODULY_CBA!$B$3:$L$23,11,0),0),0)</f>
        <v>0</v>
      </c>
      <c r="W128" s="588">
        <f>IFERROR(IF(VLOOKUP(W$2,MODULY_CBA!$B$3:$N$23,13,0)&lt;='TCO TO BE- SW'!$D128,SUM('TCO TO BE- SW'!W$37:W$46)*VLOOKUP('TCO TO BE- SW'!W$2,MODULY_CBA!$B$3:$L$23,11,0),0),0)</f>
        <v>0</v>
      </c>
      <c r="X128" s="588">
        <f>IFERROR(IF(VLOOKUP(X$2,MODULY_CBA!$B$3:$N$23,13,0)&lt;='TCO TO BE- SW'!$D128,SUM('TCO TO BE- SW'!X$37:X$46)*VLOOKUP('TCO TO BE- SW'!X$2,MODULY_CBA!$B$3:$L$23,11,0),0),0)</f>
        <v>0</v>
      </c>
      <c r="Y128" s="588">
        <f>IFERROR(IF(VLOOKUP(Y$2,MODULY_CBA!$B$3:$N$23,13,0)&lt;='TCO TO BE- SW'!$D128,SUM('TCO TO BE- SW'!Y$37:Y$46)*VLOOKUP('TCO TO BE- SW'!Y$2,MODULY_CBA!$B$3:$L$23,11,0),0),0)</f>
        <v>0</v>
      </c>
      <c r="Z128" s="588">
        <f>IFERROR(IF(VLOOKUP(Z$2,MODULY_CBA!$B$3:$N$23,13,0)&lt;='TCO TO BE- SW'!$D128,SUM('TCO TO BE- SW'!Z$37:Z$46)*VLOOKUP('TCO TO BE- SW'!Z$2,MODULY_CBA!$B$3:$L$23,11,0),0),0)</f>
        <v>0</v>
      </c>
    </row>
    <row r="129" spans="1:27" ht="15.75" outlineLevel="2" thickBot="1">
      <c r="A129" s="875"/>
      <c r="B129" s="876"/>
      <c r="C129" s="876"/>
      <c r="D129" s="65">
        <v>10</v>
      </c>
      <c r="E129" s="69">
        <f t="shared" si="14"/>
        <v>0</v>
      </c>
      <c r="F129" s="588">
        <f>IFERROR(IF(VLOOKUP(F$2,MODULY_CBA!$B$3:$N$23,13,0)&lt;='TCO TO BE- SW'!$D129,SUM('TCO TO BE- SW'!F$37:F$46)*VLOOKUP('TCO TO BE- SW'!F$2,MODULY_CBA!$B$3:$L$23,11,0),0),0)</f>
        <v>0</v>
      </c>
      <c r="G129" s="588">
        <f>IFERROR(IF(VLOOKUP(G$2,MODULY_CBA!$B$3:$N$23,13,0)&lt;='TCO TO BE- SW'!$D129,SUM('TCO TO BE- SW'!G$37:G$46)*VLOOKUP('TCO TO BE- SW'!G$2,MODULY_CBA!$B$3:$L$23,11,0),0),0)</f>
        <v>0</v>
      </c>
      <c r="H129" s="588">
        <f>IFERROR(IF(VLOOKUP(H$2,MODULY_CBA!$B$3:$N$23,13,0)&lt;='TCO TO BE- SW'!$D129,SUM('TCO TO BE- SW'!H$37:H$46)*VLOOKUP('TCO TO BE- SW'!H$2,MODULY_CBA!$B$3:$L$23,11,0),0),0)</f>
        <v>0</v>
      </c>
      <c r="I129" s="588">
        <f>IFERROR(IF(VLOOKUP(I$2,MODULY_CBA!$B$3:$N$23,13,0)&lt;='TCO TO BE- SW'!$D129,SUM('TCO TO BE- SW'!I$37:I$46)*VLOOKUP('TCO TO BE- SW'!I$2,MODULY_CBA!$B$3:$L$23,11,0),0),0)</f>
        <v>0</v>
      </c>
      <c r="J129" s="588">
        <f>IFERROR(IF(VLOOKUP(J$2,MODULY_CBA!$B$3:$N$23,13,0)&lt;='TCO TO BE- SW'!$D129,SUM('TCO TO BE- SW'!J$37:J$46)*VLOOKUP('TCO TO BE- SW'!J$2,MODULY_CBA!$B$3:$L$23,11,0),0),0)</f>
        <v>0</v>
      </c>
      <c r="K129" s="588">
        <f>IFERROR(IF(VLOOKUP(K$2,MODULY_CBA!$B$3:$N$23,13,0)&lt;='TCO TO BE- SW'!$D129,SUM('TCO TO BE- SW'!K$37:K$46)*VLOOKUP('TCO TO BE- SW'!K$2,MODULY_CBA!$B$3:$L$23,11,0),0),0)</f>
        <v>0</v>
      </c>
      <c r="L129" s="588">
        <f>IFERROR(IF(VLOOKUP(L$2,MODULY_CBA!$B$3:$N$23,13,0)&lt;='TCO TO BE- SW'!$D129,SUM('TCO TO BE- SW'!L$37:L$46)*VLOOKUP('TCO TO BE- SW'!L$2,MODULY_CBA!$B$3:$L$23,11,0),0),0)</f>
        <v>0</v>
      </c>
      <c r="M129" s="588">
        <f>IFERROR(IF(VLOOKUP(M$2,MODULY_CBA!$B$3:$N$23,13,0)&lt;='TCO TO BE- SW'!$D129,SUM('TCO TO BE- SW'!M$37:M$46)*VLOOKUP('TCO TO BE- SW'!M$2,MODULY_CBA!$B$3:$L$23,11,0),0),0)</f>
        <v>0</v>
      </c>
      <c r="N129" s="588">
        <f>IFERROR(IF(VLOOKUP(N$2,MODULY_CBA!$B$3:$N$23,13,0)&lt;='TCO TO BE- SW'!$D129,SUM('TCO TO BE- SW'!N$37:N$46)*VLOOKUP('TCO TO BE- SW'!N$2,MODULY_CBA!$B$3:$L$23,11,0),0),0)</f>
        <v>0</v>
      </c>
      <c r="O129" s="588">
        <f>IFERROR(IF(VLOOKUP(O$2,MODULY_CBA!$B$3:$N$23,13,0)&lt;='TCO TO BE- SW'!$D129,SUM('TCO TO BE- SW'!O$37:O$46)*VLOOKUP('TCO TO BE- SW'!O$2,MODULY_CBA!$B$3:$L$23,11,0),0),0)</f>
        <v>0</v>
      </c>
      <c r="P129" s="588">
        <f>IFERROR(IF(VLOOKUP(P$2,MODULY_CBA!$B$3:$N$23,13,0)&lt;='TCO TO BE- SW'!$D129,SUM('TCO TO BE- SW'!P$37:P$46)*VLOOKUP('TCO TO BE- SW'!P$2,MODULY_CBA!$B$3:$L$23,11,0),0),0)</f>
        <v>0</v>
      </c>
      <c r="Q129" s="588">
        <f>IFERROR(IF(VLOOKUP(Q$2,MODULY_CBA!$B$3:$N$23,13,0)&lt;='TCO TO BE- SW'!$D129,SUM('TCO TO BE- SW'!Q$37:Q$46)*VLOOKUP('TCO TO BE- SW'!Q$2,MODULY_CBA!$B$3:$L$23,11,0),0),0)</f>
        <v>0</v>
      </c>
      <c r="R129" s="588">
        <f>IFERROR(IF(VLOOKUP(R$2,MODULY_CBA!$B$3:$N$23,13,0)&lt;='TCO TO BE- SW'!$D129,SUM('TCO TO BE- SW'!R$37:R$46)*VLOOKUP('TCO TO BE- SW'!R$2,MODULY_CBA!$B$3:$L$23,11,0),0),0)</f>
        <v>0</v>
      </c>
      <c r="S129" s="588">
        <f>IFERROR(IF(VLOOKUP(S$2,MODULY_CBA!$B$3:$N$23,13,0)&lt;='TCO TO BE- SW'!$D129,SUM('TCO TO BE- SW'!S$37:S$46)*VLOOKUP('TCO TO BE- SW'!S$2,MODULY_CBA!$B$3:$L$23,11,0),0),0)</f>
        <v>0</v>
      </c>
      <c r="T129" s="588">
        <f>IFERROR(IF(VLOOKUP(T$2,MODULY_CBA!$B$3:$N$23,13,0)&lt;='TCO TO BE- SW'!$D129,SUM('TCO TO BE- SW'!T$37:T$46)*VLOOKUP('TCO TO BE- SW'!T$2,MODULY_CBA!$B$3:$L$23,11,0),0),0)</f>
        <v>0</v>
      </c>
      <c r="U129" s="588">
        <f>IFERROR(IF(VLOOKUP(U$2,MODULY_CBA!$B$3:$N$23,13,0)&lt;='TCO TO BE- SW'!$D129,SUM('TCO TO BE- SW'!U$37:U$46)*VLOOKUP('TCO TO BE- SW'!U$2,MODULY_CBA!$B$3:$L$23,11,0),0),0)</f>
        <v>0</v>
      </c>
      <c r="V129" s="588">
        <f>IFERROR(IF(VLOOKUP(V$2,MODULY_CBA!$B$3:$N$23,13,0)&lt;='TCO TO BE- SW'!$D129,SUM('TCO TO BE- SW'!V$37:V$46)*VLOOKUP('TCO TO BE- SW'!V$2,MODULY_CBA!$B$3:$L$23,11,0),0),0)</f>
        <v>0</v>
      </c>
      <c r="W129" s="588">
        <f>IFERROR(IF(VLOOKUP(W$2,MODULY_CBA!$B$3:$N$23,13,0)&lt;='TCO TO BE- SW'!$D129,SUM('TCO TO BE- SW'!W$37:W$46)*VLOOKUP('TCO TO BE- SW'!W$2,MODULY_CBA!$B$3:$L$23,11,0),0),0)</f>
        <v>0</v>
      </c>
      <c r="X129" s="588">
        <f>IFERROR(IF(VLOOKUP(X$2,MODULY_CBA!$B$3:$N$23,13,0)&lt;='TCO TO BE- SW'!$D129,SUM('TCO TO BE- SW'!X$37:X$46)*VLOOKUP('TCO TO BE- SW'!X$2,MODULY_CBA!$B$3:$L$23,11,0),0),0)</f>
        <v>0</v>
      </c>
      <c r="Y129" s="588">
        <f>IFERROR(IF(VLOOKUP(Y$2,MODULY_CBA!$B$3:$N$23,13,0)&lt;='TCO TO BE- SW'!$D129,SUM('TCO TO BE- SW'!Y$37:Y$46)*VLOOKUP('TCO TO BE- SW'!Y$2,MODULY_CBA!$B$3:$L$23,11,0),0),0)</f>
        <v>0</v>
      </c>
      <c r="Z129" s="588">
        <f>IFERROR(IF(VLOOKUP(Z$2,MODULY_CBA!$B$3:$N$23,13,0)&lt;='TCO TO BE- SW'!$D129,SUM('TCO TO BE- SW'!Z$37:Z$46)*VLOOKUP('TCO TO BE- SW'!Z$2,MODULY_CBA!$B$3:$L$23,11,0),0),0)</f>
        <v>0</v>
      </c>
    </row>
    <row r="130" spans="1:27" outlineLevel="2">
      <c r="A130" s="875" t="s">
        <v>84</v>
      </c>
      <c r="B130" s="876" t="s">
        <v>532</v>
      </c>
      <c r="C130" s="876">
        <v>610</v>
      </c>
      <c r="D130" s="63">
        <v>1</v>
      </c>
      <c r="E130" s="68">
        <f t="shared" si="14"/>
        <v>0</v>
      </c>
      <c r="F130" s="578">
        <v>0</v>
      </c>
      <c r="G130" s="578">
        <v>0</v>
      </c>
      <c r="H130" s="578">
        <v>0</v>
      </c>
      <c r="I130" s="578">
        <v>0</v>
      </c>
      <c r="J130" s="578">
        <v>0</v>
      </c>
      <c r="K130" s="578">
        <v>0</v>
      </c>
      <c r="L130" s="578">
        <v>0</v>
      </c>
      <c r="M130" s="578">
        <v>0</v>
      </c>
      <c r="N130" s="578">
        <v>0</v>
      </c>
      <c r="O130" s="578">
        <v>0</v>
      </c>
      <c r="P130" s="578">
        <v>0</v>
      </c>
      <c r="Q130" s="578">
        <v>0</v>
      </c>
      <c r="R130" s="578">
        <v>0</v>
      </c>
      <c r="S130" s="578">
        <v>0</v>
      </c>
      <c r="T130" s="578">
        <v>0</v>
      </c>
      <c r="U130" s="578">
        <v>0</v>
      </c>
      <c r="V130" s="578">
        <v>0</v>
      </c>
      <c r="W130" s="578">
        <v>0</v>
      </c>
      <c r="X130" s="578">
        <v>0</v>
      </c>
      <c r="Y130" s="578">
        <v>0</v>
      </c>
      <c r="Z130" s="578">
        <v>0</v>
      </c>
    </row>
    <row r="131" spans="1:27" outlineLevel="2">
      <c r="A131" s="875"/>
      <c r="B131" s="876"/>
      <c r="C131" s="876"/>
      <c r="D131" s="64">
        <v>2</v>
      </c>
      <c r="E131" s="68">
        <f t="shared" si="14"/>
        <v>0</v>
      </c>
      <c r="F131" s="579">
        <v>0</v>
      </c>
      <c r="G131" s="579">
        <v>0</v>
      </c>
      <c r="H131" s="579">
        <v>0</v>
      </c>
      <c r="I131" s="579">
        <v>0</v>
      </c>
      <c r="J131" s="579">
        <v>0</v>
      </c>
      <c r="K131" s="579">
        <v>0</v>
      </c>
      <c r="L131" s="579">
        <v>0</v>
      </c>
      <c r="M131" s="579">
        <v>0</v>
      </c>
      <c r="N131" s="579">
        <v>0</v>
      </c>
      <c r="O131" s="579">
        <v>0</v>
      </c>
      <c r="P131" s="579">
        <v>0</v>
      </c>
      <c r="Q131" s="579">
        <v>0</v>
      </c>
      <c r="R131" s="579">
        <v>0</v>
      </c>
      <c r="S131" s="579">
        <v>0</v>
      </c>
      <c r="T131" s="579">
        <v>0</v>
      </c>
      <c r="U131" s="579">
        <v>0</v>
      </c>
      <c r="V131" s="579">
        <v>0</v>
      </c>
      <c r="W131" s="579">
        <v>0</v>
      </c>
      <c r="X131" s="579">
        <v>0</v>
      </c>
      <c r="Y131" s="579">
        <v>0</v>
      </c>
      <c r="Z131" s="579">
        <v>0</v>
      </c>
    </row>
    <row r="132" spans="1:27" outlineLevel="2">
      <c r="A132" s="875"/>
      <c r="B132" s="876"/>
      <c r="C132" s="876"/>
      <c r="D132" s="64">
        <v>3</v>
      </c>
      <c r="E132" s="68">
        <f t="shared" si="14"/>
        <v>0</v>
      </c>
      <c r="F132" s="579">
        <v>0</v>
      </c>
      <c r="G132" s="579">
        <v>0</v>
      </c>
      <c r="H132" s="579">
        <v>0</v>
      </c>
      <c r="I132" s="579">
        <v>0</v>
      </c>
      <c r="J132" s="579">
        <v>0</v>
      </c>
      <c r="K132" s="579">
        <v>0</v>
      </c>
      <c r="L132" s="579">
        <v>0</v>
      </c>
      <c r="M132" s="579">
        <v>0</v>
      </c>
      <c r="N132" s="579">
        <v>0</v>
      </c>
      <c r="O132" s="579">
        <v>0</v>
      </c>
      <c r="P132" s="579">
        <v>0</v>
      </c>
      <c r="Q132" s="579">
        <v>0</v>
      </c>
      <c r="R132" s="579">
        <v>0</v>
      </c>
      <c r="S132" s="579">
        <v>0</v>
      </c>
      <c r="T132" s="579">
        <v>0</v>
      </c>
      <c r="U132" s="579">
        <v>0</v>
      </c>
      <c r="V132" s="579">
        <v>0</v>
      </c>
      <c r="W132" s="579">
        <v>0</v>
      </c>
      <c r="X132" s="579">
        <v>0</v>
      </c>
      <c r="Y132" s="579">
        <v>0</v>
      </c>
      <c r="Z132" s="579">
        <v>0</v>
      </c>
    </row>
    <row r="133" spans="1:27" outlineLevel="2">
      <c r="A133" s="875"/>
      <c r="B133" s="876"/>
      <c r="C133" s="876"/>
      <c r="D133" s="64">
        <v>4</v>
      </c>
      <c r="E133" s="68">
        <f t="shared" si="14"/>
        <v>0</v>
      </c>
      <c r="F133" s="579">
        <v>0</v>
      </c>
      <c r="G133" s="579">
        <v>0</v>
      </c>
      <c r="H133" s="579">
        <v>0</v>
      </c>
      <c r="I133" s="579">
        <v>0</v>
      </c>
      <c r="J133" s="579">
        <v>0</v>
      </c>
      <c r="K133" s="579">
        <v>0</v>
      </c>
      <c r="L133" s="579">
        <v>0</v>
      </c>
      <c r="M133" s="579">
        <v>0</v>
      </c>
      <c r="N133" s="579">
        <v>0</v>
      </c>
      <c r="O133" s="579">
        <v>0</v>
      </c>
      <c r="P133" s="579">
        <v>0</v>
      </c>
      <c r="Q133" s="579">
        <v>0</v>
      </c>
      <c r="R133" s="579">
        <v>0</v>
      </c>
      <c r="S133" s="579">
        <v>0</v>
      </c>
      <c r="T133" s="579">
        <v>0</v>
      </c>
      <c r="U133" s="579">
        <v>0</v>
      </c>
      <c r="V133" s="579">
        <v>0</v>
      </c>
      <c r="W133" s="579">
        <v>0</v>
      </c>
      <c r="X133" s="579">
        <v>0</v>
      </c>
      <c r="Y133" s="579">
        <v>0</v>
      </c>
      <c r="Z133" s="579">
        <v>0</v>
      </c>
    </row>
    <row r="134" spans="1:27" outlineLevel="2">
      <c r="A134" s="875"/>
      <c r="B134" s="876"/>
      <c r="C134" s="876"/>
      <c r="D134" s="64">
        <v>5</v>
      </c>
      <c r="E134" s="68">
        <f t="shared" si="14"/>
        <v>0</v>
      </c>
      <c r="F134" s="579">
        <v>0</v>
      </c>
      <c r="G134" s="579">
        <v>0</v>
      </c>
      <c r="H134" s="579">
        <v>0</v>
      </c>
      <c r="I134" s="579">
        <v>0</v>
      </c>
      <c r="J134" s="579">
        <v>0</v>
      </c>
      <c r="K134" s="579">
        <v>0</v>
      </c>
      <c r="L134" s="579">
        <v>0</v>
      </c>
      <c r="M134" s="579">
        <v>0</v>
      </c>
      <c r="N134" s="579">
        <v>0</v>
      </c>
      <c r="O134" s="579">
        <v>0</v>
      </c>
      <c r="P134" s="579">
        <v>0</v>
      </c>
      <c r="Q134" s="579">
        <v>0</v>
      </c>
      <c r="R134" s="579">
        <v>0</v>
      </c>
      <c r="S134" s="579">
        <v>0</v>
      </c>
      <c r="T134" s="579">
        <v>0</v>
      </c>
      <c r="U134" s="579">
        <v>0</v>
      </c>
      <c r="V134" s="579">
        <v>0</v>
      </c>
      <c r="W134" s="579">
        <v>0</v>
      </c>
      <c r="X134" s="579">
        <v>0</v>
      </c>
      <c r="Y134" s="579">
        <v>0</v>
      </c>
      <c r="Z134" s="579">
        <v>0</v>
      </c>
    </row>
    <row r="135" spans="1:27" outlineLevel="2">
      <c r="A135" s="875"/>
      <c r="B135" s="876"/>
      <c r="C135" s="876"/>
      <c r="D135" s="64">
        <v>6</v>
      </c>
      <c r="E135" s="68">
        <f t="shared" si="14"/>
        <v>0</v>
      </c>
      <c r="F135" s="579">
        <v>0</v>
      </c>
      <c r="G135" s="579">
        <v>0</v>
      </c>
      <c r="H135" s="579">
        <v>0</v>
      </c>
      <c r="I135" s="579">
        <v>0</v>
      </c>
      <c r="J135" s="579">
        <v>0</v>
      </c>
      <c r="K135" s="579">
        <v>0</v>
      </c>
      <c r="L135" s="579">
        <v>0</v>
      </c>
      <c r="M135" s="579">
        <v>0</v>
      </c>
      <c r="N135" s="579">
        <v>0</v>
      </c>
      <c r="O135" s="579">
        <v>0</v>
      </c>
      <c r="P135" s="579">
        <v>0</v>
      </c>
      <c r="Q135" s="579">
        <v>0</v>
      </c>
      <c r="R135" s="579">
        <v>0</v>
      </c>
      <c r="S135" s="579">
        <v>0</v>
      </c>
      <c r="T135" s="579">
        <v>0</v>
      </c>
      <c r="U135" s="579">
        <v>0</v>
      </c>
      <c r="V135" s="579">
        <v>0</v>
      </c>
      <c r="W135" s="579">
        <v>0</v>
      </c>
      <c r="X135" s="579">
        <v>0</v>
      </c>
      <c r="Y135" s="579">
        <v>0</v>
      </c>
      <c r="Z135" s="579">
        <v>0</v>
      </c>
    </row>
    <row r="136" spans="1:27" outlineLevel="2">
      <c r="A136" s="875"/>
      <c r="B136" s="876"/>
      <c r="C136" s="876"/>
      <c r="D136" s="64">
        <v>7</v>
      </c>
      <c r="E136" s="68">
        <f t="shared" si="14"/>
        <v>0</v>
      </c>
      <c r="F136" s="579">
        <v>0</v>
      </c>
      <c r="G136" s="579">
        <v>0</v>
      </c>
      <c r="H136" s="579">
        <v>0</v>
      </c>
      <c r="I136" s="579">
        <v>0</v>
      </c>
      <c r="J136" s="579">
        <v>0</v>
      </c>
      <c r="K136" s="579">
        <v>0</v>
      </c>
      <c r="L136" s="579">
        <v>0</v>
      </c>
      <c r="M136" s="579">
        <v>0</v>
      </c>
      <c r="N136" s="579">
        <v>0</v>
      </c>
      <c r="O136" s="579">
        <v>0</v>
      </c>
      <c r="P136" s="579">
        <v>0</v>
      </c>
      <c r="Q136" s="579">
        <v>0</v>
      </c>
      <c r="R136" s="579">
        <v>0</v>
      </c>
      <c r="S136" s="579">
        <v>0</v>
      </c>
      <c r="T136" s="579">
        <v>0</v>
      </c>
      <c r="U136" s="579">
        <v>0</v>
      </c>
      <c r="V136" s="579">
        <v>0</v>
      </c>
      <c r="W136" s="579">
        <v>0</v>
      </c>
      <c r="X136" s="579">
        <v>0</v>
      </c>
      <c r="Y136" s="579">
        <v>0</v>
      </c>
      <c r="Z136" s="579">
        <v>0</v>
      </c>
    </row>
    <row r="137" spans="1:27" outlineLevel="2">
      <c r="A137" s="875"/>
      <c r="B137" s="876"/>
      <c r="C137" s="876"/>
      <c r="D137" s="64">
        <v>8</v>
      </c>
      <c r="E137" s="68">
        <f t="shared" si="14"/>
        <v>0</v>
      </c>
      <c r="F137" s="579">
        <v>0</v>
      </c>
      <c r="G137" s="579">
        <v>0</v>
      </c>
      <c r="H137" s="579">
        <v>0</v>
      </c>
      <c r="I137" s="579">
        <v>0</v>
      </c>
      <c r="J137" s="579">
        <v>0</v>
      </c>
      <c r="K137" s="579">
        <v>0</v>
      </c>
      <c r="L137" s="579">
        <v>0</v>
      </c>
      <c r="M137" s="579">
        <v>0</v>
      </c>
      <c r="N137" s="579">
        <v>0</v>
      </c>
      <c r="O137" s="579">
        <v>0</v>
      </c>
      <c r="P137" s="579">
        <v>0</v>
      </c>
      <c r="Q137" s="579">
        <v>0</v>
      </c>
      <c r="R137" s="579">
        <v>0</v>
      </c>
      <c r="S137" s="579">
        <v>0</v>
      </c>
      <c r="T137" s="579">
        <v>0</v>
      </c>
      <c r="U137" s="579">
        <v>0</v>
      </c>
      <c r="V137" s="579">
        <v>0</v>
      </c>
      <c r="W137" s="579">
        <v>0</v>
      </c>
      <c r="X137" s="579">
        <v>0</v>
      </c>
      <c r="Y137" s="579">
        <v>0</v>
      </c>
      <c r="Z137" s="579">
        <v>0</v>
      </c>
    </row>
    <row r="138" spans="1:27" outlineLevel="2">
      <c r="A138" s="875"/>
      <c r="B138" s="876"/>
      <c r="C138" s="876"/>
      <c r="D138" s="64">
        <v>9</v>
      </c>
      <c r="E138" s="68">
        <f t="shared" si="14"/>
        <v>0</v>
      </c>
      <c r="F138" s="579">
        <v>0</v>
      </c>
      <c r="G138" s="579">
        <v>0</v>
      </c>
      <c r="H138" s="579">
        <v>0</v>
      </c>
      <c r="I138" s="579">
        <v>0</v>
      </c>
      <c r="J138" s="579">
        <v>0</v>
      </c>
      <c r="K138" s="579">
        <v>0</v>
      </c>
      <c r="L138" s="579">
        <v>0</v>
      </c>
      <c r="M138" s="579">
        <v>0</v>
      </c>
      <c r="N138" s="579">
        <v>0</v>
      </c>
      <c r="O138" s="579">
        <v>0</v>
      </c>
      <c r="P138" s="579">
        <v>0</v>
      </c>
      <c r="Q138" s="579">
        <v>0</v>
      </c>
      <c r="R138" s="579">
        <v>0</v>
      </c>
      <c r="S138" s="579">
        <v>0</v>
      </c>
      <c r="T138" s="579">
        <v>0</v>
      </c>
      <c r="U138" s="579">
        <v>0</v>
      </c>
      <c r="V138" s="579">
        <v>0</v>
      </c>
      <c r="W138" s="579">
        <v>0</v>
      </c>
      <c r="X138" s="579">
        <v>0</v>
      </c>
      <c r="Y138" s="579">
        <v>0</v>
      </c>
      <c r="Z138" s="579">
        <v>0</v>
      </c>
    </row>
    <row r="139" spans="1:27" ht="15.75" outlineLevel="2" thickBot="1">
      <c r="A139" s="875"/>
      <c r="B139" s="876"/>
      <c r="C139" s="876"/>
      <c r="D139" s="65">
        <v>10</v>
      </c>
      <c r="E139" s="69">
        <f t="shared" si="14"/>
        <v>0</v>
      </c>
      <c r="F139" s="579">
        <v>0</v>
      </c>
      <c r="G139" s="579">
        <v>0</v>
      </c>
      <c r="H139" s="579">
        <v>0</v>
      </c>
      <c r="I139" s="579">
        <v>0</v>
      </c>
      <c r="J139" s="579">
        <v>0</v>
      </c>
      <c r="K139" s="579">
        <v>0</v>
      </c>
      <c r="L139" s="579">
        <v>0</v>
      </c>
      <c r="M139" s="579">
        <v>0</v>
      </c>
      <c r="N139" s="579">
        <v>0</v>
      </c>
      <c r="O139" s="579">
        <v>0</v>
      </c>
      <c r="P139" s="579">
        <v>0</v>
      </c>
      <c r="Q139" s="579">
        <v>0</v>
      </c>
      <c r="R139" s="579">
        <v>0</v>
      </c>
      <c r="S139" s="579">
        <v>0</v>
      </c>
      <c r="T139" s="579">
        <v>0</v>
      </c>
      <c r="U139" s="579">
        <v>0</v>
      </c>
      <c r="V139" s="579">
        <v>0</v>
      </c>
      <c r="W139" s="579">
        <v>0</v>
      </c>
      <c r="X139" s="579">
        <v>0</v>
      </c>
      <c r="Y139" s="579">
        <v>0</v>
      </c>
      <c r="Z139" s="579">
        <v>0</v>
      </c>
      <c r="AA139" s="363"/>
    </row>
    <row r="140" spans="1:27" outlineLevel="2">
      <c r="A140" s="875" t="s">
        <v>75</v>
      </c>
      <c r="B140" s="876" t="s">
        <v>76</v>
      </c>
      <c r="C140" s="876">
        <v>637040</v>
      </c>
      <c r="D140" s="63">
        <v>1</v>
      </c>
      <c r="E140" s="68">
        <f t="shared" si="14"/>
        <v>0</v>
      </c>
      <c r="F140" s="578">
        <v>0</v>
      </c>
      <c r="G140" s="578">
        <v>0</v>
      </c>
      <c r="H140" s="578">
        <v>0</v>
      </c>
      <c r="I140" s="578">
        <v>0</v>
      </c>
      <c r="J140" s="578">
        <v>0</v>
      </c>
      <c r="K140" s="578">
        <v>0</v>
      </c>
      <c r="L140" s="578">
        <v>0</v>
      </c>
      <c r="M140" s="578">
        <v>0</v>
      </c>
      <c r="N140" s="578">
        <v>0</v>
      </c>
      <c r="O140" s="578">
        <v>0</v>
      </c>
      <c r="P140" s="578">
        <v>0</v>
      </c>
      <c r="Q140" s="578">
        <v>0</v>
      </c>
      <c r="R140" s="578">
        <v>0</v>
      </c>
      <c r="S140" s="578">
        <v>0</v>
      </c>
      <c r="T140" s="578">
        <v>0</v>
      </c>
      <c r="U140" s="578">
        <v>0</v>
      </c>
      <c r="V140" s="578">
        <v>0</v>
      </c>
      <c r="W140" s="578">
        <v>0</v>
      </c>
      <c r="X140" s="578">
        <v>0</v>
      </c>
      <c r="Y140" s="578">
        <v>0</v>
      </c>
      <c r="Z140" s="578">
        <v>0</v>
      </c>
    </row>
    <row r="141" spans="1:27" outlineLevel="2">
      <c r="A141" s="875"/>
      <c r="B141" s="876"/>
      <c r="C141" s="876"/>
      <c r="D141" s="64">
        <v>2</v>
      </c>
      <c r="E141" s="68">
        <f t="shared" si="14"/>
        <v>0</v>
      </c>
      <c r="F141" s="579">
        <v>0</v>
      </c>
      <c r="G141" s="579">
        <v>0</v>
      </c>
      <c r="H141" s="579">
        <v>0</v>
      </c>
      <c r="I141" s="579">
        <v>0</v>
      </c>
      <c r="J141" s="579">
        <v>0</v>
      </c>
      <c r="K141" s="579">
        <v>0</v>
      </c>
      <c r="L141" s="579">
        <v>0</v>
      </c>
      <c r="M141" s="579">
        <v>0</v>
      </c>
      <c r="N141" s="579">
        <v>0</v>
      </c>
      <c r="O141" s="579">
        <v>0</v>
      </c>
      <c r="P141" s="579">
        <v>0</v>
      </c>
      <c r="Q141" s="579">
        <v>0</v>
      </c>
      <c r="R141" s="579">
        <v>0</v>
      </c>
      <c r="S141" s="579">
        <v>0</v>
      </c>
      <c r="T141" s="579">
        <v>0</v>
      </c>
      <c r="U141" s="579">
        <v>0</v>
      </c>
      <c r="V141" s="579">
        <v>0</v>
      </c>
      <c r="W141" s="579">
        <v>0</v>
      </c>
      <c r="X141" s="579">
        <v>0</v>
      </c>
      <c r="Y141" s="579">
        <v>0</v>
      </c>
      <c r="Z141" s="579">
        <v>0</v>
      </c>
    </row>
    <row r="142" spans="1:27" outlineLevel="2">
      <c r="A142" s="875"/>
      <c r="B142" s="876"/>
      <c r="C142" s="876"/>
      <c r="D142" s="64">
        <v>3</v>
      </c>
      <c r="E142" s="68">
        <f t="shared" si="14"/>
        <v>0</v>
      </c>
      <c r="F142" s="579">
        <v>0</v>
      </c>
      <c r="G142" s="579">
        <v>0</v>
      </c>
      <c r="H142" s="579">
        <v>0</v>
      </c>
      <c r="I142" s="579">
        <v>0</v>
      </c>
      <c r="J142" s="579">
        <v>0</v>
      </c>
      <c r="K142" s="579">
        <v>0</v>
      </c>
      <c r="L142" s="579">
        <v>0</v>
      </c>
      <c r="M142" s="579">
        <v>0</v>
      </c>
      <c r="N142" s="579">
        <v>0</v>
      </c>
      <c r="O142" s="579">
        <v>0</v>
      </c>
      <c r="P142" s="579">
        <v>0</v>
      </c>
      <c r="Q142" s="579">
        <v>0</v>
      </c>
      <c r="R142" s="579">
        <v>0</v>
      </c>
      <c r="S142" s="579">
        <v>0</v>
      </c>
      <c r="T142" s="579">
        <v>0</v>
      </c>
      <c r="U142" s="579">
        <v>0</v>
      </c>
      <c r="V142" s="579">
        <v>0</v>
      </c>
      <c r="W142" s="579">
        <v>0</v>
      </c>
      <c r="X142" s="579">
        <v>0</v>
      </c>
      <c r="Y142" s="579">
        <v>0</v>
      </c>
      <c r="Z142" s="579">
        <v>0</v>
      </c>
    </row>
    <row r="143" spans="1:27" outlineLevel="2">
      <c r="A143" s="875"/>
      <c r="B143" s="876"/>
      <c r="C143" s="876"/>
      <c r="D143" s="64">
        <v>4</v>
      </c>
      <c r="E143" s="68">
        <f t="shared" si="14"/>
        <v>0</v>
      </c>
      <c r="F143" s="579">
        <v>0</v>
      </c>
      <c r="G143" s="579">
        <v>0</v>
      </c>
      <c r="H143" s="579">
        <v>0</v>
      </c>
      <c r="I143" s="579">
        <v>0</v>
      </c>
      <c r="J143" s="579">
        <v>0</v>
      </c>
      <c r="K143" s="579">
        <v>0</v>
      </c>
      <c r="L143" s="579">
        <v>0</v>
      </c>
      <c r="M143" s="579">
        <v>0</v>
      </c>
      <c r="N143" s="579">
        <v>0</v>
      </c>
      <c r="O143" s="579">
        <v>0</v>
      </c>
      <c r="P143" s="579">
        <v>0</v>
      </c>
      <c r="Q143" s="579">
        <v>0</v>
      </c>
      <c r="R143" s="579">
        <v>0</v>
      </c>
      <c r="S143" s="579">
        <v>0</v>
      </c>
      <c r="T143" s="579">
        <v>0</v>
      </c>
      <c r="U143" s="579">
        <v>0</v>
      </c>
      <c r="V143" s="579">
        <v>0</v>
      </c>
      <c r="W143" s="579">
        <v>0</v>
      </c>
      <c r="X143" s="579">
        <v>0</v>
      </c>
      <c r="Y143" s="579">
        <v>0</v>
      </c>
      <c r="Z143" s="579">
        <v>0</v>
      </c>
    </row>
    <row r="144" spans="1:27" outlineLevel="2">
      <c r="A144" s="875"/>
      <c r="B144" s="876"/>
      <c r="C144" s="876"/>
      <c r="D144" s="64">
        <v>5</v>
      </c>
      <c r="E144" s="68">
        <f t="shared" si="14"/>
        <v>0</v>
      </c>
      <c r="F144" s="579">
        <v>0</v>
      </c>
      <c r="G144" s="579">
        <v>0</v>
      </c>
      <c r="H144" s="579">
        <v>0</v>
      </c>
      <c r="I144" s="579">
        <v>0</v>
      </c>
      <c r="J144" s="579">
        <v>0</v>
      </c>
      <c r="K144" s="579">
        <v>0</v>
      </c>
      <c r="L144" s="579">
        <v>0</v>
      </c>
      <c r="M144" s="579">
        <v>0</v>
      </c>
      <c r="N144" s="579">
        <v>0</v>
      </c>
      <c r="O144" s="579">
        <v>0</v>
      </c>
      <c r="P144" s="579">
        <v>0</v>
      </c>
      <c r="Q144" s="579">
        <v>0</v>
      </c>
      <c r="R144" s="579">
        <v>0</v>
      </c>
      <c r="S144" s="579">
        <v>0</v>
      </c>
      <c r="T144" s="579">
        <v>0</v>
      </c>
      <c r="U144" s="579">
        <v>0</v>
      </c>
      <c r="V144" s="579">
        <v>0</v>
      </c>
      <c r="W144" s="579">
        <v>0</v>
      </c>
      <c r="X144" s="579">
        <v>0</v>
      </c>
      <c r="Y144" s="579">
        <v>0</v>
      </c>
      <c r="Z144" s="579">
        <v>0</v>
      </c>
    </row>
    <row r="145" spans="1:26" outlineLevel="2">
      <c r="A145" s="875"/>
      <c r="B145" s="876"/>
      <c r="C145" s="876"/>
      <c r="D145" s="64">
        <v>6</v>
      </c>
      <c r="E145" s="68">
        <f t="shared" si="14"/>
        <v>0</v>
      </c>
      <c r="F145" s="579">
        <v>0</v>
      </c>
      <c r="G145" s="579">
        <v>0</v>
      </c>
      <c r="H145" s="579">
        <v>0</v>
      </c>
      <c r="I145" s="579">
        <v>0</v>
      </c>
      <c r="J145" s="579">
        <v>0</v>
      </c>
      <c r="K145" s="579">
        <v>0</v>
      </c>
      <c r="L145" s="579">
        <v>0</v>
      </c>
      <c r="M145" s="579">
        <v>0</v>
      </c>
      <c r="N145" s="579">
        <v>0</v>
      </c>
      <c r="O145" s="579">
        <v>0</v>
      </c>
      <c r="P145" s="579">
        <v>0</v>
      </c>
      <c r="Q145" s="579">
        <v>0</v>
      </c>
      <c r="R145" s="579">
        <v>0</v>
      </c>
      <c r="S145" s="579">
        <v>0</v>
      </c>
      <c r="T145" s="579">
        <v>0</v>
      </c>
      <c r="U145" s="579">
        <v>0</v>
      </c>
      <c r="V145" s="579">
        <v>0</v>
      </c>
      <c r="W145" s="579">
        <v>0</v>
      </c>
      <c r="X145" s="579">
        <v>0</v>
      </c>
      <c r="Y145" s="579">
        <v>0</v>
      </c>
      <c r="Z145" s="579">
        <v>0</v>
      </c>
    </row>
    <row r="146" spans="1:26" outlineLevel="2">
      <c r="A146" s="875"/>
      <c r="B146" s="876"/>
      <c r="C146" s="876"/>
      <c r="D146" s="64">
        <v>7</v>
      </c>
      <c r="E146" s="68">
        <f t="shared" si="14"/>
        <v>0</v>
      </c>
      <c r="F146" s="579">
        <v>0</v>
      </c>
      <c r="G146" s="579">
        <v>0</v>
      </c>
      <c r="H146" s="579">
        <v>0</v>
      </c>
      <c r="I146" s="579">
        <v>0</v>
      </c>
      <c r="J146" s="579">
        <v>0</v>
      </c>
      <c r="K146" s="579">
        <v>0</v>
      </c>
      <c r="L146" s="579">
        <v>0</v>
      </c>
      <c r="M146" s="579">
        <v>0</v>
      </c>
      <c r="N146" s="579">
        <v>0</v>
      </c>
      <c r="O146" s="579">
        <v>0</v>
      </c>
      <c r="P146" s="579">
        <v>0</v>
      </c>
      <c r="Q146" s="579">
        <v>0</v>
      </c>
      <c r="R146" s="579">
        <v>0</v>
      </c>
      <c r="S146" s="579">
        <v>0</v>
      </c>
      <c r="T146" s="579">
        <v>0</v>
      </c>
      <c r="U146" s="579">
        <v>0</v>
      </c>
      <c r="V146" s="579">
        <v>0</v>
      </c>
      <c r="W146" s="579">
        <v>0</v>
      </c>
      <c r="X146" s="579">
        <v>0</v>
      </c>
      <c r="Y146" s="579">
        <v>0</v>
      </c>
      <c r="Z146" s="579">
        <v>0</v>
      </c>
    </row>
    <row r="147" spans="1:26" outlineLevel="2">
      <c r="A147" s="875"/>
      <c r="B147" s="876"/>
      <c r="C147" s="876"/>
      <c r="D147" s="64">
        <v>8</v>
      </c>
      <c r="E147" s="68">
        <f t="shared" si="14"/>
        <v>0</v>
      </c>
      <c r="F147" s="579">
        <v>0</v>
      </c>
      <c r="G147" s="579">
        <v>0</v>
      </c>
      <c r="H147" s="579">
        <v>0</v>
      </c>
      <c r="I147" s="579">
        <v>0</v>
      </c>
      <c r="J147" s="579">
        <v>0</v>
      </c>
      <c r="K147" s="579">
        <v>0</v>
      </c>
      <c r="L147" s="579">
        <v>0</v>
      </c>
      <c r="M147" s="579">
        <v>0</v>
      </c>
      <c r="N147" s="579">
        <v>0</v>
      </c>
      <c r="O147" s="579">
        <v>0</v>
      </c>
      <c r="P147" s="579">
        <v>0</v>
      </c>
      <c r="Q147" s="579">
        <v>0</v>
      </c>
      <c r="R147" s="579">
        <v>0</v>
      </c>
      <c r="S147" s="579">
        <v>0</v>
      </c>
      <c r="T147" s="579">
        <v>0</v>
      </c>
      <c r="U147" s="579">
        <v>0</v>
      </c>
      <c r="V147" s="579">
        <v>0</v>
      </c>
      <c r="W147" s="579">
        <v>0</v>
      </c>
      <c r="X147" s="579">
        <v>0</v>
      </c>
      <c r="Y147" s="579">
        <v>0</v>
      </c>
      <c r="Z147" s="579">
        <v>0</v>
      </c>
    </row>
    <row r="148" spans="1:26" outlineLevel="2">
      <c r="A148" s="875"/>
      <c r="B148" s="876"/>
      <c r="C148" s="876"/>
      <c r="D148" s="64">
        <v>9</v>
      </c>
      <c r="E148" s="68">
        <f t="shared" si="14"/>
        <v>0</v>
      </c>
      <c r="F148" s="579">
        <v>0</v>
      </c>
      <c r="G148" s="579">
        <v>0</v>
      </c>
      <c r="H148" s="579">
        <v>0</v>
      </c>
      <c r="I148" s="579">
        <v>0</v>
      </c>
      <c r="J148" s="579">
        <v>0</v>
      </c>
      <c r="K148" s="579">
        <v>0</v>
      </c>
      <c r="L148" s="579">
        <v>0</v>
      </c>
      <c r="M148" s="579">
        <v>0</v>
      </c>
      <c r="N148" s="579">
        <v>0</v>
      </c>
      <c r="O148" s="579">
        <v>0</v>
      </c>
      <c r="P148" s="579">
        <v>0</v>
      </c>
      <c r="Q148" s="579">
        <v>0</v>
      </c>
      <c r="R148" s="579">
        <v>0</v>
      </c>
      <c r="S148" s="579">
        <v>0</v>
      </c>
      <c r="T148" s="579">
        <v>0</v>
      </c>
      <c r="U148" s="579">
        <v>0</v>
      </c>
      <c r="V148" s="579">
        <v>0</v>
      </c>
      <c r="W148" s="579">
        <v>0</v>
      </c>
      <c r="X148" s="579">
        <v>0</v>
      </c>
      <c r="Y148" s="579">
        <v>0</v>
      </c>
      <c r="Z148" s="579">
        <v>0</v>
      </c>
    </row>
    <row r="149" spans="1:26" ht="15.75" outlineLevel="2" thickBot="1">
      <c r="A149" s="875"/>
      <c r="B149" s="876"/>
      <c r="C149" s="876"/>
      <c r="D149" s="65">
        <v>10</v>
      </c>
      <c r="E149" s="69">
        <f t="shared" si="14"/>
        <v>0</v>
      </c>
      <c r="F149" s="583">
        <v>0</v>
      </c>
      <c r="G149" s="583">
        <v>0</v>
      </c>
      <c r="H149" s="583">
        <v>0</v>
      </c>
      <c r="I149" s="583">
        <v>0</v>
      </c>
      <c r="J149" s="583">
        <v>0</v>
      </c>
      <c r="K149" s="583">
        <v>0</v>
      </c>
      <c r="L149" s="583">
        <v>0</v>
      </c>
      <c r="M149" s="583">
        <v>0</v>
      </c>
      <c r="N149" s="583">
        <v>0</v>
      </c>
      <c r="O149" s="583">
        <v>0</v>
      </c>
      <c r="P149" s="583">
        <v>0</v>
      </c>
      <c r="Q149" s="583">
        <v>0</v>
      </c>
      <c r="R149" s="583">
        <v>0</v>
      </c>
      <c r="S149" s="583">
        <v>0</v>
      </c>
      <c r="T149" s="583">
        <v>0</v>
      </c>
      <c r="U149" s="583">
        <v>0</v>
      </c>
      <c r="V149" s="583">
        <v>0</v>
      </c>
      <c r="W149" s="583">
        <v>0</v>
      </c>
      <c r="X149" s="583">
        <v>0</v>
      </c>
      <c r="Y149" s="583">
        <v>0</v>
      </c>
      <c r="Z149" s="583">
        <v>0</v>
      </c>
    </row>
    <row r="150" spans="1:26" ht="15.75" thickBot="1">
      <c r="A150" s="17" t="s">
        <v>234</v>
      </c>
      <c r="B150" s="17"/>
      <c r="C150" s="17"/>
      <c r="D150" s="27"/>
      <c r="E150" s="110">
        <f t="shared" ref="E150:Z150" si="15">SUM(E151:E170)</f>
        <v>630460.53391999996</v>
      </c>
      <c r="F150" s="111">
        <f t="shared" si="15"/>
        <v>37731.079311567257</v>
      </c>
      <c r="G150" s="111">
        <f t="shared" si="15"/>
        <v>127199.1503900642</v>
      </c>
      <c r="H150" s="111">
        <f t="shared" si="15"/>
        <v>167756.1169855723</v>
      </c>
      <c r="I150" s="111">
        <f t="shared" si="15"/>
        <v>24998.431624874149</v>
      </c>
      <c r="J150" s="111">
        <f t="shared" si="15"/>
        <v>75037.737033578087</v>
      </c>
      <c r="K150" s="111">
        <f t="shared" si="15"/>
        <v>21051.310841999279</v>
      </c>
      <c r="L150" s="111">
        <f t="shared" si="15"/>
        <v>6960.5140687255689</v>
      </c>
      <c r="M150" s="111">
        <f t="shared" si="15"/>
        <v>5941.9022537901201</v>
      </c>
      <c r="N150" s="111">
        <f t="shared" si="15"/>
        <v>17358.843012858277</v>
      </c>
      <c r="O150" s="111">
        <f t="shared" si="15"/>
        <v>20669.331411398489</v>
      </c>
      <c r="P150" s="111">
        <f t="shared" si="15"/>
        <v>4711.0796440764525</v>
      </c>
      <c r="Q150" s="111">
        <f t="shared" si="15"/>
        <v>1061.0539738910929</v>
      </c>
      <c r="R150" s="111">
        <f t="shared" si="15"/>
        <v>8361.1053142618111</v>
      </c>
      <c r="S150" s="111">
        <f t="shared" si="15"/>
        <v>5729.6914590119013</v>
      </c>
      <c r="T150" s="111">
        <f t="shared" si="15"/>
        <v>17146.63221808006</v>
      </c>
      <c r="U150" s="111">
        <f t="shared" si="15"/>
        <v>13369.280071027772</v>
      </c>
      <c r="V150" s="111">
        <f t="shared" si="15"/>
        <v>11544.267235935089</v>
      </c>
      <c r="W150" s="111">
        <f t="shared" si="15"/>
        <v>25465.295373386223</v>
      </c>
      <c r="X150" s="111">
        <f t="shared" si="15"/>
        <v>38367.711695901911</v>
      </c>
      <c r="Y150" s="111">
        <f t="shared" si="15"/>
        <v>0</v>
      </c>
      <c r="Z150" s="111">
        <f t="shared" si="15"/>
        <v>0</v>
      </c>
    </row>
    <row r="151" spans="1:26">
      <c r="A151" s="875" t="s">
        <v>235</v>
      </c>
      <c r="B151" s="876"/>
      <c r="C151" s="876"/>
      <c r="D151" s="63">
        <v>1</v>
      </c>
      <c r="E151" s="67">
        <f t="shared" ref="E151:E170" si="16">SUM(F151:Z151)</f>
        <v>0</v>
      </c>
      <c r="F151" s="575">
        <f>IFERROR(IF((POZICIE_INTERNE!$B$40-12*('TCO TO BE- SW'!$D151-1))&gt;12,((F$4+'TCO TO BE - HW'!F$4)/($E$4+'TCO TO BE - HW'!$E$4)*SUM(POZICIE_INTERNE!$I$40:$I$51))/POZICIE_INTERNE!$B$40*12,IF((POZICIE_INTERNE!$B$40-12*('TCO TO BE- SW'!$D151-1))&lt;0,0,(POZICIE_INTERNE!$B$40-12*('TCO TO BE- SW'!$D151-1))*((F$4+'TCO TO BE - HW'!F$4)/($E$4+'TCO TO BE - HW'!$E$4)*SUM(POZICIE_INTERNE!$I$40:$I$51))/POZICIE_INTERNE!$B$40)),0)+IFERROR(IF((AKTIVITY_POZICIE!$B$41-12*('TCO TO BE- SW'!$D151-1))&gt;12,((F$4+'TCO TO BE - HW'!F$4)/($E$4+'TCO TO BE - HW'!$E$4)*SUM(AKTIVITY_POZICIE!$M$41:$M$52)*1.2)/AKTIVITY_POZICIE!$B$41*12,IF((AKTIVITY_POZICIE!$B$41-12*('TCO TO BE- SW'!$D151-1))&lt;0,0,(AKTIVITY_POZICIE!$B$41-12*('TCO TO BE- SW'!$D151-1))*((F$4+'TCO TO BE - HW'!F$4)/($E$4+'TCO TO BE - HW'!$E$4)*SUM(AKTIVITY_POZICIE!$M$41:$M$52)*1.2)/AKTIVITY_POZICIE!$B$41)),0)+IFERROR(SUM(#REF!)*'TCO TO BE- SW'!F$4/'TCO TO BE- SW'!$E$4,0)</f>
        <v>0</v>
      </c>
      <c r="G151" s="575">
        <f>IFERROR(IF((POZICIE_INTERNE!$B$40-12*('TCO TO BE- SW'!$D151-1))&gt;12,((G$4+'TCO TO BE - HW'!G$4)/($E$4+'TCO TO BE - HW'!$E$4)*SUM(POZICIE_INTERNE!$I$40:$I$51))/POZICIE_INTERNE!$B$40*12,IF((POZICIE_INTERNE!$B$40-12*('TCO TO BE- SW'!$D151-1))&lt;0,0,(POZICIE_INTERNE!$B$40-12*('TCO TO BE- SW'!$D151-1))*((G$4+'TCO TO BE - HW'!G$4)/($E$4+'TCO TO BE - HW'!$E$4)*SUM(POZICIE_INTERNE!$I$40:$I$51))/POZICIE_INTERNE!$B$40)),0)+IFERROR(IF((AKTIVITY_POZICIE!$B$41-12*('TCO TO BE- SW'!$D151-1))&gt;12,((G$4+'TCO TO BE - HW'!G$4)/($E$4+'TCO TO BE - HW'!$E$4)*SUM(AKTIVITY_POZICIE!$M$41:$M$52)*1.2)/AKTIVITY_POZICIE!$B$41*12,IF((AKTIVITY_POZICIE!$B$41-12*('TCO TO BE- SW'!$D151-1))&lt;0,0,(AKTIVITY_POZICIE!$B$41-12*('TCO TO BE- SW'!$D151-1))*((G$4+'TCO TO BE - HW'!G$4)/($E$4+'TCO TO BE - HW'!$E$4)*SUM(AKTIVITY_POZICIE!$M$41:$M$52)*1.2)/AKTIVITY_POZICIE!$B$41)),0)+IFERROR(SUM(#REF!)*'TCO TO BE- SW'!G$4/'TCO TO BE- SW'!$E$4,0)</f>
        <v>0</v>
      </c>
      <c r="H151" s="575">
        <f>IFERROR(IF((POZICIE_INTERNE!$B$40-12*('TCO TO BE- SW'!$D151-1))&gt;12,((H$4+'TCO TO BE - HW'!H$4)/($E$4+'TCO TO BE - HW'!$E$4)*SUM(POZICIE_INTERNE!$I$40:$I$51))/POZICIE_INTERNE!$B$40*12,IF((POZICIE_INTERNE!$B$40-12*('TCO TO BE- SW'!$D151-1))&lt;0,0,(POZICIE_INTERNE!$B$40-12*('TCO TO BE- SW'!$D151-1))*((H$4+'TCO TO BE - HW'!H$4)/($E$4+'TCO TO BE - HW'!$E$4)*SUM(POZICIE_INTERNE!$I$40:$I$51))/POZICIE_INTERNE!$B$40)),0)+IFERROR(IF((AKTIVITY_POZICIE!$B$41-12*('TCO TO BE- SW'!$D151-1))&gt;12,((H$4+'TCO TO BE - HW'!H$4)/($E$4+'TCO TO BE - HW'!$E$4)*SUM(AKTIVITY_POZICIE!$M$41:$M$52)*1.2)/AKTIVITY_POZICIE!$B$41*12,IF((AKTIVITY_POZICIE!$B$41-12*('TCO TO BE- SW'!$D151-1))&lt;0,0,(AKTIVITY_POZICIE!$B$41-12*('TCO TO BE- SW'!$D151-1))*((H$4+'TCO TO BE - HW'!H$4)/($E$4+'TCO TO BE - HW'!$E$4)*SUM(AKTIVITY_POZICIE!$M$41:$M$52)*1.2)/AKTIVITY_POZICIE!$B$41)),0)+IFERROR(SUM(#REF!)*'TCO TO BE- SW'!H$4/'TCO TO BE- SW'!$E$4,0)</f>
        <v>0</v>
      </c>
      <c r="I151" s="575">
        <f>IFERROR(IF((POZICIE_INTERNE!$B$40-12*('TCO TO BE- SW'!$D151-1))&gt;12,((I$4+'TCO TO BE - HW'!I$4)/($E$4+'TCO TO BE - HW'!$E$4)*SUM(POZICIE_INTERNE!$I$40:$I$51))/POZICIE_INTERNE!$B$40*12,IF((POZICIE_INTERNE!$B$40-12*('TCO TO BE- SW'!$D151-1))&lt;0,0,(POZICIE_INTERNE!$B$40-12*('TCO TO BE- SW'!$D151-1))*((I$4+'TCO TO BE - HW'!I$4)/($E$4+'TCO TO BE - HW'!$E$4)*SUM(POZICIE_INTERNE!$I$40:$I$51))/POZICIE_INTERNE!$B$40)),0)+IFERROR(IF((AKTIVITY_POZICIE!$B$41-12*('TCO TO BE- SW'!$D151-1))&gt;12,((I$4+'TCO TO BE - HW'!I$4)/($E$4+'TCO TO BE - HW'!$E$4)*SUM(AKTIVITY_POZICIE!$M$41:$M$52)*1.2)/AKTIVITY_POZICIE!$B$41*12,IF((AKTIVITY_POZICIE!$B$41-12*('TCO TO BE- SW'!$D151-1))&lt;0,0,(AKTIVITY_POZICIE!$B$41-12*('TCO TO BE- SW'!$D151-1))*((I$4+'TCO TO BE - HW'!I$4)/($E$4+'TCO TO BE - HW'!$E$4)*SUM(AKTIVITY_POZICIE!$M$41:$M$52)*1.2)/AKTIVITY_POZICIE!$B$41)),0)+IFERROR(SUM(#REF!)*'TCO TO BE- SW'!I$4/'TCO TO BE- SW'!$E$4,0)</f>
        <v>0</v>
      </c>
      <c r="J151" s="575">
        <f>IFERROR(IF((POZICIE_INTERNE!$B$40-12*('TCO TO BE- SW'!$D151-1))&gt;12,((J$4+'TCO TO BE - HW'!J$4)/($E$4+'TCO TO BE - HW'!$E$4)*SUM(POZICIE_INTERNE!$I$40:$I$51))/POZICIE_INTERNE!$B$40*12,IF((POZICIE_INTERNE!$B$40-12*('TCO TO BE- SW'!$D151-1))&lt;0,0,(POZICIE_INTERNE!$B$40-12*('TCO TO BE- SW'!$D151-1))*((J$4+'TCO TO BE - HW'!J$4)/($E$4+'TCO TO BE - HW'!$E$4)*SUM(POZICIE_INTERNE!$I$40:$I$51))/POZICIE_INTERNE!$B$40)),0)+IFERROR(IF((AKTIVITY_POZICIE!$B$41-12*('TCO TO BE- SW'!$D151-1))&gt;12,((J$4+'TCO TO BE - HW'!J$4)/($E$4+'TCO TO BE - HW'!$E$4)*SUM(AKTIVITY_POZICIE!$M$41:$M$52)*1.2)/AKTIVITY_POZICIE!$B$41*12,IF((AKTIVITY_POZICIE!$B$41-12*('TCO TO BE- SW'!$D151-1))&lt;0,0,(AKTIVITY_POZICIE!$B$41-12*('TCO TO BE- SW'!$D151-1))*((J$4+'TCO TO BE - HW'!J$4)/($E$4+'TCO TO BE - HW'!$E$4)*SUM(AKTIVITY_POZICIE!$M$41:$M$52)*1.2)/AKTIVITY_POZICIE!$B$41)),0)+IFERROR(SUM(#REF!)*'TCO TO BE- SW'!J$4/'TCO TO BE- SW'!$E$4,0)</f>
        <v>0</v>
      </c>
      <c r="K151" s="575">
        <f>IFERROR(IF((POZICIE_INTERNE!$B$40-12*('TCO TO BE- SW'!$D151-1))&gt;12,((K$4+'TCO TO BE - HW'!K$4)/($E$4+'TCO TO BE - HW'!$E$4)*SUM(POZICIE_INTERNE!$I$40:$I$51))/POZICIE_INTERNE!$B$40*12,IF((POZICIE_INTERNE!$B$40-12*('TCO TO BE- SW'!$D151-1))&lt;0,0,(POZICIE_INTERNE!$B$40-12*('TCO TO BE- SW'!$D151-1))*((K$4+'TCO TO BE - HW'!K$4)/($E$4+'TCO TO BE - HW'!$E$4)*SUM(POZICIE_INTERNE!$I$40:$I$51))/POZICIE_INTERNE!$B$40)),0)+IFERROR(IF((AKTIVITY_POZICIE!$B$41-12*('TCO TO BE- SW'!$D151-1))&gt;12,((K$4+'TCO TO BE - HW'!K$4)/($E$4+'TCO TO BE - HW'!$E$4)*SUM(AKTIVITY_POZICIE!$M$41:$M$52)*1.2)/AKTIVITY_POZICIE!$B$41*12,IF((AKTIVITY_POZICIE!$B$41-12*('TCO TO BE- SW'!$D151-1))&lt;0,0,(AKTIVITY_POZICIE!$B$41-12*('TCO TO BE- SW'!$D151-1))*((K$4+'TCO TO BE - HW'!K$4)/($E$4+'TCO TO BE - HW'!$E$4)*SUM(AKTIVITY_POZICIE!$M$41:$M$52)*1.2)/AKTIVITY_POZICIE!$B$41)),0)+IFERROR(SUM(#REF!)*'TCO TO BE- SW'!K$4/'TCO TO BE- SW'!$E$4,0)</f>
        <v>0</v>
      </c>
      <c r="L151" s="575">
        <f>IFERROR(IF((POZICIE_INTERNE!$B$40-12*('TCO TO BE- SW'!$D151-1))&gt;12,((L$4+'TCO TO BE - HW'!L$4)/($E$4+'TCO TO BE - HW'!$E$4)*SUM(POZICIE_INTERNE!$I$40:$I$51))/POZICIE_INTERNE!$B$40*12,IF((POZICIE_INTERNE!$B$40-12*('TCO TO BE- SW'!$D151-1))&lt;0,0,(POZICIE_INTERNE!$B$40-12*('TCO TO BE- SW'!$D151-1))*((L$4+'TCO TO BE - HW'!L$4)/($E$4+'TCO TO BE - HW'!$E$4)*SUM(POZICIE_INTERNE!$I$40:$I$51))/POZICIE_INTERNE!$B$40)),0)+IFERROR(IF((AKTIVITY_POZICIE!$B$41-12*('TCO TO BE- SW'!$D151-1))&gt;12,((L$4+'TCO TO BE - HW'!L$4)/($E$4+'TCO TO BE - HW'!$E$4)*SUM(AKTIVITY_POZICIE!$M$41:$M$52)*1.2)/AKTIVITY_POZICIE!$B$41*12,IF((AKTIVITY_POZICIE!$B$41-12*('TCO TO BE- SW'!$D151-1))&lt;0,0,(AKTIVITY_POZICIE!$B$41-12*('TCO TO BE- SW'!$D151-1))*((L$4+'TCO TO BE - HW'!L$4)/($E$4+'TCO TO BE - HW'!$E$4)*SUM(AKTIVITY_POZICIE!$M$41:$M$52)*1.2)/AKTIVITY_POZICIE!$B$41)),0)+IFERROR(SUM(#REF!)*'TCO TO BE- SW'!L$4/'TCO TO BE- SW'!$E$4,0)</f>
        <v>0</v>
      </c>
      <c r="M151" s="575">
        <f>IFERROR(IF((POZICIE_INTERNE!$B$40-12*('TCO TO BE- SW'!$D151-1))&gt;12,((M$4+'TCO TO BE - HW'!M$4)/($E$4+'TCO TO BE - HW'!$E$4)*SUM(POZICIE_INTERNE!$I$40:$I$51))/POZICIE_INTERNE!$B$40*12,IF((POZICIE_INTERNE!$B$40-12*('TCO TO BE- SW'!$D151-1))&lt;0,0,(POZICIE_INTERNE!$B$40-12*('TCO TO BE- SW'!$D151-1))*((M$4+'TCO TO BE - HW'!M$4)/($E$4+'TCO TO BE - HW'!$E$4)*SUM(POZICIE_INTERNE!$I$40:$I$51))/POZICIE_INTERNE!$B$40)),0)+IFERROR(IF((AKTIVITY_POZICIE!$B$41-12*('TCO TO BE- SW'!$D151-1))&gt;12,((M$4+'TCO TO BE - HW'!M$4)/($E$4+'TCO TO BE - HW'!$E$4)*SUM(AKTIVITY_POZICIE!$M$41:$M$52)*1.2)/AKTIVITY_POZICIE!$B$41*12,IF((AKTIVITY_POZICIE!$B$41-12*('TCO TO BE- SW'!$D151-1))&lt;0,0,(AKTIVITY_POZICIE!$B$41-12*('TCO TO BE- SW'!$D151-1))*((M$4+'TCO TO BE - HW'!M$4)/($E$4+'TCO TO BE - HW'!$E$4)*SUM(AKTIVITY_POZICIE!$M$41:$M$52)*1.2)/AKTIVITY_POZICIE!$B$41)),0)+IFERROR(SUM(#REF!)*'TCO TO BE- SW'!M$4/'TCO TO BE- SW'!$E$4,0)</f>
        <v>0</v>
      </c>
      <c r="N151" s="575">
        <f>IFERROR(IF((POZICIE_INTERNE!$B$40-12*('TCO TO BE- SW'!$D151-1))&gt;12,((N$4+'TCO TO BE - HW'!N$4)/($E$4+'TCO TO BE - HW'!$E$4)*SUM(POZICIE_INTERNE!$I$40:$I$51))/POZICIE_INTERNE!$B$40*12,IF((POZICIE_INTERNE!$B$40-12*('TCO TO BE- SW'!$D151-1))&lt;0,0,(POZICIE_INTERNE!$B$40-12*('TCO TO BE- SW'!$D151-1))*((N$4+'TCO TO BE - HW'!N$4)/($E$4+'TCO TO BE - HW'!$E$4)*SUM(POZICIE_INTERNE!$I$40:$I$51))/POZICIE_INTERNE!$B$40)),0)+IFERROR(IF((AKTIVITY_POZICIE!$B$41-12*('TCO TO BE- SW'!$D151-1))&gt;12,((N$4+'TCO TO BE - HW'!N$4)/($E$4+'TCO TO BE - HW'!$E$4)*SUM(AKTIVITY_POZICIE!$M$41:$M$52)*1.2)/AKTIVITY_POZICIE!$B$41*12,IF((AKTIVITY_POZICIE!$B$41-12*('TCO TO BE- SW'!$D151-1))&lt;0,0,(AKTIVITY_POZICIE!$B$41-12*('TCO TO BE- SW'!$D151-1))*((N$4+'TCO TO BE - HW'!N$4)/($E$4+'TCO TO BE - HW'!$E$4)*SUM(AKTIVITY_POZICIE!$M$41:$M$52)*1.2)/AKTIVITY_POZICIE!$B$41)),0)+IFERROR(SUM(#REF!)*'TCO TO BE- SW'!N$4/'TCO TO BE- SW'!$E$4,0)</f>
        <v>0</v>
      </c>
      <c r="O151" s="575">
        <f>IFERROR(IF((POZICIE_INTERNE!$B$40-12*('TCO TO BE- SW'!$D151-1))&gt;12,((O$4+'TCO TO BE - HW'!O$4)/($E$4+'TCO TO BE - HW'!$E$4)*SUM(POZICIE_INTERNE!$I$40:$I$51))/POZICIE_INTERNE!$B$40*12,IF((POZICIE_INTERNE!$B$40-12*('TCO TO BE- SW'!$D151-1))&lt;0,0,(POZICIE_INTERNE!$B$40-12*('TCO TO BE- SW'!$D151-1))*((O$4+'TCO TO BE - HW'!O$4)/($E$4+'TCO TO BE - HW'!$E$4)*SUM(POZICIE_INTERNE!$I$40:$I$51))/POZICIE_INTERNE!$B$40)),0)+IFERROR(IF((AKTIVITY_POZICIE!$B$41-12*('TCO TO BE- SW'!$D151-1))&gt;12,((O$4+'TCO TO BE - HW'!O$4)/($E$4+'TCO TO BE - HW'!$E$4)*SUM(AKTIVITY_POZICIE!$M$41:$M$52)*1.2)/AKTIVITY_POZICIE!$B$41*12,IF((AKTIVITY_POZICIE!$B$41-12*('TCO TO BE- SW'!$D151-1))&lt;0,0,(AKTIVITY_POZICIE!$B$41-12*('TCO TO BE- SW'!$D151-1))*((O$4+'TCO TO BE - HW'!O$4)/($E$4+'TCO TO BE - HW'!$E$4)*SUM(AKTIVITY_POZICIE!$M$41:$M$52)*1.2)/AKTIVITY_POZICIE!$B$41)),0)+IFERROR(SUM(#REF!)*'TCO TO BE- SW'!O$4/'TCO TO BE- SW'!$E$4,0)</f>
        <v>0</v>
      </c>
      <c r="P151" s="575">
        <f>IFERROR(IF((POZICIE_INTERNE!$B$40-12*('TCO TO BE- SW'!$D151-1))&gt;12,((P$4+'TCO TO BE - HW'!P$4)/($E$4+'TCO TO BE - HW'!$E$4)*SUM(POZICIE_INTERNE!$I$40:$I$51))/POZICIE_INTERNE!$B$40*12,IF((POZICIE_INTERNE!$B$40-12*('TCO TO BE- SW'!$D151-1))&lt;0,0,(POZICIE_INTERNE!$B$40-12*('TCO TO BE- SW'!$D151-1))*((P$4+'TCO TO BE - HW'!P$4)/($E$4+'TCO TO BE - HW'!$E$4)*SUM(POZICIE_INTERNE!$I$40:$I$51))/POZICIE_INTERNE!$B$40)),0)+IFERROR(IF((AKTIVITY_POZICIE!$B$41-12*('TCO TO BE- SW'!$D151-1))&gt;12,((P$4+'TCO TO BE - HW'!P$4)/($E$4+'TCO TO BE - HW'!$E$4)*SUM(AKTIVITY_POZICIE!$M$41:$M$52)*1.2)/AKTIVITY_POZICIE!$B$41*12,IF((AKTIVITY_POZICIE!$B$41-12*('TCO TO BE- SW'!$D151-1))&lt;0,0,(AKTIVITY_POZICIE!$B$41-12*('TCO TO BE- SW'!$D151-1))*((P$4+'TCO TO BE - HW'!P$4)/($E$4+'TCO TO BE - HW'!$E$4)*SUM(AKTIVITY_POZICIE!$M$41:$M$52)*1.2)/AKTIVITY_POZICIE!$B$41)),0)+IFERROR(SUM(#REF!)*'TCO TO BE- SW'!P$4/'TCO TO BE- SW'!$E$4,0)</f>
        <v>0</v>
      </c>
      <c r="Q151" s="575">
        <f>IFERROR(IF((POZICIE_INTERNE!$B$40-12*('TCO TO BE- SW'!$D151-1))&gt;12,((Q$4+'TCO TO BE - HW'!Q$4)/($E$4+'TCO TO BE - HW'!$E$4)*SUM(POZICIE_INTERNE!$I$40:$I$51))/POZICIE_INTERNE!$B$40*12,IF((POZICIE_INTERNE!$B$40-12*('TCO TO BE- SW'!$D151-1))&lt;0,0,(POZICIE_INTERNE!$B$40-12*('TCO TO BE- SW'!$D151-1))*((Q$4+'TCO TO BE - HW'!Q$4)/($E$4+'TCO TO BE - HW'!$E$4)*SUM(POZICIE_INTERNE!$I$40:$I$51))/POZICIE_INTERNE!$B$40)),0)+IFERROR(IF((AKTIVITY_POZICIE!$B$41-12*('TCO TO BE- SW'!$D151-1))&gt;12,((Q$4+'TCO TO BE - HW'!Q$4)/($E$4+'TCO TO BE - HW'!$E$4)*SUM(AKTIVITY_POZICIE!$M$41:$M$52)*1.2)/AKTIVITY_POZICIE!$B$41*12,IF((AKTIVITY_POZICIE!$B$41-12*('TCO TO BE- SW'!$D151-1))&lt;0,0,(AKTIVITY_POZICIE!$B$41-12*('TCO TO BE- SW'!$D151-1))*((Q$4+'TCO TO BE - HW'!Q$4)/($E$4+'TCO TO BE - HW'!$E$4)*SUM(AKTIVITY_POZICIE!$M$41:$M$52)*1.2)/AKTIVITY_POZICIE!$B$41)),0)+IFERROR(SUM(#REF!)*'TCO TO BE- SW'!Q$4/'TCO TO BE- SW'!$E$4,0)</f>
        <v>0</v>
      </c>
      <c r="R151" s="575">
        <f>IFERROR(IF((POZICIE_INTERNE!$B$40-12*('TCO TO BE- SW'!$D151-1))&gt;12,((R$4+'TCO TO BE - HW'!R$4)/($E$4+'TCO TO BE - HW'!$E$4)*SUM(POZICIE_INTERNE!$I$40:$I$51))/POZICIE_INTERNE!$B$40*12,IF((POZICIE_INTERNE!$B$40-12*('TCO TO BE- SW'!$D151-1))&lt;0,0,(POZICIE_INTERNE!$B$40-12*('TCO TO BE- SW'!$D151-1))*((R$4+'TCO TO BE - HW'!R$4)/($E$4+'TCO TO BE - HW'!$E$4)*SUM(POZICIE_INTERNE!$I$40:$I$51))/POZICIE_INTERNE!$B$40)),0)+IFERROR(IF((AKTIVITY_POZICIE!$B$41-12*('TCO TO BE- SW'!$D151-1))&gt;12,((R$4+'TCO TO BE - HW'!R$4)/($E$4+'TCO TO BE - HW'!$E$4)*SUM(AKTIVITY_POZICIE!$M$41:$M$52)*1.2)/AKTIVITY_POZICIE!$B$41*12,IF((AKTIVITY_POZICIE!$B$41-12*('TCO TO BE- SW'!$D151-1))&lt;0,0,(AKTIVITY_POZICIE!$B$41-12*('TCO TO BE- SW'!$D151-1))*((R$4+'TCO TO BE - HW'!R$4)/($E$4+'TCO TO BE - HW'!$E$4)*SUM(AKTIVITY_POZICIE!$M$41:$M$52)*1.2)/AKTIVITY_POZICIE!$B$41)),0)+IFERROR(SUM(#REF!)*'TCO TO BE- SW'!R$4/'TCO TO BE- SW'!$E$4,0)</f>
        <v>0</v>
      </c>
      <c r="S151" s="575">
        <f>IFERROR(IF((POZICIE_INTERNE!$B$40-12*('TCO TO BE- SW'!$D151-1))&gt;12,((S$4+'TCO TO BE - HW'!S$4)/($E$4+'TCO TO BE - HW'!$E$4)*SUM(POZICIE_INTERNE!$I$40:$I$51))/POZICIE_INTERNE!$B$40*12,IF((POZICIE_INTERNE!$B$40-12*('TCO TO BE- SW'!$D151-1))&lt;0,0,(POZICIE_INTERNE!$B$40-12*('TCO TO BE- SW'!$D151-1))*((S$4+'TCO TO BE - HW'!S$4)/($E$4+'TCO TO BE - HW'!$E$4)*SUM(POZICIE_INTERNE!$I$40:$I$51))/POZICIE_INTERNE!$B$40)),0)+IFERROR(IF((AKTIVITY_POZICIE!$B$41-12*('TCO TO BE- SW'!$D151-1))&gt;12,((S$4+'TCO TO BE - HW'!S$4)/($E$4+'TCO TO BE - HW'!$E$4)*SUM(AKTIVITY_POZICIE!$M$41:$M$52)*1.2)/AKTIVITY_POZICIE!$B$41*12,IF((AKTIVITY_POZICIE!$B$41-12*('TCO TO BE- SW'!$D151-1))&lt;0,0,(AKTIVITY_POZICIE!$B$41-12*('TCO TO BE- SW'!$D151-1))*((S$4+'TCO TO BE - HW'!S$4)/($E$4+'TCO TO BE - HW'!$E$4)*SUM(AKTIVITY_POZICIE!$M$41:$M$52)*1.2)/AKTIVITY_POZICIE!$B$41)),0)+IFERROR(SUM(#REF!)*'TCO TO BE- SW'!S$4/'TCO TO BE- SW'!$E$4,0)</f>
        <v>0</v>
      </c>
      <c r="T151" s="575">
        <f>IFERROR(IF((POZICIE_INTERNE!$B$40-12*('TCO TO BE- SW'!$D151-1))&gt;12,((T$4+'TCO TO BE - HW'!T$4)/($E$4+'TCO TO BE - HW'!$E$4)*SUM(POZICIE_INTERNE!$I$40:$I$51))/POZICIE_INTERNE!$B$40*12,IF((POZICIE_INTERNE!$B$40-12*('TCO TO BE- SW'!$D151-1))&lt;0,0,(POZICIE_INTERNE!$B$40-12*('TCO TO BE- SW'!$D151-1))*((T$4+'TCO TO BE - HW'!T$4)/($E$4+'TCO TO BE - HW'!$E$4)*SUM(POZICIE_INTERNE!$I$40:$I$51))/POZICIE_INTERNE!$B$40)),0)+IFERROR(IF((AKTIVITY_POZICIE!$B$41-12*('TCO TO BE- SW'!$D151-1))&gt;12,((T$4+'TCO TO BE - HW'!T$4)/($E$4+'TCO TO BE - HW'!$E$4)*SUM(AKTIVITY_POZICIE!$M$41:$M$52)*1.2)/AKTIVITY_POZICIE!$B$41*12,IF((AKTIVITY_POZICIE!$B$41-12*('TCO TO BE- SW'!$D151-1))&lt;0,0,(AKTIVITY_POZICIE!$B$41-12*('TCO TO BE- SW'!$D151-1))*((T$4+'TCO TO BE - HW'!T$4)/($E$4+'TCO TO BE - HW'!$E$4)*SUM(AKTIVITY_POZICIE!$M$41:$M$52)*1.2)/AKTIVITY_POZICIE!$B$41)),0)+IFERROR(SUM(#REF!)*'TCO TO BE- SW'!T$4/'TCO TO BE- SW'!$E$4,0)</f>
        <v>0</v>
      </c>
      <c r="U151" s="575">
        <f>IFERROR(IF((POZICIE_INTERNE!$B$40-12*('TCO TO BE- SW'!$D151-1))&gt;12,((U$4+'TCO TO BE - HW'!U$4)/($E$4+'TCO TO BE - HW'!$E$4)*SUM(POZICIE_INTERNE!$I$40:$I$51))/POZICIE_INTERNE!$B$40*12,IF((POZICIE_INTERNE!$B$40-12*('TCO TO BE- SW'!$D151-1))&lt;0,0,(POZICIE_INTERNE!$B$40-12*('TCO TO BE- SW'!$D151-1))*((U$4+'TCO TO BE - HW'!U$4)/($E$4+'TCO TO BE - HW'!$E$4)*SUM(POZICIE_INTERNE!$I$40:$I$51))/POZICIE_INTERNE!$B$40)),0)+IFERROR(IF((AKTIVITY_POZICIE!$B$41-12*('TCO TO BE- SW'!$D151-1))&gt;12,((U$4+'TCO TO BE - HW'!U$4)/($E$4+'TCO TO BE - HW'!$E$4)*SUM(AKTIVITY_POZICIE!$M$41:$M$52)*1.2)/AKTIVITY_POZICIE!$B$41*12,IF((AKTIVITY_POZICIE!$B$41-12*('TCO TO BE- SW'!$D151-1))&lt;0,0,(AKTIVITY_POZICIE!$B$41-12*('TCO TO BE- SW'!$D151-1))*((U$4+'TCO TO BE - HW'!U$4)/($E$4+'TCO TO BE - HW'!$E$4)*SUM(AKTIVITY_POZICIE!$M$41:$M$52)*1.2)/AKTIVITY_POZICIE!$B$41)),0)+IFERROR(SUM(#REF!)*'TCO TO BE- SW'!U$4/'TCO TO BE- SW'!$E$4,0)</f>
        <v>0</v>
      </c>
      <c r="V151" s="575">
        <f>IFERROR(IF((POZICIE_INTERNE!$B$40-12*('TCO TO BE- SW'!$D151-1))&gt;12,((V$4+'TCO TO BE - HW'!V$4)/($E$4+'TCO TO BE - HW'!$E$4)*SUM(POZICIE_INTERNE!$I$40:$I$51))/POZICIE_INTERNE!$B$40*12,IF((POZICIE_INTERNE!$B$40-12*('TCO TO BE- SW'!$D151-1))&lt;0,0,(POZICIE_INTERNE!$B$40-12*('TCO TO BE- SW'!$D151-1))*((V$4+'TCO TO BE - HW'!V$4)/($E$4+'TCO TO BE - HW'!$E$4)*SUM(POZICIE_INTERNE!$I$40:$I$51))/POZICIE_INTERNE!$B$40)),0)+IFERROR(IF((AKTIVITY_POZICIE!$B$41-12*('TCO TO BE- SW'!$D151-1))&gt;12,((V$4+'TCO TO BE - HW'!V$4)/($E$4+'TCO TO BE - HW'!$E$4)*SUM(AKTIVITY_POZICIE!$M$41:$M$52)*1.2)/AKTIVITY_POZICIE!$B$41*12,IF((AKTIVITY_POZICIE!$B$41-12*('TCO TO BE- SW'!$D151-1))&lt;0,0,(AKTIVITY_POZICIE!$B$41-12*('TCO TO BE- SW'!$D151-1))*((V$4+'TCO TO BE - HW'!V$4)/($E$4+'TCO TO BE - HW'!$E$4)*SUM(AKTIVITY_POZICIE!$M$41:$M$52)*1.2)/AKTIVITY_POZICIE!$B$41)),0)+IFERROR(SUM(#REF!)*'TCO TO BE- SW'!V$4/'TCO TO BE- SW'!$E$4,0)</f>
        <v>0</v>
      </c>
      <c r="W151" s="575">
        <f>IFERROR(IF((POZICIE_INTERNE!$B$40-12*('TCO TO BE- SW'!$D151-1))&gt;12,((W$4+'TCO TO BE - HW'!W$4)/($E$4+'TCO TO BE - HW'!$E$4)*SUM(POZICIE_INTERNE!$I$40:$I$51))/POZICIE_INTERNE!$B$40*12,IF((POZICIE_INTERNE!$B$40-12*('TCO TO BE- SW'!$D151-1))&lt;0,0,(POZICIE_INTERNE!$B$40-12*('TCO TO BE- SW'!$D151-1))*((W$4+'TCO TO BE - HW'!W$4)/($E$4+'TCO TO BE - HW'!$E$4)*SUM(POZICIE_INTERNE!$I$40:$I$51))/POZICIE_INTERNE!$B$40)),0)+IFERROR(IF((AKTIVITY_POZICIE!$B$41-12*('TCO TO BE- SW'!$D151-1))&gt;12,((W$4+'TCO TO BE - HW'!W$4)/($E$4+'TCO TO BE - HW'!$E$4)*SUM(AKTIVITY_POZICIE!$M$41:$M$52)*1.2)/AKTIVITY_POZICIE!$B$41*12,IF((AKTIVITY_POZICIE!$B$41-12*('TCO TO BE- SW'!$D151-1))&lt;0,0,(AKTIVITY_POZICIE!$B$41-12*('TCO TO BE- SW'!$D151-1))*((W$4+'TCO TO BE - HW'!W$4)/($E$4+'TCO TO BE - HW'!$E$4)*SUM(AKTIVITY_POZICIE!$M$41:$M$52)*1.2)/AKTIVITY_POZICIE!$B$41)),0)+IFERROR(SUM(#REF!)*'TCO TO BE- SW'!W$4/'TCO TO BE- SW'!$E$4,0)</f>
        <v>0</v>
      </c>
      <c r="X151" s="575">
        <f>IFERROR(IF((POZICIE_INTERNE!$B$40-12*('TCO TO BE- SW'!$D151-1))&gt;12,((X$4+'TCO TO BE - HW'!X$4)/($E$4+'TCO TO BE - HW'!$E$4)*SUM(POZICIE_INTERNE!$I$40:$I$51))/POZICIE_INTERNE!$B$40*12,IF((POZICIE_INTERNE!$B$40-12*('TCO TO BE- SW'!$D151-1))&lt;0,0,(POZICIE_INTERNE!$B$40-12*('TCO TO BE- SW'!$D151-1))*((X$4+'TCO TO BE - HW'!X$4)/($E$4+'TCO TO BE - HW'!$E$4)*SUM(POZICIE_INTERNE!$I$40:$I$51))/POZICIE_INTERNE!$B$40)),0)+IFERROR(IF((AKTIVITY_POZICIE!$B$41-12*('TCO TO BE- SW'!$D151-1))&gt;12,((X$4+'TCO TO BE - HW'!X$4)/($E$4+'TCO TO BE - HW'!$E$4)*SUM(AKTIVITY_POZICIE!$M$41:$M$52)*1.2)/AKTIVITY_POZICIE!$B$41*12,IF((AKTIVITY_POZICIE!$B$41-12*('TCO TO BE- SW'!$D151-1))&lt;0,0,(AKTIVITY_POZICIE!$B$41-12*('TCO TO BE- SW'!$D151-1))*((X$4+'TCO TO BE - HW'!X$4)/($E$4+'TCO TO BE - HW'!$E$4)*SUM(AKTIVITY_POZICIE!$M$41:$M$52)*1.2)/AKTIVITY_POZICIE!$B$41)),0)+IFERROR(SUM(#REF!)*'TCO TO BE- SW'!X$4/'TCO TO BE- SW'!$E$4,0)</f>
        <v>0</v>
      </c>
      <c r="Y151" s="575">
        <f>IFERROR(IF((POZICIE_INTERNE!$B$40-12*('TCO TO BE- SW'!$D151-1))&gt;12,((Y$4+'TCO TO BE - HW'!Y$4)/($E$4+'TCO TO BE - HW'!$E$4)*SUM(POZICIE_INTERNE!$I$40:$I$51))/POZICIE_INTERNE!$B$40*12,IF((POZICIE_INTERNE!$B$40-12*('TCO TO BE- SW'!$D151-1))&lt;0,0,(POZICIE_INTERNE!$B$40-12*('TCO TO BE- SW'!$D151-1))*((Y$4+'TCO TO BE - HW'!Y$4)/($E$4+'TCO TO BE - HW'!$E$4)*SUM(POZICIE_INTERNE!$I$40:$I$51))/POZICIE_INTERNE!$B$40)),0)+IFERROR(IF((AKTIVITY_POZICIE!$B$41-12*('TCO TO BE- SW'!$D151-1))&gt;12,((Y$4+'TCO TO BE - HW'!Y$4)/($E$4+'TCO TO BE - HW'!$E$4)*SUM(AKTIVITY_POZICIE!$M$41:$M$52)*1.2)/AKTIVITY_POZICIE!$B$41*12,IF((AKTIVITY_POZICIE!$B$41-12*('TCO TO BE- SW'!$D151-1))&lt;0,0,(AKTIVITY_POZICIE!$B$41-12*('TCO TO BE- SW'!$D151-1))*((Y$4+'TCO TO BE - HW'!Y$4)/($E$4+'TCO TO BE - HW'!$E$4)*SUM(AKTIVITY_POZICIE!$M$41:$M$52)*1.2)/AKTIVITY_POZICIE!$B$41)),0)+IFERROR(SUM(#REF!)*'TCO TO BE- SW'!Y$4/'TCO TO BE- SW'!$E$4,0)</f>
        <v>0</v>
      </c>
      <c r="Z151" s="575">
        <f>IFERROR(IF((POZICIE_INTERNE!$B$40-12*('TCO TO BE- SW'!$D151-1))&gt;12,((Z$4+'TCO TO BE - HW'!Z$4)/($E$4+'TCO TO BE - HW'!$E$4)*SUM(POZICIE_INTERNE!$I$40:$I$51))/POZICIE_INTERNE!$B$40*12,IF((POZICIE_INTERNE!$B$40-12*('TCO TO BE- SW'!$D151-1))&lt;0,0,(POZICIE_INTERNE!$B$40-12*('TCO TO BE- SW'!$D151-1))*((Z$4+'TCO TO BE - HW'!Z$4)/($E$4+'TCO TO BE - HW'!$E$4)*SUM(POZICIE_INTERNE!$I$40:$I$51))/POZICIE_INTERNE!$B$40)),0)+IFERROR(IF((AKTIVITY_POZICIE!$B$41-12*('TCO TO BE- SW'!$D151-1))&gt;12,((Z$4+'TCO TO BE - HW'!Z$4)/($E$4+'TCO TO BE - HW'!$E$4)*SUM(AKTIVITY_POZICIE!$M$41:$M$52)*1.2)/AKTIVITY_POZICIE!$B$41*12,IF((AKTIVITY_POZICIE!$B$41-12*('TCO TO BE- SW'!$D151-1))&lt;0,0,(AKTIVITY_POZICIE!$B$41-12*('TCO TO BE- SW'!$D151-1))*((Z$4+'TCO TO BE - HW'!Z$4)/($E$4+'TCO TO BE - HW'!$E$4)*SUM(AKTIVITY_POZICIE!$M$41:$M$52)*1.2)/AKTIVITY_POZICIE!$B$41)),0)+IFERROR(SUM(#REF!)*'TCO TO BE- SW'!Z$4/'TCO TO BE- SW'!$E$4,0)</f>
        <v>0</v>
      </c>
    </row>
    <row r="152" spans="1:26">
      <c r="A152" s="875"/>
      <c r="B152" s="876"/>
      <c r="C152" s="876"/>
      <c r="D152" s="64">
        <v>2</v>
      </c>
      <c r="E152" s="68">
        <f t="shared" si="16"/>
        <v>0</v>
      </c>
      <c r="F152" s="576">
        <f>IFERROR(IF((POZICIE_INTERNE!$B$40-12*('TCO TO BE- SW'!$D152-1))&gt;12,((F$4+'TCO TO BE - HW'!F$4)/($E$4+'TCO TO BE - HW'!$E$4)*SUM(POZICIE_INTERNE!$I$40:$I$51))/POZICIE_INTERNE!$B$40*12,IF((POZICIE_INTERNE!$B$40-12*('TCO TO BE- SW'!$D152-1))&lt;0,0,(POZICIE_INTERNE!$B$40-12*('TCO TO BE- SW'!$D152-1))*((F$4+'TCO TO BE - HW'!F$4)/($E$4+'TCO TO BE - HW'!$E$4)*SUM(POZICIE_INTERNE!$I$40:$I$51))/POZICIE_INTERNE!$B$40)),0)+IFERROR(IF((AKTIVITY_POZICIE!$B$41-12*('TCO TO BE- SW'!$D152-1))&gt;12,((F$4+'TCO TO BE - HW'!F$4)/($E$4+'TCO TO BE - HW'!$E$4)*SUM(AKTIVITY_POZICIE!$M$41:$M$52)*1.2)/AKTIVITY_POZICIE!$B$41*12,IF((AKTIVITY_POZICIE!$B$41-12*('TCO TO BE- SW'!$D152-1))&lt;0,0,(AKTIVITY_POZICIE!$B$41-12*('TCO TO BE- SW'!$D152-1))*((F$4+'TCO TO BE - HW'!F$4)/($E$4+'TCO TO BE - HW'!$E$4)*SUM(AKTIVITY_POZICIE!$M$41:$M$52)*1.2)/AKTIVITY_POZICIE!$B$41)),0)</f>
        <v>0</v>
      </c>
      <c r="G152" s="576">
        <f>IFERROR(IF((POZICIE_INTERNE!$B$40-12*('TCO TO BE- SW'!$D152-1))&gt;12,((G$4+'TCO TO BE - HW'!G$4)/($E$4+'TCO TO BE - HW'!$E$4)*SUM(POZICIE_INTERNE!$I$40:$I$51))/POZICIE_INTERNE!$B$40*12,IF((POZICIE_INTERNE!$B$40-12*('TCO TO BE- SW'!$D152-1))&lt;0,0,(POZICIE_INTERNE!$B$40-12*('TCO TO BE- SW'!$D152-1))*((G$4+'TCO TO BE - HW'!G$4)/($E$4+'TCO TO BE - HW'!$E$4)*SUM(POZICIE_INTERNE!$I$40:$I$51))/POZICIE_INTERNE!$B$40)),0)+IFERROR(IF((AKTIVITY_POZICIE!$B$41-12*('TCO TO BE- SW'!$D152-1))&gt;12,((G$4+'TCO TO BE - HW'!G$4)/($E$4+'TCO TO BE - HW'!$E$4)*SUM(AKTIVITY_POZICIE!$M$41:$M$52)*1.2)/AKTIVITY_POZICIE!$B$41*12,IF((AKTIVITY_POZICIE!$B$41-12*('TCO TO BE- SW'!$D152-1))&lt;0,0,(AKTIVITY_POZICIE!$B$41-12*('TCO TO BE- SW'!$D152-1))*((G$4+'TCO TO BE - HW'!G$4)/($E$4+'TCO TO BE - HW'!$E$4)*SUM(AKTIVITY_POZICIE!$M$41:$M$52)*1.2)/AKTIVITY_POZICIE!$B$41)),0)</f>
        <v>0</v>
      </c>
      <c r="H152" s="576">
        <f>IFERROR(IF((POZICIE_INTERNE!$B$40-12*('TCO TO BE- SW'!$D152-1))&gt;12,((H$4+'TCO TO BE - HW'!H$4)/($E$4+'TCO TO BE - HW'!$E$4)*SUM(POZICIE_INTERNE!$I$40:$I$51))/POZICIE_INTERNE!$B$40*12,IF((POZICIE_INTERNE!$B$40-12*('TCO TO BE- SW'!$D152-1))&lt;0,0,(POZICIE_INTERNE!$B$40-12*('TCO TO BE- SW'!$D152-1))*((H$4+'TCO TO BE - HW'!H$4)/($E$4+'TCO TO BE - HW'!$E$4)*SUM(POZICIE_INTERNE!$I$40:$I$51))/POZICIE_INTERNE!$B$40)),0)+IFERROR(IF((AKTIVITY_POZICIE!$B$41-12*('TCO TO BE- SW'!$D152-1))&gt;12,((H$4+'TCO TO BE - HW'!H$4)/($E$4+'TCO TO BE - HW'!$E$4)*SUM(AKTIVITY_POZICIE!$M$41:$M$52)*1.2)/AKTIVITY_POZICIE!$B$41*12,IF((AKTIVITY_POZICIE!$B$41-12*('TCO TO BE- SW'!$D152-1))&lt;0,0,(AKTIVITY_POZICIE!$B$41-12*('TCO TO BE- SW'!$D152-1))*((H$4+'TCO TO BE - HW'!H$4)/($E$4+'TCO TO BE - HW'!$E$4)*SUM(AKTIVITY_POZICIE!$M$41:$M$52)*1.2)/AKTIVITY_POZICIE!$B$41)),0)</f>
        <v>0</v>
      </c>
      <c r="I152" s="576">
        <f>IFERROR(IF((POZICIE_INTERNE!$B$40-12*('TCO TO BE- SW'!$D152-1))&gt;12,((I$4+'TCO TO BE - HW'!I$4)/($E$4+'TCO TO BE - HW'!$E$4)*SUM(POZICIE_INTERNE!$I$40:$I$51))/POZICIE_INTERNE!$B$40*12,IF((POZICIE_INTERNE!$B$40-12*('TCO TO BE- SW'!$D152-1))&lt;0,0,(POZICIE_INTERNE!$B$40-12*('TCO TO BE- SW'!$D152-1))*((I$4+'TCO TO BE - HW'!I$4)/($E$4+'TCO TO BE - HW'!$E$4)*SUM(POZICIE_INTERNE!$I$40:$I$51))/POZICIE_INTERNE!$B$40)),0)+IFERROR(IF((AKTIVITY_POZICIE!$B$41-12*('TCO TO BE- SW'!$D152-1))&gt;12,((I$4+'TCO TO BE - HW'!I$4)/($E$4+'TCO TO BE - HW'!$E$4)*SUM(AKTIVITY_POZICIE!$M$41:$M$52)*1.2)/AKTIVITY_POZICIE!$B$41*12,IF((AKTIVITY_POZICIE!$B$41-12*('TCO TO BE- SW'!$D152-1))&lt;0,0,(AKTIVITY_POZICIE!$B$41-12*('TCO TO BE- SW'!$D152-1))*((I$4+'TCO TO BE - HW'!I$4)/($E$4+'TCO TO BE - HW'!$E$4)*SUM(AKTIVITY_POZICIE!$M$41:$M$52)*1.2)/AKTIVITY_POZICIE!$B$41)),0)</f>
        <v>0</v>
      </c>
      <c r="J152" s="576">
        <f>IFERROR(IF((POZICIE_INTERNE!$B$40-12*('TCO TO BE- SW'!$D152-1))&gt;12,((J$4+'TCO TO BE - HW'!J$4)/($E$4+'TCO TO BE - HW'!$E$4)*SUM(POZICIE_INTERNE!$I$40:$I$51))/POZICIE_INTERNE!$B$40*12,IF((POZICIE_INTERNE!$B$40-12*('TCO TO BE- SW'!$D152-1))&lt;0,0,(POZICIE_INTERNE!$B$40-12*('TCO TO BE- SW'!$D152-1))*((J$4+'TCO TO BE - HW'!J$4)/($E$4+'TCO TO BE - HW'!$E$4)*SUM(POZICIE_INTERNE!$I$40:$I$51))/POZICIE_INTERNE!$B$40)),0)+IFERROR(IF((AKTIVITY_POZICIE!$B$41-12*('TCO TO BE- SW'!$D152-1))&gt;12,((J$4+'TCO TO BE - HW'!J$4)/($E$4+'TCO TO BE - HW'!$E$4)*SUM(AKTIVITY_POZICIE!$M$41:$M$52)*1.2)/AKTIVITY_POZICIE!$B$41*12,IF((AKTIVITY_POZICIE!$B$41-12*('TCO TO BE- SW'!$D152-1))&lt;0,0,(AKTIVITY_POZICIE!$B$41-12*('TCO TO BE- SW'!$D152-1))*((J$4+'TCO TO BE - HW'!J$4)/($E$4+'TCO TO BE - HW'!$E$4)*SUM(AKTIVITY_POZICIE!$M$41:$M$52)*1.2)/AKTIVITY_POZICIE!$B$41)),0)</f>
        <v>0</v>
      </c>
      <c r="K152" s="576">
        <f>IFERROR(IF((POZICIE_INTERNE!$B$40-12*('TCO TO BE- SW'!$D152-1))&gt;12,((K$4+'TCO TO BE - HW'!K$4)/($E$4+'TCO TO BE - HW'!$E$4)*SUM(POZICIE_INTERNE!$I$40:$I$51))/POZICIE_INTERNE!$B$40*12,IF((POZICIE_INTERNE!$B$40-12*('TCO TO BE- SW'!$D152-1))&lt;0,0,(POZICIE_INTERNE!$B$40-12*('TCO TO BE- SW'!$D152-1))*((K$4+'TCO TO BE - HW'!K$4)/($E$4+'TCO TO BE - HW'!$E$4)*SUM(POZICIE_INTERNE!$I$40:$I$51))/POZICIE_INTERNE!$B$40)),0)+IFERROR(IF((AKTIVITY_POZICIE!$B$41-12*('TCO TO BE- SW'!$D152-1))&gt;12,((K$4+'TCO TO BE - HW'!K$4)/($E$4+'TCO TO BE - HW'!$E$4)*SUM(AKTIVITY_POZICIE!$M$41:$M$52)*1.2)/AKTIVITY_POZICIE!$B$41*12,IF((AKTIVITY_POZICIE!$B$41-12*('TCO TO BE- SW'!$D152-1))&lt;0,0,(AKTIVITY_POZICIE!$B$41-12*('TCO TO BE- SW'!$D152-1))*((K$4+'TCO TO BE - HW'!K$4)/($E$4+'TCO TO BE - HW'!$E$4)*SUM(AKTIVITY_POZICIE!$M$41:$M$52)*1.2)/AKTIVITY_POZICIE!$B$41)),0)</f>
        <v>0</v>
      </c>
      <c r="L152" s="576">
        <f>IFERROR(IF((POZICIE_INTERNE!$B$40-12*('TCO TO BE- SW'!$D152-1))&gt;12,((L$4+'TCO TO BE - HW'!L$4)/($E$4+'TCO TO BE - HW'!$E$4)*SUM(POZICIE_INTERNE!$I$40:$I$51))/POZICIE_INTERNE!$B$40*12,IF((POZICIE_INTERNE!$B$40-12*('TCO TO BE- SW'!$D152-1))&lt;0,0,(POZICIE_INTERNE!$B$40-12*('TCO TO BE- SW'!$D152-1))*((L$4+'TCO TO BE - HW'!L$4)/($E$4+'TCO TO BE - HW'!$E$4)*SUM(POZICIE_INTERNE!$I$40:$I$51))/POZICIE_INTERNE!$B$40)),0)+IFERROR(IF((AKTIVITY_POZICIE!$B$41-12*('TCO TO BE- SW'!$D152-1))&gt;12,((L$4+'TCO TO BE - HW'!L$4)/($E$4+'TCO TO BE - HW'!$E$4)*SUM(AKTIVITY_POZICIE!$M$41:$M$52)*1.2)/AKTIVITY_POZICIE!$B$41*12,IF((AKTIVITY_POZICIE!$B$41-12*('TCO TO BE- SW'!$D152-1))&lt;0,0,(AKTIVITY_POZICIE!$B$41-12*('TCO TO BE- SW'!$D152-1))*((L$4+'TCO TO BE - HW'!L$4)/($E$4+'TCO TO BE - HW'!$E$4)*SUM(AKTIVITY_POZICIE!$M$41:$M$52)*1.2)/AKTIVITY_POZICIE!$B$41)),0)</f>
        <v>0</v>
      </c>
      <c r="M152" s="576">
        <f>IFERROR(IF((POZICIE_INTERNE!$B$40-12*('TCO TO BE- SW'!$D152-1))&gt;12,((M$4+'TCO TO BE - HW'!M$4)/($E$4+'TCO TO BE - HW'!$E$4)*SUM(POZICIE_INTERNE!$I$40:$I$51))/POZICIE_INTERNE!$B$40*12,IF((POZICIE_INTERNE!$B$40-12*('TCO TO BE- SW'!$D152-1))&lt;0,0,(POZICIE_INTERNE!$B$40-12*('TCO TO BE- SW'!$D152-1))*((M$4+'TCO TO BE - HW'!M$4)/($E$4+'TCO TO BE - HW'!$E$4)*SUM(POZICIE_INTERNE!$I$40:$I$51))/POZICIE_INTERNE!$B$40)),0)+IFERROR(IF((AKTIVITY_POZICIE!$B$41-12*('TCO TO BE- SW'!$D152-1))&gt;12,((M$4+'TCO TO BE - HW'!M$4)/($E$4+'TCO TO BE - HW'!$E$4)*SUM(AKTIVITY_POZICIE!$M$41:$M$52)*1.2)/AKTIVITY_POZICIE!$B$41*12,IF((AKTIVITY_POZICIE!$B$41-12*('TCO TO BE- SW'!$D152-1))&lt;0,0,(AKTIVITY_POZICIE!$B$41-12*('TCO TO BE- SW'!$D152-1))*((M$4+'TCO TO BE - HW'!M$4)/($E$4+'TCO TO BE - HW'!$E$4)*SUM(AKTIVITY_POZICIE!$M$41:$M$52)*1.2)/AKTIVITY_POZICIE!$B$41)),0)</f>
        <v>0</v>
      </c>
      <c r="N152" s="576">
        <f>IFERROR(IF((POZICIE_INTERNE!$B$40-12*('TCO TO BE- SW'!$D152-1))&gt;12,((N$4+'TCO TO BE - HW'!N$4)/($E$4+'TCO TO BE - HW'!$E$4)*SUM(POZICIE_INTERNE!$I$40:$I$51))/POZICIE_INTERNE!$B$40*12,IF((POZICIE_INTERNE!$B$40-12*('TCO TO BE- SW'!$D152-1))&lt;0,0,(POZICIE_INTERNE!$B$40-12*('TCO TO BE- SW'!$D152-1))*((N$4+'TCO TO BE - HW'!N$4)/($E$4+'TCO TO BE - HW'!$E$4)*SUM(POZICIE_INTERNE!$I$40:$I$51))/POZICIE_INTERNE!$B$40)),0)+IFERROR(IF((AKTIVITY_POZICIE!$B$41-12*('TCO TO BE- SW'!$D152-1))&gt;12,((N$4+'TCO TO BE - HW'!N$4)/($E$4+'TCO TO BE - HW'!$E$4)*SUM(AKTIVITY_POZICIE!$M$41:$M$52)*1.2)/AKTIVITY_POZICIE!$B$41*12,IF((AKTIVITY_POZICIE!$B$41-12*('TCO TO BE- SW'!$D152-1))&lt;0,0,(AKTIVITY_POZICIE!$B$41-12*('TCO TO BE- SW'!$D152-1))*((N$4+'TCO TO BE - HW'!N$4)/($E$4+'TCO TO BE - HW'!$E$4)*SUM(AKTIVITY_POZICIE!$M$41:$M$52)*1.2)/AKTIVITY_POZICIE!$B$41)),0)</f>
        <v>0</v>
      </c>
      <c r="O152" s="576">
        <f>IFERROR(IF((POZICIE_INTERNE!$B$40-12*('TCO TO BE- SW'!$D152-1))&gt;12,((O$4+'TCO TO BE - HW'!O$4)/($E$4+'TCO TO BE - HW'!$E$4)*SUM(POZICIE_INTERNE!$I$40:$I$51))/POZICIE_INTERNE!$B$40*12,IF((POZICIE_INTERNE!$B$40-12*('TCO TO BE- SW'!$D152-1))&lt;0,0,(POZICIE_INTERNE!$B$40-12*('TCO TO BE- SW'!$D152-1))*((O$4+'TCO TO BE - HW'!O$4)/($E$4+'TCO TO BE - HW'!$E$4)*SUM(POZICIE_INTERNE!$I$40:$I$51))/POZICIE_INTERNE!$B$40)),0)+IFERROR(IF((AKTIVITY_POZICIE!$B$41-12*('TCO TO BE- SW'!$D152-1))&gt;12,((O$4+'TCO TO BE - HW'!O$4)/($E$4+'TCO TO BE - HW'!$E$4)*SUM(AKTIVITY_POZICIE!$M$41:$M$52)*1.2)/AKTIVITY_POZICIE!$B$41*12,IF((AKTIVITY_POZICIE!$B$41-12*('TCO TO BE- SW'!$D152-1))&lt;0,0,(AKTIVITY_POZICIE!$B$41-12*('TCO TO BE- SW'!$D152-1))*((O$4+'TCO TO BE - HW'!O$4)/($E$4+'TCO TO BE - HW'!$E$4)*SUM(AKTIVITY_POZICIE!$M$41:$M$52)*1.2)/AKTIVITY_POZICIE!$B$41)),0)</f>
        <v>0</v>
      </c>
      <c r="P152" s="576">
        <f>IFERROR(IF((POZICIE_INTERNE!$B$40-12*('TCO TO BE- SW'!$D152-1))&gt;12,((P$4+'TCO TO BE - HW'!P$4)/($E$4+'TCO TO BE - HW'!$E$4)*SUM(POZICIE_INTERNE!$I$40:$I$51))/POZICIE_INTERNE!$B$40*12,IF((POZICIE_INTERNE!$B$40-12*('TCO TO BE- SW'!$D152-1))&lt;0,0,(POZICIE_INTERNE!$B$40-12*('TCO TO BE- SW'!$D152-1))*((P$4+'TCO TO BE - HW'!P$4)/($E$4+'TCO TO BE - HW'!$E$4)*SUM(POZICIE_INTERNE!$I$40:$I$51))/POZICIE_INTERNE!$B$40)),0)+IFERROR(IF((AKTIVITY_POZICIE!$B$41-12*('TCO TO BE- SW'!$D152-1))&gt;12,((P$4+'TCO TO BE - HW'!P$4)/($E$4+'TCO TO BE - HW'!$E$4)*SUM(AKTIVITY_POZICIE!$M$41:$M$52)*1.2)/AKTIVITY_POZICIE!$B$41*12,IF((AKTIVITY_POZICIE!$B$41-12*('TCO TO BE- SW'!$D152-1))&lt;0,0,(AKTIVITY_POZICIE!$B$41-12*('TCO TO BE- SW'!$D152-1))*((P$4+'TCO TO BE - HW'!P$4)/($E$4+'TCO TO BE - HW'!$E$4)*SUM(AKTIVITY_POZICIE!$M$41:$M$52)*1.2)/AKTIVITY_POZICIE!$B$41)),0)</f>
        <v>0</v>
      </c>
      <c r="Q152" s="576">
        <f>IFERROR(IF((POZICIE_INTERNE!$B$40-12*('TCO TO BE- SW'!$D152-1))&gt;12,((Q$4+'TCO TO BE - HW'!Q$4)/($E$4+'TCO TO BE - HW'!$E$4)*SUM(POZICIE_INTERNE!$I$40:$I$51))/POZICIE_INTERNE!$B$40*12,IF((POZICIE_INTERNE!$B$40-12*('TCO TO BE- SW'!$D152-1))&lt;0,0,(POZICIE_INTERNE!$B$40-12*('TCO TO BE- SW'!$D152-1))*((Q$4+'TCO TO BE - HW'!Q$4)/($E$4+'TCO TO BE - HW'!$E$4)*SUM(POZICIE_INTERNE!$I$40:$I$51))/POZICIE_INTERNE!$B$40)),0)+IFERROR(IF((AKTIVITY_POZICIE!$B$41-12*('TCO TO BE- SW'!$D152-1))&gt;12,((Q$4+'TCO TO BE - HW'!Q$4)/($E$4+'TCO TO BE - HW'!$E$4)*SUM(AKTIVITY_POZICIE!$M$41:$M$52)*1.2)/AKTIVITY_POZICIE!$B$41*12,IF((AKTIVITY_POZICIE!$B$41-12*('TCO TO BE- SW'!$D152-1))&lt;0,0,(AKTIVITY_POZICIE!$B$41-12*('TCO TO BE- SW'!$D152-1))*((Q$4+'TCO TO BE - HW'!Q$4)/($E$4+'TCO TO BE - HW'!$E$4)*SUM(AKTIVITY_POZICIE!$M$41:$M$52)*1.2)/AKTIVITY_POZICIE!$B$41)),0)</f>
        <v>0</v>
      </c>
      <c r="R152" s="576">
        <f>IFERROR(IF((POZICIE_INTERNE!$B$40-12*('TCO TO BE- SW'!$D152-1))&gt;12,((R$4+'TCO TO BE - HW'!R$4)/($E$4+'TCO TO BE - HW'!$E$4)*SUM(POZICIE_INTERNE!$I$40:$I$51))/POZICIE_INTERNE!$B$40*12,IF((POZICIE_INTERNE!$B$40-12*('TCO TO BE- SW'!$D152-1))&lt;0,0,(POZICIE_INTERNE!$B$40-12*('TCO TO BE- SW'!$D152-1))*((R$4+'TCO TO BE - HW'!R$4)/($E$4+'TCO TO BE - HW'!$E$4)*SUM(POZICIE_INTERNE!$I$40:$I$51))/POZICIE_INTERNE!$B$40)),0)+IFERROR(IF((AKTIVITY_POZICIE!$B$41-12*('TCO TO BE- SW'!$D152-1))&gt;12,((R$4+'TCO TO BE - HW'!R$4)/($E$4+'TCO TO BE - HW'!$E$4)*SUM(AKTIVITY_POZICIE!$M$41:$M$52)*1.2)/AKTIVITY_POZICIE!$B$41*12,IF((AKTIVITY_POZICIE!$B$41-12*('TCO TO BE- SW'!$D152-1))&lt;0,0,(AKTIVITY_POZICIE!$B$41-12*('TCO TO BE- SW'!$D152-1))*((R$4+'TCO TO BE - HW'!R$4)/($E$4+'TCO TO BE - HW'!$E$4)*SUM(AKTIVITY_POZICIE!$M$41:$M$52)*1.2)/AKTIVITY_POZICIE!$B$41)),0)</f>
        <v>0</v>
      </c>
      <c r="S152" s="576">
        <f>IFERROR(IF((POZICIE_INTERNE!$B$40-12*('TCO TO BE- SW'!$D152-1))&gt;12,((S$4+'TCO TO BE - HW'!S$4)/($E$4+'TCO TO BE - HW'!$E$4)*SUM(POZICIE_INTERNE!$I$40:$I$51))/POZICIE_INTERNE!$B$40*12,IF((POZICIE_INTERNE!$B$40-12*('TCO TO BE- SW'!$D152-1))&lt;0,0,(POZICIE_INTERNE!$B$40-12*('TCO TO BE- SW'!$D152-1))*((S$4+'TCO TO BE - HW'!S$4)/($E$4+'TCO TO BE - HW'!$E$4)*SUM(POZICIE_INTERNE!$I$40:$I$51))/POZICIE_INTERNE!$B$40)),0)+IFERROR(IF((AKTIVITY_POZICIE!$B$41-12*('TCO TO BE- SW'!$D152-1))&gt;12,((S$4+'TCO TO BE - HW'!S$4)/($E$4+'TCO TO BE - HW'!$E$4)*SUM(AKTIVITY_POZICIE!$M$41:$M$52)*1.2)/AKTIVITY_POZICIE!$B$41*12,IF((AKTIVITY_POZICIE!$B$41-12*('TCO TO BE- SW'!$D152-1))&lt;0,0,(AKTIVITY_POZICIE!$B$41-12*('TCO TO BE- SW'!$D152-1))*((S$4+'TCO TO BE - HW'!S$4)/($E$4+'TCO TO BE - HW'!$E$4)*SUM(AKTIVITY_POZICIE!$M$41:$M$52)*1.2)/AKTIVITY_POZICIE!$B$41)),0)</f>
        <v>0</v>
      </c>
      <c r="T152" s="576">
        <f>IFERROR(IF((POZICIE_INTERNE!$B$40-12*('TCO TO BE- SW'!$D152-1))&gt;12,((T$4+'TCO TO BE - HW'!T$4)/($E$4+'TCO TO BE - HW'!$E$4)*SUM(POZICIE_INTERNE!$I$40:$I$51))/POZICIE_INTERNE!$B$40*12,IF((POZICIE_INTERNE!$B$40-12*('TCO TO BE- SW'!$D152-1))&lt;0,0,(POZICIE_INTERNE!$B$40-12*('TCO TO BE- SW'!$D152-1))*((T$4+'TCO TO BE - HW'!T$4)/($E$4+'TCO TO BE - HW'!$E$4)*SUM(POZICIE_INTERNE!$I$40:$I$51))/POZICIE_INTERNE!$B$40)),0)+IFERROR(IF((AKTIVITY_POZICIE!$B$41-12*('TCO TO BE- SW'!$D152-1))&gt;12,((T$4+'TCO TO BE - HW'!T$4)/($E$4+'TCO TO BE - HW'!$E$4)*SUM(AKTIVITY_POZICIE!$M$41:$M$52)*1.2)/AKTIVITY_POZICIE!$B$41*12,IF((AKTIVITY_POZICIE!$B$41-12*('TCO TO BE- SW'!$D152-1))&lt;0,0,(AKTIVITY_POZICIE!$B$41-12*('TCO TO BE- SW'!$D152-1))*((T$4+'TCO TO BE - HW'!T$4)/($E$4+'TCO TO BE - HW'!$E$4)*SUM(AKTIVITY_POZICIE!$M$41:$M$52)*1.2)/AKTIVITY_POZICIE!$B$41)),0)</f>
        <v>0</v>
      </c>
      <c r="U152" s="576">
        <f>IFERROR(IF((POZICIE_INTERNE!$B$40-12*('TCO TO BE- SW'!$D152-1))&gt;12,((U$4+'TCO TO BE - HW'!U$4)/($E$4+'TCO TO BE - HW'!$E$4)*SUM(POZICIE_INTERNE!$I$40:$I$51))/POZICIE_INTERNE!$B$40*12,IF((POZICIE_INTERNE!$B$40-12*('TCO TO BE- SW'!$D152-1))&lt;0,0,(POZICIE_INTERNE!$B$40-12*('TCO TO BE- SW'!$D152-1))*((U$4+'TCO TO BE - HW'!U$4)/($E$4+'TCO TO BE - HW'!$E$4)*SUM(POZICIE_INTERNE!$I$40:$I$51))/POZICIE_INTERNE!$B$40)),0)+IFERROR(IF((AKTIVITY_POZICIE!$B$41-12*('TCO TO BE- SW'!$D152-1))&gt;12,((U$4+'TCO TO BE - HW'!U$4)/($E$4+'TCO TO BE - HW'!$E$4)*SUM(AKTIVITY_POZICIE!$M$41:$M$52)*1.2)/AKTIVITY_POZICIE!$B$41*12,IF((AKTIVITY_POZICIE!$B$41-12*('TCO TO BE- SW'!$D152-1))&lt;0,0,(AKTIVITY_POZICIE!$B$41-12*('TCO TO BE- SW'!$D152-1))*((U$4+'TCO TO BE - HW'!U$4)/($E$4+'TCO TO BE - HW'!$E$4)*SUM(AKTIVITY_POZICIE!$M$41:$M$52)*1.2)/AKTIVITY_POZICIE!$B$41)),0)</f>
        <v>0</v>
      </c>
      <c r="V152" s="576">
        <f>IFERROR(IF((POZICIE_INTERNE!$B$40-12*('TCO TO BE- SW'!$D152-1))&gt;12,((V$4+'TCO TO BE - HW'!V$4)/($E$4+'TCO TO BE - HW'!$E$4)*SUM(POZICIE_INTERNE!$I$40:$I$51))/POZICIE_INTERNE!$B$40*12,IF((POZICIE_INTERNE!$B$40-12*('TCO TO BE- SW'!$D152-1))&lt;0,0,(POZICIE_INTERNE!$B$40-12*('TCO TO BE- SW'!$D152-1))*((V$4+'TCO TO BE - HW'!V$4)/($E$4+'TCO TO BE - HW'!$E$4)*SUM(POZICIE_INTERNE!$I$40:$I$51))/POZICIE_INTERNE!$B$40)),0)+IFERROR(IF((AKTIVITY_POZICIE!$B$41-12*('TCO TO BE- SW'!$D152-1))&gt;12,((V$4+'TCO TO BE - HW'!V$4)/($E$4+'TCO TO BE - HW'!$E$4)*SUM(AKTIVITY_POZICIE!$M$41:$M$52)*1.2)/AKTIVITY_POZICIE!$B$41*12,IF((AKTIVITY_POZICIE!$B$41-12*('TCO TO BE- SW'!$D152-1))&lt;0,0,(AKTIVITY_POZICIE!$B$41-12*('TCO TO BE- SW'!$D152-1))*((V$4+'TCO TO BE - HW'!V$4)/($E$4+'TCO TO BE - HW'!$E$4)*SUM(AKTIVITY_POZICIE!$M$41:$M$52)*1.2)/AKTIVITY_POZICIE!$B$41)),0)</f>
        <v>0</v>
      </c>
      <c r="W152" s="576">
        <f>IFERROR(IF((POZICIE_INTERNE!$B$40-12*('TCO TO BE- SW'!$D152-1))&gt;12,((W$4+'TCO TO BE - HW'!W$4)/($E$4+'TCO TO BE - HW'!$E$4)*SUM(POZICIE_INTERNE!$I$40:$I$51))/POZICIE_INTERNE!$B$40*12,IF((POZICIE_INTERNE!$B$40-12*('TCO TO BE- SW'!$D152-1))&lt;0,0,(POZICIE_INTERNE!$B$40-12*('TCO TO BE- SW'!$D152-1))*((W$4+'TCO TO BE - HW'!W$4)/($E$4+'TCO TO BE - HW'!$E$4)*SUM(POZICIE_INTERNE!$I$40:$I$51))/POZICIE_INTERNE!$B$40)),0)+IFERROR(IF((AKTIVITY_POZICIE!$B$41-12*('TCO TO BE- SW'!$D152-1))&gt;12,((W$4+'TCO TO BE - HW'!W$4)/($E$4+'TCO TO BE - HW'!$E$4)*SUM(AKTIVITY_POZICIE!$M$41:$M$52)*1.2)/AKTIVITY_POZICIE!$B$41*12,IF((AKTIVITY_POZICIE!$B$41-12*('TCO TO BE- SW'!$D152-1))&lt;0,0,(AKTIVITY_POZICIE!$B$41-12*('TCO TO BE- SW'!$D152-1))*((W$4+'TCO TO BE - HW'!W$4)/($E$4+'TCO TO BE - HW'!$E$4)*SUM(AKTIVITY_POZICIE!$M$41:$M$52)*1.2)/AKTIVITY_POZICIE!$B$41)),0)</f>
        <v>0</v>
      </c>
      <c r="X152" s="576">
        <f>IFERROR(IF((POZICIE_INTERNE!$B$40-12*('TCO TO BE- SW'!$D152-1))&gt;12,((X$4+'TCO TO BE - HW'!X$4)/($E$4+'TCO TO BE - HW'!$E$4)*SUM(POZICIE_INTERNE!$I$40:$I$51))/POZICIE_INTERNE!$B$40*12,IF((POZICIE_INTERNE!$B$40-12*('TCO TO BE- SW'!$D152-1))&lt;0,0,(POZICIE_INTERNE!$B$40-12*('TCO TO BE- SW'!$D152-1))*((X$4+'TCO TO BE - HW'!X$4)/($E$4+'TCO TO BE - HW'!$E$4)*SUM(POZICIE_INTERNE!$I$40:$I$51))/POZICIE_INTERNE!$B$40)),0)+IFERROR(IF((AKTIVITY_POZICIE!$B$41-12*('TCO TO BE- SW'!$D152-1))&gt;12,((X$4+'TCO TO BE - HW'!X$4)/($E$4+'TCO TO BE - HW'!$E$4)*SUM(AKTIVITY_POZICIE!$M$41:$M$52)*1.2)/AKTIVITY_POZICIE!$B$41*12,IF((AKTIVITY_POZICIE!$B$41-12*('TCO TO BE- SW'!$D152-1))&lt;0,0,(AKTIVITY_POZICIE!$B$41-12*('TCO TO BE- SW'!$D152-1))*((X$4+'TCO TO BE - HW'!X$4)/($E$4+'TCO TO BE - HW'!$E$4)*SUM(AKTIVITY_POZICIE!$M$41:$M$52)*1.2)/AKTIVITY_POZICIE!$B$41)),0)</f>
        <v>0</v>
      </c>
      <c r="Y152" s="576">
        <f>IFERROR(IF((POZICIE_INTERNE!$B$40-12*('TCO TO BE- SW'!$D152-1))&gt;12,((Y$4+'TCO TO BE - HW'!Y$4)/($E$4+'TCO TO BE - HW'!$E$4)*SUM(POZICIE_INTERNE!$I$40:$I$51))/POZICIE_INTERNE!$B$40*12,IF((POZICIE_INTERNE!$B$40-12*('TCO TO BE- SW'!$D152-1))&lt;0,0,(POZICIE_INTERNE!$B$40-12*('TCO TO BE- SW'!$D152-1))*((Y$4+'TCO TO BE - HW'!Y$4)/($E$4+'TCO TO BE - HW'!$E$4)*SUM(POZICIE_INTERNE!$I$40:$I$51))/POZICIE_INTERNE!$B$40)),0)+IFERROR(IF((AKTIVITY_POZICIE!$B$41-12*('TCO TO BE- SW'!$D152-1))&gt;12,((Y$4+'TCO TO BE - HW'!Y$4)/($E$4+'TCO TO BE - HW'!$E$4)*SUM(AKTIVITY_POZICIE!$M$41:$M$52)*1.2)/AKTIVITY_POZICIE!$B$41*12,IF((AKTIVITY_POZICIE!$B$41-12*('TCO TO BE- SW'!$D152-1))&lt;0,0,(AKTIVITY_POZICIE!$B$41-12*('TCO TO BE- SW'!$D152-1))*((Y$4+'TCO TO BE - HW'!Y$4)/($E$4+'TCO TO BE - HW'!$E$4)*SUM(AKTIVITY_POZICIE!$M$41:$M$52)*1.2)/AKTIVITY_POZICIE!$B$41)),0)</f>
        <v>0</v>
      </c>
      <c r="Z152" s="576">
        <f>IFERROR(IF((POZICIE_INTERNE!$B$40-12*('TCO TO BE- SW'!$D152-1))&gt;12,((Z$4+'TCO TO BE - HW'!Z$4)/($E$4+'TCO TO BE - HW'!$E$4)*SUM(POZICIE_INTERNE!$I$40:$I$51))/POZICIE_INTERNE!$B$40*12,IF((POZICIE_INTERNE!$B$40-12*('TCO TO BE- SW'!$D152-1))&lt;0,0,(POZICIE_INTERNE!$B$40-12*('TCO TO BE- SW'!$D152-1))*((Z$4+'TCO TO BE - HW'!Z$4)/($E$4+'TCO TO BE - HW'!$E$4)*SUM(POZICIE_INTERNE!$I$40:$I$51))/POZICIE_INTERNE!$B$40)),0)+IFERROR(IF((AKTIVITY_POZICIE!$B$41-12*('TCO TO BE- SW'!$D152-1))&gt;12,((Z$4+'TCO TO BE - HW'!Z$4)/($E$4+'TCO TO BE - HW'!$E$4)*SUM(AKTIVITY_POZICIE!$M$41:$M$52)*1.2)/AKTIVITY_POZICIE!$B$41*12,IF((AKTIVITY_POZICIE!$B$41-12*('TCO TO BE- SW'!$D152-1))&lt;0,0,(AKTIVITY_POZICIE!$B$41-12*('TCO TO BE- SW'!$D152-1))*((Z$4+'TCO TO BE - HW'!Z$4)/($E$4+'TCO TO BE - HW'!$E$4)*SUM(AKTIVITY_POZICIE!$M$41:$M$52)*1.2)/AKTIVITY_POZICIE!$B$41)),0)</f>
        <v>0</v>
      </c>
    </row>
    <row r="153" spans="1:26">
      <c r="A153" s="875"/>
      <c r="B153" s="876"/>
      <c r="C153" s="876"/>
      <c r="D153" s="64">
        <v>3</v>
      </c>
      <c r="E153" s="68">
        <f t="shared" si="16"/>
        <v>0</v>
      </c>
      <c r="F153" s="576">
        <f>IFERROR(IF((POZICIE_INTERNE!$B$40-12*('TCO TO BE- SW'!$D153-1))&gt;12,((F$4+'TCO TO BE - HW'!F$4)/($E$4+'TCO TO BE - HW'!$E$4)*SUM(POZICIE_INTERNE!$I$40:$I$51))/POZICIE_INTERNE!$B$40*12,IF((POZICIE_INTERNE!$B$40-12*('TCO TO BE- SW'!$D153-1))&lt;0,0,(POZICIE_INTERNE!$B$40-12*('TCO TO BE- SW'!$D153-1))*((F$4+'TCO TO BE - HW'!F$4)/($E$4+'TCO TO BE - HW'!$E$4)*SUM(POZICIE_INTERNE!$I$40:$I$51))/POZICIE_INTERNE!$B$40)),0)+IFERROR(IF((AKTIVITY_POZICIE!$B$41-12*('TCO TO BE- SW'!$D153-1))&gt;12,((F$4+'TCO TO BE - HW'!F$4)/($E$4+'TCO TO BE - HW'!$E$4)*SUM(AKTIVITY_POZICIE!$M$41:$M$52)*1.2)/AKTIVITY_POZICIE!$B$41*12,IF((AKTIVITY_POZICIE!$B$41-12*('TCO TO BE- SW'!$D153-1))&lt;0,0,(AKTIVITY_POZICIE!$B$41-12*('TCO TO BE- SW'!$D153-1))*((F$4+'TCO TO BE - HW'!F$4)/($E$4+'TCO TO BE - HW'!$E$4)*SUM(AKTIVITY_POZICIE!$M$41:$M$52)*1.2)/AKTIVITY_POZICIE!$B$41)),0)</f>
        <v>0</v>
      </c>
      <c r="G153" s="576">
        <f>IFERROR(IF((POZICIE_INTERNE!$B$40-12*('TCO TO BE- SW'!$D153-1))&gt;12,((G$4+'TCO TO BE - HW'!G$4)/($E$4+'TCO TO BE - HW'!$E$4)*SUM(POZICIE_INTERNE!$I$40:$I$51))/POZICIE_INTERNE!$B$40*12,IF((POZICIE_INTERNE!$B$40-12*('TCO TO BE- SW'!$D153-1))&lt;0,0,(POZICIE_INTERNE!$B$40-12*('TCO TO BE- SW'!$D153-1))*((G$4+'TCO TO BE - HW'!G$4)/($E$4+'TCO TO BE - HW'!$E$4)*SUM(POZICIE_INTERNE!$I$40:$I$51))/POZICIE_INTERNE!$B$40)),0)+IFERROR(IF((AKTIVITY_POZICIE!$B$41-12*('TCO TO BE- SW'!$D153-1))&gt;12,((G$4+'TCO TO BE - HW'!G$4)/($E$4+'TCO TO BE - HW'!$E$4)*SUM(AKTIVITY_POZICIE!$M$41:$M$52)*1.2)/AKTIVITY_POZICIE!$B$41*12,IF((AKTIVITY_POZICIE!$B$41-12*('TCO TO BE- SW'!$D153-1))&lt;0,0,(AKTIVITY_POZICIE!$B$41-12*('TCO TO BE- SW'!$D153-1))*((G$4+'TCO TO BE - HW'!G$4)/($E$4+'TCO TO BE - HW'!$E$4)*SUM(AKTIVITY_POZICIE!$M$41:$M$52)*1.2)/AKTIVITY_POZICIE!$B$41)),0)</f>
        <v>0</v>
      </c>
      <c r="H153" s="576">
        <f>IFERROR(IF((POZICIE_INTERNE!$B$40-12*('TCO TO BE- SW'!$D153-1))&gt;12,((H$4+'TCO TO BE - HW'!H$4)/($E$4+'TCO TO BE - HW'!$E$4)*SUM(POZICIE_INTERNE!$I$40:$I$51))/POZICIE_INTERNE!$B$40*12,IF((POZICIE_INTERNE!$B$40-12*('TCO TO BE- SW'!$D153-1))&lt;0,0,(POZICIE_INTERNE!$B$40-12*('TCO TO BE- SW'!$D153-1))*((H$4+'TCO TO BE - HW'!H$4)/($E$4+'TCO TO BE - HW'!$E$4)*SUM(POZICIE_INTERNE!$I$40:$I$51))/POZICIE_INTERNE!$B$40)),0)+IFERROR(IF((AKTIVITY_POZICIE!$B$41-12*('TCO TO BE- SW'!$D153-1))&gt;12,((H$4+'TCO TO BE - HW'!H$4)/($E$4+'TCO TO BE - HW'!$E$4)*SUM(AKTIVITY_POZICIE!$M$41:$M$52)*1.2)/AKTIVITY_POZICIE!$B$41*12,IF((AKTIVITY_POZICIE!$B$41-12*('TCO TO BE- SW'!$D153-1))&lt;0,0,(AKTIVITY_POZICIE!$B$41-12*('TCO TO BE- SW'!$D153-1))*((H$4+'TCO TO BE - HW'!H$4)/($E$4+'TCO TO BE - HW'!$E$4)*SUM(AKTIVITY_POZICIE!$M$41:$M$52)*1.2)/AKTIVITY_POZICIE!$B$41)),0)</f>
        <v>0</v>
      </c>
      <c r="I153" s="576">
        <f>IFERROR(IF((POZICIE_INTERNE!$B$40-12*('TCO TO BE- SW'!$D153-1))&gt;12,((I$4+'TCO TO BE - HW'!I$4)/($E$4+'TCO TO BE - HW'!$E$4)*SUM(POZICIE_INTERNE!$I$40:$I$51))/POZICIE_INTERNE!$B$40*12,IF((POZICIE_INTERNE!$B$40-12*('TCO TO BE- SW'!$D153-1))&lt;0,0,(POZICIE_INTERNE!$B$40-12*('TCO TO BE- SW'!$D153-1))*((I$4+'TCO TO BE - HW'!I$4)/($E$4+'TCO TO BE - HW'!$E$4)*SUM(POZICIE_INTERNE!$I$40:$I$51))/POZICIE_INTERNE!$B$40)),0)+IFERROR(IF((AKTIVITY_POZICIE!$B$41-12*('TCO TO BE- SW'!$D153-1))&gt;12,((I$4+'TCO TO BE - HW'!I$4)/($E$4+'TCO TO BE - HW'!$E$4)*SUM(AKTIVITY_POZICIE!$M$41:$M$52)*1.2)/AKTIVITY_POZICIE!$B$41*12,IF((AKTIVITY_POZICIE!$B$41-12*('TCO TO BE- SW'!$D153-1))&lt;0,0,(AKTIVITY_POZICIE!$B$41-12*('TCO TO BE- SW'!$D153-1))*((I$4+'TCO TO BE - HW'!I$4)/($E$4+'TCO TO BE - HW'!$E$4)*SUM(AKTIVITY_POZICIE!$M$41:$M$52)*1.2)/AKTIVITY_POZICIE!$B$41)),0)</f>
        <v>0</v>
      </c>
      <c r="J153" s="576">
        <f>IFERROR(IF((POZICIE_INTERNE!$B$40-12*('TCO TO BE- SW'!$D153-1))&gt;12,((J$4+'TCO TO BE - HW'!J$4)/($E$4+'TCO TO BE - HW'!$E$4)*SUM(POZICIE_INTERNE!$I$40:$I$51))/POZICIE_INTERNE!$B$40*12,IF((POZICIE_INTERNE!$B$40-12*('TCO TO BE- SW'!$D153-1))&lt;0,0,(POZICIE_INTERNE!$B$40-12*('TCO TO BE- SW'!$D153-1))*((J$4+'TCO TO BE - HW'!J$4)/($E$4+'TCO TO BE - HW'!$E$4)*SUM(POZICIE_INTERNE!$I$40:$I$51))/POZICIE_INTERNE!$B$40)),0)+IFERROR(IF((AKTIVITY_POZICIE!$B$41-12*('TCO TO BE- SW'!$D153-1))&gt;12,((J$4+'TCO TO BE - HW'!J$4)/($E$4+'TCO TO BE - HW'!$E$4)*SUM(AKTIVITY_POZICIE!$M$41:$M$52)*1.2)/AKTIVITY_POZICIE!$B$41*12,IF((AKTIVITY_POZICIE!$B$41-12*('TCO TO BE- SW'!$D153-1))&lt;0,0,(AKTIVITY_POZICIE!$B$41-12*('TCO TO BE- SW'!$D153-1))*((J$4+'TCO TO BE - HW'!J$4)/($E$4+'TCO TO BE - HW'!$E$4)*SUM(AKTIVITY_POZICIE!$M$41:$M$52)*1.2)/AKTIVITY_POZICIE!$B$41)),0)</f>
        <v>0</v>
      </c>
      <c r="K153" s="576">
        <f>IFERROR(IF((POZICIE_INTERNE!$B$40-12*('TCO TO BE- SW'!$D153-1))&gt;12,((K$4+'TCO TO BE - HW'!K$4)/($E$4+'TCO TO BE - HW'!$E$4)*SUM(POZICIE_INTERNE!$I$40:$I$51))/POZICIE_INTERNE!$B$40*12,IF((POZICIE_INTERNE!$B$40-12*('TCO TO BE- SW'!$D153-1))&lt;0,0,(POZICIE_INTERNE!$B$40-12*('TCO TO BE- SW'!$D153-1))*((K$4+'TCO TO BE - HW'!K$4)/($E$4+'TCO TO BE - HW'!$E$4)*SUM(POZICIE_INTERNE!$I$40:$I$51))/POZICIE_INTERNE!$B$40)),0)+IFERROR(IF((AKTIVITY_POZICIE!$B$41-12*('TCO TO BE- SW'!$D153-1))&gt;12,((K$4+'TCO TO BE - HW'!K$4)/($E$4+'TCO TO BE - HW'!$E$4)*SUM(AKTIVITY_POZICIE!$M$41:$M$52)*1.2)/AKTIVITY_POZICIE!$B$41*12,IF((AKTIVITY_POZICIE!$B$41-12*('TCO TO BE- SW'!$D153-1))&lt;0,0,(AKTIVITY_POZICIE!$B$41-12*('TCO TO BE- SW'!$D153-1))*((K$4+'TCO TO BE - HW'!K$4)/($E$4+'TCO TO BE - HW'!$E$4)*SUM(AKTIVITY_POZICIE!$M$41:$M$52)*1.2)/AKTIVITY_POZICIE!$B$41)),0)</f>
        <v>0</v>
      </c>
      <c r="L153" s="576">
        <f>IFERROR(IF((POZICIE_INTERNE!$B$40-12*('TCO TO BE- SW'!$D153-1))&gt;12,((L$4+'TCO TO BE - HW'!L$4)/($E$4+'TCO TO BE - HW'!$E$4)*SUM(POZICIE_INTERNE!$I$40:$I$51))/POZICIE_INTERNE!$B$40*12,IF((POZICIE_INTERNE!$B$40-12*('TCO TO BE- SW'!$D153-1))&lt;0,0,(POZICIE_INTERNE!$B$40-12*('TCO TO BE- SW'!$D153-1))*((L$4+'TCO TO BE - HW'!L$4)/($E$4+'TCO TO BE - HW'!$E$4)*SUM(POZICIE_INTERNE!$I$40:$I$51))/POZICIE_INTERNE!$B$40)),0)+IFERROR(IF((AKTIVITY_POZICIE!$B$41-12*('TCO TO BE- SW'!$D153-1))&gt;12,((L$4+'TCO TO BE - HW'!L$4)/($E$4+'TCO TO BE - HW'!$E$4)*SUM(AKTIVITY_POZICIE!$M$41:$M$52)*1.2)/AKTIVITY_POZICIE!$B$41*12,IF((AKTIVITY_POZICIE!$B$41-12*('TCO TO BE- SW'!$D153-1))&lt;0,0,(AKTIVITY_POZICIE!$B$41-12*('TCO TO BE- SW'!$D153-1))*((L$4+'TCO TO BE - HW'!L$4)/($E$4+'TCO TO BE - HW'!$E$4)*SUM(AKTIVITY_POZICIE!$M$41:$M$52)*1.2)/AKTIVITY_POZICIE!$B$41)),0)</f>
        <v>0</v>
      </c>
      <c r="M153" s="576">
        <f>IFERROR(IF((POZICIE_INTERNE!$B$40-12*('TCO TO BE- SW'!$D153-1))&gt;12,((M$4+'TCO TO BE - HW'!M$4)/($E$4+'TCO TO BE - HW'!$E$4)*SUM(POZICIE_INTERNE!$I$40:$I$51))/POZICIE_INTERNE!$B$40*12,IF((POZICIE_INTERNE!$B$40-12*('TCO TO BE- SW'!$D153-1))&lt;0,0,(POZICIE_INTERNE!$B$40-12*('TCO TO BE- SW'!$D153-1))*((M$4+'TCO TO BE - HW'!M$4)/($E$4+'TCO TO BE - HW'!$E$4)*SUM(POZICIE_INTERNE!$I$40:$I$51))/POZICIE_INTERNE!$B$40)),0)+IFERROR(IF((AKTIVITY_POZICIE!$B$41-12*('TCO TO BE- SW'!$D153-1))&gt;12,((M$4+'TCO TO BE - HW'!M$4)/($E$4+'TCO TO BE - HW'!$E$4)*SUM(AKTIVITY_POZICIE!$M$41:$M$52)*1.2)/AKTIVITY_POZICIE!$B$41*12,IF((AKTIVITY_POZICIE!$B$41-12*('TCO TO BE- SW'!$D153-1))&lt;0,0,(AKTIVITY_POZICIE!$B$41-12*('TCO TO BE- SW'!$D153-1))*((M$4+'TCO TO BE - HW'!M$4)/($E$4+'TCO TO BE - HW'!$E$4)*SUM(AKTIVITY_POZICIE!$M$41:$M$52)*1.2)/AKTIVITY_POZICIE!$B$41)),0)</f>
        <v>0</v>
      </c>
      <c r="N153" s="576">
        <f>IFERROR(IF((POZICIE_INTERNE!$B$40-12*('TCO TO BE- SW'!$D153-1))&gt;12,((N$4+'TCO TO BE - HW'!N$4)/($E$4+'TCO TO BE - HW'!$E$4)*SUM(POZICIE_INTERNE!$I$40:$I$51))/POZICIE_INTERNE!$B$40*12,IF((POZICIE_INTERNE!$B$40-12*('TCO TO BE- SW'!$D153-1))&lt;0,0,(POZICIE_INTERNE!$B$40-12*('TCO TO BE- SW'!$D153-1))*((N$4+'TCO TO BE - HW'!N$4)/($E$4+'TCO TO BE - HW'!$E$4)*SUM(POZICIE_INTERNE!$I$40:$I$51))/POZICIE_INTERNE!$B$40)),0)+IFERROR(IF((AKTIVITY_POZICIE!$B$41-12*('TCO TO BE- SW'!$D153-1))&gt;12,((N$4+'TCO TO BE - HW'!N$4)/($E$4+'TCO TO BE - HW'!$E$4)*SUM(AKTIVITY_POZICIE!$M$41:$M$52)*1.2)/AKTIVITY_POZICIE!$B$41*12,IF((AKTIVITY_POZICIE!$B$41-12*('TCO TO BE- SW'!$D153-1))&lt;0,0,(AKTIVITY_POZICIE!$B$41-12*('TCO TO BE- SW'!$D153-1))*((N$4+'TCO TO BE - HW'!N$4)/($E$4+'TCO TO BE - HW'!$E$4)*SUM(AKTIVITY_POZICIE!$M$41:$M$52)*1.2)/AKTIVITY_POZICIE!$B$41)),0)</f>
        <v>0</v>
      </c>
      <c r="O153" s="576">
        <f>IFERROR(IF((POZICIE_INTERNE!$B$40-12*('TCO TO BE- SW'!$D153-1))&gt;12,((O$4+'TCO TO BE - HW'!O$4)/($E$4+'TCO TO BE - HW'!$E$4)*SUM(POZICIE_INTERNE!$I$40:$I$51))/POZICIE_INTERNE!$B$40*12,IF((POZICIE_INTERNE!$B$40-12*('TCO TO BE- SW'!$D153-1))&lt;0,0,(POZICIE_INTERNE!$B$40-12*('TCO TO BE- SW'!$D153-1))*((O$4+'TCO TO BE - HW'!O$4)/($E$4+'TCO TO BE - HW'!$E$4)*SUM(POZICIE_INTERNE!$I$40:$I$51))/POZICIE_INTERNE!$B$40)),0)+IFERROR(IF((AKTIVITY_POZICIE!$B$41-12*('TCO TO BE- SW'!$D153-1))&gt;12,((O$4+'TCO TO BE - HW'!O$4)/($E$4+'TCO TO BE - HW'!$E$4)*SUM(AKTIVITY_POZICIE!$M$41:$M$52)*1.2)/AKTIVITY_POZICIE!$B$41*12,IF((AKTIVITY_POZICIE!$B$41-12*('TCO TO BE- SW'!$D153-1))&lt;0,0,(AKTIVITY_POZICIE!$B$41-12*('TCO TO BE- SW'!$D153-1))*((O$4+'TCO TO BE - HW'!O$4)/($E$4+'TCO TO BE - HW'!$E$4)*SUM(AKTIVITY_POZICIE!$M$41:$M$52)*1.2)/AKTIVITY_POZICIE!$B$41)),0)</f>
        <v>0</v>
      </c>
      <c r="P153" s="576">
        <f>IFERROR(IF((POZICIE_INTERNE!$B$40-12*('TCO TO BE- SW'!$D153-1))&gt;12,((P$4+'TCO TO BE - HW'!P$4)/($E$4+'TCO TO BE - HW'!$E$4)*SUM(POZICIE_INTERNE!$I$40:$I$51))/POZICIE_INTERNE!$B$40*12,IF((POZICIE_INTERNE!$B$40-12*('TCO TO BE- SW'!$D153-1))&lt;0,0,(POZICIE_INTERNE!$B$40-12*('TCO TO BE- SW'!$D153-1))*((P$4+'TCO TO BE - HW'!P$4)/($E$4+'TCO TO BE - HW'!$E$4)*SUM(POZICIE_INTERNE!$I$40:$I$51))/POZICIE_INTERNE!$B$40)),0)+IFERROR(IF((AKTIVITY_POZICIE!$B$41-12*('TCO TO BE- SW'!$D153-1))&gt;12,((P$4+'TCO TO BE - HW'!P$4)/($E$4+'TCO TO BE - HW'!$E$4)*SUM(AKTIVITY_POZICIE!$M$41:$M$52)*1.2)/AKTIVITY_POZICIE!$B$41*12,IF((AKTIVITY_POZICIE!$B$41-12*('TCO TO BE- SW'!$D153-1))&lt;0,0,(AKTIVITY_POZICIE!$B$41-12*('TCO TO BE- SW'!$D153-1))*((P$4+'TCO TO BE - HW'!P$4)/($E$4+'TCO TO BE - HW'!$E$4)*SUM(AKTIVITY_POZICIE!$M$41:$M$52)*1.2)/AKTIVITY_POZICIE!$B$41)),0)</f>
        <v>0</v>
      </c>
      <c r="Q153" s="576">
        <f>IFERROR(IF((POZICIE_INTERNE!$B$40-12*('TCO TO BE- SW'!$D153-1))&gt;12,((Q$4+'TCO TO BE - HW'!Q$4)/($E$4+'TCO TO BE - HW'!$E$4)*SUM(POZICIE_INTERNE!$I$40:$I$51))/POZICIE_INTERNE!$B$40*12,IF((POZICIE_INTERNE!$B$40-12*('TCO TO BE- SW'!$D153-1))&lt;0,0,(POZICIE_INTERNE!$B$40-12*('TCO TO BE- SW'!$D153-1))*((Q$4+'TCO TO BE - HW'!Q$4)/($E$4+'TCO TO BE - HW'!$E$4)*SUM(POZICIE_INTERNE!$I$40:$I$51))/POZICIE_INTERNE!$B$40)),0)+IFERROR(IF((AKTIVITY_POZICIE!$B$41-12*('TCO TO BE- SW'!$D153-1))&gt;12,((Q$4+'TCO TO BE - HW'!Q$4)/($E$4+'TCO TO BE - HW'!$E$4)*SUM(AKTIVITY_POZICIE!$M$41:$M$52)*1.2)/AKTIVITY_POZICIE!$B$41*12,IF((AKTIVITY_POZICIE!$B$41-12*('TCO TO BE- SW'!$D153-1))&lt;0,0,(AKTIVITY_POZICIE!$B$41-12*('TCO TO BE- SW'!$D153-1))*((Q$4+'TCO TO BE - HW'!Q$4)/($E$4+'TCO TO BE - HW'!$E$4)*SUM(AKTIVITY_POZICIE!$M$41:$M$52)*1.2)/AKTIVITY_POZICIE!$B$41)),0)</f>
        <v>0</v>
      </c>
      <c r="R153" s="576">
        <f>IFERROR(IF((POZICIE_INTERNE!$B$40-12*('TCO TO BE- SW'!$D153-1))&gt;12,((R$4+'TCO TO BE - HW'!R$4)/($E$4+'TCO TO BE - HW'!$E$4)*SUM(POZICIE_INTERNE!$I$40:$I$51))/POZICIE_INTERNE!$B$40*12,IF((POZICIE_INTERNE!$B$40-12*('TCO TO BE- SW'!$D153-1))&lt;0,0,(POZICIE_INTERNE!$B$40-12*('TCO TO BE- SW'!$D153-1))*((R$4+'TCO TO BE - HW'!R$4)/($E$4+'TCO TO BE - HW'!$E$4)*SUM(POZICIE_INTERNE!$I$40:$I$51))/POZICIE_INTERNE!$B$40)),0)+IFERROR(IF((AKTIVITY_POZICIE!$B$41-12*('TCO TO BE- SW'!$D153-1))&gt;12,((R$4+'TCO TO BE - HW'!R$4)/($E$4+'TCO TO BE - HW'!$E$4)*SUM(AKTIVITY_POZICIE!$M$41:$M$52)*1.2)/AKTIVITY_POZICIE!$B$41*12,IF((AKTIVITY_POZICIE!$B$41-12*('TCO TO BE- SW'!$D153-1))&lt;0,0,(AKTIVITY_POZICIE!$B$41-12*('TCO TO BE- SW'!$D153-1))*((R$4+'TCO TO BE - HW'!R$4)/($E$4+'TCO TO BE - HW'!$E$4)*SUM(AKTIVITY_POZICIE!$M$41:$M$52)*1.2)/AKTIVITY_POZICIE!$B$41)),0)</f>
        <v>0</v>
      </c>
      <c r="S153" s="576">
        <f>IFERROR(IF((POZICIE_INTERNE!$B$40-12*('TCO TO BE- SW'!$D153-1))&gt;12,((S$4+'TCO TO BE - HW'!S$4)/($E$4+'TCO TO BE - HW'!$E$4)*SUM(POZICIE_INTERNE!$I$40:$I$51))/POZICIE_INTERNE!$B$40*12,IF((POZICIE_INTERNE!$B$40-12*('TCO TO BE- SW'!$D153-1))&lt;0,0,(POZICIE_INTERNE!$B$40-12*('TCO TO BE- SW'!$D153-1))*((S$4+'TCO TO BE - HW'!S$4)/($E$4+'TCO TO BE - HW'!$E$4)*SUM(POZICIE_INTERNE!$I$40:$I$51))/POZICIE_INTERNE!$B$40)),0)+IFERROR(IF((AKTIVITY_POZICIE!$B$41-12*('TCO TO BE- SW'!$D153-1))&gt;12,((S$4+'TCO TO BE - HW'!S$4)/($E$4+'TCO TO BE - HW'!$E$4)*SUM(AKTIVITY_POZICIE!$M$41:$M$52)*1.2)/AKTIVITY_POZICIE!$B$41*12,IF((AKTIVITY_POZICIE!$B$41-12*('TCO TO BE- SW'!$D153-1))&lt;0,0,(AKTIVITY_POZICIE!$B$41-12*('TCO TO BE- SW'!$D153-1))*((S$4+'TCO TO BE - HW'!S$4)/($E$4+'TCO TO BE - HW'!$E$4)*SUM(AKTIVITY_POZICIE!$M$41:$M$52)*1.2)/AKTIVITY_POZICIE!$B$41)),0)</f>
        <v>0</v>
      </c>
      <c r="T153" s="576">
        <f>IFERROR(IF((POZICIE_INTERNE!$B$40-12*('TCO TO BE- SW'!$D153-1))&gt;12,((T$4+'TCO TO BE - HW'!T$4)/($E$4+'TCO TO BE - HW'!$E$4)*SUM(POZICIE_INTERNE!$I$40:$I$51))/POZICIE_INTERNE!$B$40*12,IF((POZICIE_INTERNE!$B$40-12*('TCO TO BE- SW'!$D153-1))&lt;0,0,(POZICIE_INTERNE!$B$40-12*('TCO TO BE- SW'!$D153-1))*((T$4+'TCO TO BE - HW'!T$4)/($E$4+'TCO TO BE - HW'!$E$4)*SUM(POZICIE_INTERNE!$I$40:$I$51))/POZICIE_INTERNE!$B$40)),0)+IFERROR(IF((AKTIVITY_POZICIE!$B$41-12*('TCO TO BE- SW'!$D153-1))&gt;12,((T$4+'TCO TO BE - HW'!T$4)/($E$4+'TCO TO BE - HW'!$E$4)*SUM(AKTIVITY_POZICIE!$M$41:$M$52)*1.2)/AKTIVITY_POZICIE!$B$41*12,IF((AKTIVITY_POZICIE!$B$41-12*('TCO TO BE- SW'!$D153-1))&lt;0,0,(AKTIVITY_POZICIE!$B$41-12*('TCO TO BE- SW'!$D153-1))*((T$4+'TCO TO BE - HW'!T$4)/($E$4+'TCO TO BE - HW'!$E$4)*SUM(AKTIVITY_POZICIE!$M$41:$M$52)*1.2)/AKTIVITY_POZICIE!$B$41)),0)</f>
        <v>0</v>
      </c>
      <c r="U153" s="576">
        <f>IFERROR(IF((POZICIE_INTERNE!$B$40-12*('TCO TO BE- SW'!$D153-1))&gt;12,((U$4+'TCO TO BE - HW'!U$4)/($E$4+'TCO TO BE - HW'!$E$4)*SUM(POZICIE_INTERNE!$I$40:$I$51))/POZICIE_INTERNE!$B$40*12,IF((POZICIE_INTERNE!$B$40-12*('TCO TO BE- SW'!$D153-1))&lt;0,0,(POZICIE_INTERNE!$B$40-12*('TCO TO BE- SW'!$D153-1))*((U$4+'TCO TO BE - HW'!U$4)/($E$4+'TCO TO BE - HW'!$E$4)*SUM(POZICIE_INTERNE!$I$40:$I$51))/POZICIE_INTERNE!$B$40)),0)+IFERROR(IF((AKTIVITY_POZICIE!$B$41-12*('TCO TO BE- SW'!$D153-1))&gt;12,((U$4+'TCO TO BE - HW'!U$4)/($E$4+'TCO TO BE - HW'!$E$4)*SUM(AKTIVITY_POZICIE!$M$41:$M$52)*1.2)/AKTIVITY_POZICIE!$B$41*12,IF((AKTIVITY_POZICIE!$B$41-12*('TCO TO BE- SW'!$D153-1))&lt;0,0,(AKTIVITY_POZICIE!$B$41-12*('TCO TO BE- SW'!$D153-1))*((U$4+'TCO TO BE - HW'!U$4)/($E$4+'TCO TO BE - HW'!$E$4)*SUM(AKTIVITY_POZICIE!$M$41:$M$52)*1.2)/AKTIVITY_POZICIE!$B$41)),0)</f>
        <v>0</v>
      </c>
      <c r="V153" s="576">
        <f>IFERROR(IF((POZICIE_INTERNE!$B$40-12*('TCO TO BE- SW'!$D153-1))&gt;12,((V$4+'TCO TO BE - HW'!V$4)/($E$4+'TCO TO BE - HW'!$E$4)*SUM(POZICIE_INTERNE!$I$40:$I$51))/POZICIE_INTERNE!$B$40*12,IF((POZICIE_INTERNE!$B$40-12*('TCO TO BE- SW'!$D153-1))&lt;0,0,(POZICIE_INTERNE!$B$40-12*('TCO TO BE- SW'!$D153-1))*((V$4+'TCO TO BE - HW'!V$4)/($E$4+'TCO TO BE - HW'!$E$4)*SUM(POZICIE_INTERNE!$I$40:$I$51))/POZICIE_INTERNE!$B$40)),0)+IFERROR(IF((AKTIVITY_POZICIE!$B$41-12*('TCO TO BE- SW'!$D153-1))&gt;12,((V$4+'TCO TO BE - HW'!V$4)/($E$4+'TCO TO BE - HW'!$E$4)*SUM(AKTIVITY_POZICIE!$M$41:$M$52)*1.2)/AKTIVITY_POZICIE!$B$41*12,IF((AKTIVITY_POZICIE!$B$41-12*('TCO TO BE- SW'!$D153-1))&lt;0,0,(AKTIVITY_POZICIE!$B$41-12*('TCO TO BE- SW'!$D153-1))*((V$4+'TCO TO BE - HW'!V$4)/($E$4+'TCO TO BE - HW'!$E$4)*SUM(AKTIVITY_POZICIE!$M$41:$M$52)*1.2)/AKTIVITY_POZICIE!$B$41)),0)</f>
        <v>0</v>
      </c>
      <c r="W153" s="576">
        <f>IFERROR(IF((POZICIE_INTERNE!$B$40-12*('TCO TO BE- SW'!$D153-1))&gt;12,((W$4+'TCO TO BE - HW'!W$4)/($E$4+'TCO TO BE - HW'!$E$4)*SUM(POZICIE_INTERNE!$I$40:$I$51))/POZICIE_INTERNE!$B$40*12,IF((POZICIE_INTERNE!$B$40-12*('TCO TO BE- SW'!$D153-1))&lt;0,0,(POZICIE_INTERNE!$B$40-12*('TCO TO BE- SW'!$D153-1))*((W$4+'TCO TO BE - HW'!W$4)/($E$4+'TCO TO BE - HW'!$E$4)*SUM(POZICIE_INTERNE!$I$40:$I$51))/POZICIE_INTERNE!$B$40)),0)+IFERROR(IF((AKTIVITY_POZICIE!$B$41-12*('TCO TO BE- SW'!$D153-1))&gt;12,((W$4+'TCO TO BE - HW'!W$4)/($E$4+'TCO TO BE - HW'!$E$4)*SUM(AKTIVITY_POZICIE!$M$41:$M$52)*1.2)/AKTIVITY_POZICIE!$B$41*12,IF((AKTIVITY_POZICIE!$B$41-12*('TCO TO BE- SW'!$D153-1))&lt;0,0,(AKTIVITY_POZICIE!$B$41-12*('TCO TO BE- SW'!$D153-1))*((W$4+'TCO TO BE - HW'!W$4)/($E$4+'TCO TO BE - HW'!$E$4)*SUM(AKTIVITY_POZICIE!$M$41:$M$52)*1.2)/AKTIVITY_POZICIE!$B$41)),0)</f>
        <v>0</v>
      </c>
      <c r="X153" s="576">
        <f>IFERROR(IF((POZICIE_INTERNE!$B$40-12*('TCO TO BE- SW'!$D153-1))&gt;12,((X$4+'TCO TO BE - HW'!X$4)/($E$4+'TCO TO BE - HW'!$E$4)*SUM(POZICIE_INTERNE!$I$40:$I$51))/POZICIE_INTERNE!$B$40*12,IF((POZICIE_INTERNE!$B$40-12*('TCO TO BE- SW'!$D153-1))&lt;0,0,(POZICIE_INTERNE!$B$40-12*('TCO TO BE- SW'!$D153-1))*((X$4+'TCO TO BE - HW'!X$4)/($E$4+'TCO TO BE - HW'!$E$4)*SUM(POZICIE_INTERNE!$I$40:$I$51))/POZICIE_INTERNE!$B$40)),0)+IFERROR(IF((AKTIVITY_POZICIE!$B$41-12*('TCO TO BE- SW'!$D153-1))&gt;12,((X$4+'TCO TO BE - HW'!X$4)/($E$4+'TCO TO BE - HW'!$E$4)*SUM(AKTIVITY_POZICIE!$M$41:$M$52)*1.2)/AKTIVITY_POZICIE!$B$41*12,IF((AKTIVITY_POZICIE!$B$41-12*('TCO TO BE- SW'!$D153-1))&lt;0,0,(AKTIVITY_POZICIE!$B$41-12*('TCO TO BE- SW'!$D153-1))*((X$4+'TCO TO BE - HW'!X$4)/($E$4+'TCO TO BE - HW'!$E$4)*SUM(AKTIVITY_POZICIE!$M$41:$M$52)*1.2)/AKTIVITY_POZICIE!$B$41)),0)</f>
        <v>0</v>
      </c>
      <c r="Y153" s="576">
        <f>IFERROR(IF((POZICIE_INTERNE!$B$40-12*('TCO TO BE- SW'!$D153-1))&gt;12,((Y$4+'TCO TO BE - HW'!Y$4)/($E$4+'TCO TO BE - HW'!$E$4)*SUM(POZICIE_INTERNE!$I$40:$I$51))/POZICIE_INTERNE!$B$40*12,IF((POZICIE_INTERNE!$B$40-12*('TCO TO BE- SW'!$D153-1))&lt;0,0,(POZICIE_INTERNE!$B$40-12*('TCO TO BE- SW'!$D153-1))*((Y$4+'TCO TO BE - HW'!Y$4)/($E$4+'TCO TO BE - HW'!$E$4)*SUM(POZICIE_INTERNE!$I$40:$I$51))/POZICIE_INTERNE!$B$40)),0)+IFERROR(IF((AKTIVITY_POZICIE!$B$41-12*('TCO TO BE- SW'!$D153-1))&gt;12,((Y$4+'TCO TO BE - HW'!Y$4)/($E$4+'TCO TO BE - HW'!$E$4)*SUM(AKTIVITY_POZICIE!$M$41:$M$52)*1.2)/AKTIVITY_POZICIE!$B$41*12,IF((AKTIVITY_POZICIE!$B$41-12*('TCO TO BE- SW'!$D153-1))&lt;0,0,(AKTIVITY_POZICIE!$B$41-12*('TCO TO BE- SW'!$D153-1))*((Y$4+'TCO TO BE - HW'!Y$4)/($E$4+'TCO TO BE - HW'!$E$4)*SUM(AKTIVITY_POZICIE!$M$41:$M$52)*1.2)/AKTIVITY_POZICIE!$B$41)),0)</f>
        <v>0</v>
      </c>
      <c r="Z153" s="576">
        <f>IFERROR(IF((POZICIE_INTERNE!$B$40-12*('TCO TO BE- SW'!$D153-1))&gt;12,((Z$4+'TCO TO BE - HW'!Z$4)/($E$4+'TCO TO BE - HW'!$E$4)*SUM(POZICIE_INTERNE!$I$40:$I$51))/POZICIE_INTERNE!$B$40*12,IF((POZICIE_INTERNE!$B$40-12*('TCO TO BE- SW'!$D153-1))&lt;0,0,(POZICIE_INTERNE!$B$40-12*('TCO TO BE- SW'!$D153-1))*((Z$4+'TCO TO BE - HW'!Z$4)/($E$4+'TCO TO BE - HW'!$E$4)*SUM(POZICIE_INTERNE!$I$40:$I$51))/POZICIE_INTERNE!$B$40)),0)+IFERROR(IF((AKTIVITY_POZICIE!$B$41-12*('TCO TO BE- SW'!$D153-1))&gt;12,((Z$4+'TCO TO BE - HW'!Z$4)/($E$4+'TCO TO BE - HW'!$E$4)*SUM(AKTIVITY_POZICIE!$M$41:$M$52)*1.2)/AKTIVITY_POZICIE!$B$41*12,IF((AKTIVITY_POZICIE!$B$41-12*('TCO TO BE- SW'!$D153-1))&lt;0,0,(AKTIVITY_POZICIE!$B$41-12*('TCO TO BE- SW'!$D153-1))*((Z$4+'TCO TO BE - HW'!Z$4)/($E$4+'TCO TO BE - HW'!$E$4)*SUM(AKTIVITY_POZICIE!$M$41:$M$52)*1.2)/AKTIVITY_POZICIE!$B$41)),0)</f>
        <v>0</v>
      </c>
    </row>
    <row r="154" spans="1:26">
      <c r="A154" s="875"/>
      <c r="B154" s="876"/>
      <c r="C154" s="876"/>
      <c r="D154" s="64">
        <v>4</v>
      </c>
      <c r="E154" s="68">
        <f t="shared" si="16"/>
        <v>0</v>
      </c>
      <c r="F154" s="576">
        <f>IFERROR(IF((POZICIE_INTERNE!$B$40-12*('TCO TO BE- SW'!$D154-1))&gt;12,((F$4+'TCO TO BE - HW'!F$4)/($E$4+'TCO TO BE - HW'!$E$4)*SUM(POZICIE_INTERNE!$I$40:$I$51))/POZICIE_INTERNE!$B$40*12,IF((POZICIE_INTERNE!$B$40-12*('TCO TO BE- SW'!$D154-1))&lt;0,0,(POZICIE_INTERNE!$B$40-12*('TCO TO BE- SW'!$D154-1))*((F$4+'TCO TO BE - HW'!F$4)/($E$4+'TCO TO BE - HW'!$E$4)*SUM(POZICIE_INTERNE!$I$40:$I$51))/POZICIE_INTERNE!$B$40)),0)+IFERROR(IF((AKTIVITY_POZICIE!$B$41-12*('TCO TO BE- SW'!$D154-1))&gt;12,((F$4+'TCO TO BE - HW'!F$4)/($E$4+'TCO TO BE - HW'!$E$4)*SUM(AKTIVITY_POZICIE!$M$41:$M$52)*1.2)/AKTIVITY_POZICIE!$B$41*12,IF((AKTIVITY_POZICIE!$B$41-12*('TCO TO BE- SW'!$D154-1))&lt;0,0,(AKTIVITY_POZICIE!$B$41-12*('TCO TO BE- SW'!$D154-1))*((F$4+'TCO TO BE - HW'!F$4)/($E$4+'TCO TO BE - HW'!$E$4)*SUM(AKTIVITY_POZICIE!$M$41:$M$52)*1.2)/AKTIVITY_POZICIE!$B$41)),0)</f>
        <v>0</v>
      </c>
      <c r="G154" s="576">
        <f>IFERROR(IF((POZICIE_INTERNE!$B$40-12*('TCO TO BE- SW'!$D154-1))&gt;12,((G$4+'TCO TO BE - HW'!G$4)/($E$4+'TCO TO BE - HW'!$E$4)*SUM(POZICIE_INTERNE!$I$40:$I$51))/POZICIE_INTERNE!$B$40*12,IF((POZICIE_INTERNE!$B$40-12*('TCO TO BE- SW'!$D154-1))&lt;0,0,(POZICIE_INTERNE!$B$40-12*('TCO TO BE- SW'!$D154-1))*((G$4+'TCO TO BE - HW'!G$4)/($E$4+'TCO TO BE - HW'!$E$4)*SUM(POZICIE_INTERNE!$I$40:$I$51))/POZICIE_INTERNE!$B$40)),0)+IFERROR(IF((AKTIVITY_POZICIE!$B$41-12*('TCO TO BE- SW'!$D154-1))&gt;12,((G$4+'TCO TO BE - HW'!G$4)/($E$4+'TCO TO BE - HW'!$E$4)*SUM(AKTIVITY_POZICIE!$M$41:$M$52)*1.2)/AKTIVITY_POZICIE!$B$41*12,IF((AKTIVITY_POZICIE!$B$41-12*('TCO TO BE- SW'!$D154-1))&lt;0,0,(AKTIVITY_POZICIE!$B$41-12*('TCO TO BE- SW'!$D154-1))*((G$4+'TCO TO BE - HW'!G$4)/($E$4+'TCO TO BE - HW'!$E$4)*SUM(AKTIVITY_POZICIE!$M$41:$M$52)*1.2)/AKTIVITY_POZICIE!$B$41)),0)</f>
        <v>0</v>
      </c>
      <c r="H154" s="576">
        <f>IFERROR(IF((POZICIE_INTERNE!$B$40-12*('TCO TO BE- SW'!$D154-1))&gt;12,((H$4+'TCO TO BE - HW'!H$4)/($E$4+'TCO TO BE - HW'!$E$4)*SUM(POZICIE_INTERNE!$I$40:$I$51))/POZICIE_INTERNE!$B$40*12,IF((POZICIE_INTERNE!$B$40-12*('TCO TO BE- SW'!$D154-1))&lt;0,0,(POZICIE_INTERNE!$B$40-12*('TCO TO BE- SW'!$D154-1))*((H$4+'TCO TO BE - HW'!H$4)/($E$4+'TCO TO BE - HW'!$E$4)*SUM(POZICIE_INTERNE!$I$40:$I$51))/POZICIE_INTERNE!$B$40)),0)+IFERROR(IF((AKTIVITY_POZICIE!$B$41-12*('TCO TO BE- SW'!$D154-1))&gt;12,((H$4+'TCO TO BE - HW'!H$4)/($E$4+'TCO TO BE - HW'!$E$4)*SUM(AKTIVITY_POZICIE!$M$41:$M$52)*1.2)/AKTIVITY_POZICIE!$B$41*12,IF((AKTIVITY_POZICIE!$B$41-12*('TCO TO BE- SW'!$D154-1))&lt;0,0,(AKTIVITY_POZICIE!$B$41-12*('TCO TO BE- SW'!$D154-1))*((H$4+'TCO TO BE - HW'!H$4)/($E$4+'TCO TO BE - HW'!$E$4)*SUM(AKTIVITY_POZICIE!$M$41:$M$52)*1.2)/AKTIVITY_POZICIE!$B$41)),0)</f>
        <v>0</v>
      </c>
      <c r="I154" s="576">
        <f>IFERROR(IF((POZICIE_INTERNE!$B$40-12*('TCO TO BE- SW'!$D154-1))&gt;12,((I$4+'TCO TO BE - HW'!I$4)/($E$4+'TCO TO BE - HW'!$E$4)*SUM(POZICIE_INTERNE!$I$40:$I$51))/POZICIE_INTERNE!$B$40*12,IF((POZICIE_INTERNE!$B$40-12*('TCO TO BE- SW'!$D154-1))&lt;0,0,(POZICIE_INTERNE!$B$40-12*('TCO TO BE- SW'!$D154-1))*((I$4+'TCO TO BE - HW'!I$4)/($E$4+'TCO TO BE - HW'!$E$4)*SUM(POZICIE_INTERNE!$I$40:$I$51))/POZICIE_INTERNE!$B$40)),0)+IFERROR(IF((AKTIVITY_POZICIE!$B$41-12*('TCO TO BE- SW'!$D154-1))&gt;12,((I$4+'TCO TO BE - HW'!I$4)/($E$4+'TCO TO BE - HW'!$E$4)*SUM(AKTIVITY_POZICIE!$M$41:$M$52)*1.2)/AKTIVITY_POZICIE!$B$41*12,IF((AKTIVITY_POZICIE!$B$41-12*('TCO TO BE- SW'!$D154-1))&lt;0,0,(AKTIVITY_POZICIE!$B$41-12*('TCO TO BE- SW'!$D154-1))*((I$4+'TCO TO BE - HW'!I$4)/($E$4+'TCO TO BE - HW'!$E$4)*SUM(AKTIVITY_POZICIE!$M$41:$M$52)*1.2)/AKTIVITY_POZICIE!$B$41)),0)</f>
        <v>0</v>
      </c>
      <c r="J154" s="576">
        <f>IFERROR(IF((POZICIE_INTERNE!$B$40-12*('TCO TO BE- SW'!$D154-1))&gt;12,((J$4+'TCO TO BE - HW'!J$4)/($E$4+'TCO TO BE - HW'!$E$4)*SUM(POZICIE_INTERNE!$I$40:$I$51))/POZICIE_INTERNE!$B$40*12,IF((POZICIE_INTERNE!$B$40-12*('TCO TO BE- SW'!$D154-1))&lt;0,0,(POZICIE_INTERNE!$B$40-12*('TCO TO BE- SW'!$D154-1))*((J$4+'TCO TO BE - HW'!J$4)/($E$4+'TCO TO BE - HW'!$E$4)*SUM(POZICIE_INTERNE!$I$40:$I$51))/POZICIE_INTERNE!$B$40)),0)+IFERROR(IF((AKTIVITY_POZICIE!$B$41-12*('TCO TO BE- SW'!$D154-1))&gt;12,((J$4+'TCO TO BE - HW'!J$4)/($E$4+'TCO TO BE - HW'!$E$4)*SUM(AKTIVITY_POZICIE!$M$41:$M$52)*1.2)/AKTIVITY_POZICIE!$B$41*12,IF((AKTIVITY_POZICIE!$B$41-12*('TCO TO BE- SW'!$D154-1))&lt;0,0,(AKTIVITY_POZICIE!$B$41-12*('TCO TO BE- SW'!$D154-1))*((J$4+'TCO TO BE - HW'!J$4)/($E$4+'TCO TO BE - HW'!$E$4)*SUM(AKTIVITY_POZICIE!$M$41:$M$52)*1.2)/AKTIVITY_POZICIE!$B$41)),0)</f>
        <v>0</v>
      </c>
      <c r="K154" s="576">
        <f>IFERROR(IF((POZICIE_INTERNE!$B$40-12*('TCO TO BE- SW'!$D154-1))&gt;12,((K$4+'TCO TO BE - HW'!K$4)/($E$4+'TCO TO BE - HW'!$E$4)*SUM(POZICIE_INTERNE!$I$40:$I$51))/POZICIE_INTERNE!$B$40*12,IF((POZICIE_INTERNE!$B$40-12*('TCO TO BE- SW'!$D154-1))&lt;0,0,(POZICIE_INTERNE!$B$40-12*('TCO TO BE- SW'!$D154-1))*((K$4+'TCO TO BE - HW'!K$4)/($E$4+'TCO TO BE - HW'!$E$4)*SUM(POZICIE_INTERNE!$I$40:$I$51))/POZICIE_INTERNE!$B$40)),0)+IFERROR(IF((AKTIVITY_POZICIE!$B$41-12*('TCO TO BE- SW'!$D154-1))&gt;12,((K$4+'TCO TO BE - HW'!K$4)/($E$4+'TCO TO BE - HW'!$E$4)*SUM(AKTIVITY_POZICIE!$M$41:$M$52)*1.2)/AKTIVITY_POZICIE!$B$41*12,IF((AKTIVITY_POZICIE!$B$41-12*('TCO TO BE- SW'!$D154-1))&lt;0,0,(AKTIVITY_POZICIE!$B$41-12*('TCO TO BE- SW'!$D154-1))*((K$4+'TCO TO BE - HW'!K$4)/($E$4+'TCO TO BE - HW'!$E$4)*SUM(AKTIVITY_POZICIE!$M$41:$M$52)*1.2)/AKTIVITY_POZICIE!$B$41)),0)</f>
        <v>0</v>
      </c>
      <c r="L154" s="576">
        <f>IFERROR(IF((POZICIE_INTERNE!$B$40-12*('TCO TO BE- SW'!$D154-1))&gt;12,((L$4+'TCO TO BE - HW'!L$4)/($E$4+'TCO TO BE - HW'!$E$4)*SUM(POZICIE_INTERNE!$I$40:$I$51))/POZICIE_INTERNE!$B$40*12,IF((POZICIE_INTERNE!$B$40-12*('TCO TO BE- SW'!$D154-1))&lt;0,0,(POZICIE_INTERNE!$B$40-12*('TCO TO BE- SW'!$D154-1))*((L$4+'TCO TO BE - HW'!L$4)/($E$4+'TCO TO BE - HW'!$E$4)*SUM(POZICIE_INTERNE!$I$40:$I$51))/POZICIE_INTERNE!$B$40)),0)+IFERROR(IF((AKTIVITY_POZICIE!$B$41-12*('TCO TO BE- SW'!$D154-1))&gt;12,((L$4+'TCO TO BE - HW'!L$4)/($E$4+'TCO TO BE - HW'!$E$4)*SUM(AKTIVITY_POZICIE!$M$41:$M$52)*1.2)/AKTIVITY_POZICIE!$B$41*12,IF((AKTIVITY_POZICIE!$B$41-12*('TCO TO BE- SW'!$D154-1))&lt;0,0,(AKTIVITY_POZICIE!$B$41-12*('TCO TO BE- SW'!$D154-1))*((L$4+'TCO TO BE - HW'!L$4)/($E$4+'TCO TO BE - HW'!$E$4)*SUM(AKTIVITY_POZICIE!$M$41:$M$52)*1.2)/AKTIVITY_POZICIE!$B$41)),0)</f>
        <v>0</v>
      </c>
      <c r="M154" s="576">
        <f>IFERROR(IF((POZICIE_INTERNE!$B$40-12*('TCO TO BE- SW'!$D154-1))&gt;12,((M$4+'TCO TO BE - HW'!M$4)/($E$4+'TCO TO BE - HW'!$E$4)*SUM(POZICIE_INTERNE!$I$40:$I$51))/POZICIE_INTERNE!$B$40*12,IF((POZICIE_INTERNE!$B$40-12*('TCO TO BE- SW'!$D154-1))&lt;0,0,(POZICIE_INTERNE!$B$40-12*('TCO TO BE- SW'!$D154-1))*((M$4+'TCO TO BE - HW'!M$4)/($E$4+'TCO TO BE - HW'!$E$4)*SUM(POZICIE_INTERNE!$I$40:$I$51))/POZICIE_INTERNE!$B$40)),0)+IFERROR(IF((AKTIVITY_POZICIE!$B$41-12*('TCO TO BE- SW'!$D154-1))&gt;12,((M$4+'TCO TO BE - HW'!M$4)/($E$4+'TCO TO BE - HW'!$E$4)*SUM(AKTIVITY_POZICIE!$M$41:$M$52)*1.2)/AKTIVITY_POZICIE!$B$41*12,IF((AKTIVITY_POZICIE!$B$41-12*('TCO TO BE- SW'!$D154-1))&lt;0,0,(AKTIVITY_POZICIE!$B$41-12*('TCO TO BE- SW'!$D154-1))*((M$4+'TCO TO BE - HW'!M$4)/($E$4+'TCO TO BE - HW'!$E$4)*SUM(AKTIVITY_POZICIE!$M$41:$M$52)*1.2)/AKTIVITY_POZICIE!$B$41)),0)</f>
        <v>0</v>
      </c>
      <c r="N154" s="576">
        <f>IFERROR(IF((POZICIE_INTERNE!$B$40-12*('TCO TO BE- SW'!$D154-1))&gt;12,((N$4+'TCO TO BE - HW'!N$4)/($E$4+'TCO TO BE - HW'!$E$4)*SUM(POZICIE_INTERNE!$I$40:$I$51))/POZICIE_INTERNE!$B$40*12,IF((POZICIE_INTERNE!$B$40-12*('TCO TO BE- SW'!$D154-1))&lt;0,0,(POZICIE_INTERNE!$B$40-12*('TCO TO BE- SW'!$D154-1))*((N$4+'TCO TO BE - HW'!N$4)/($E$4+'TCO TO BE - HW'!$E$4)*SUM(POZICIE_INTERNE!$I$40:$I$51))/POZICIE_INTERNE!$B$40)),0)+IFERROR(IF((AKTIVITY_POZICIE!$B$41-12*('TCO TO BE- SW'!$D154-1))&gt;12,((N$4+'TCO TO BE - HW'!N$4)/($E$4+'TCO TO BE - HW'!$E$4)*SUM(AKTIVITY_POZICIE!$M$41:$M$52)*1.2)/AKTIVITY_POZICIE!$B$41*12,IF((AKTIVITY_POZICIE!$B$41-12*('TCO TO BE- SW'!$D154-1))&lt;0,0,(AKTIVITY_POZICIE!$B$41-12*('TCO TO BE- SW'!$D154-1))*((N$4+'TCO TO BE - HW'!N$4)/($E$4+'TCO TO BE - HW'!$E$4)*SUM(AKTIVITY_POZICIE!$M$41:$M$52)*1.2)/AKTIVITY_POZICIE!$B$41)),0)</f>
        <v>0</v>
      </c>
      <c r="O154" s="576">
        <f>IFERROR(IF((POZICIE_INTERNE!$B$40-12*('TCO TO BE- SW'!$D154-1))&gt;12,((O$4+'TCO TO BE - HW'!O$4)/($E$4+'TCO TO BE - HW'!$E$4)*SUM(POZICIE_INTERNE!$I$40:$I$51))/POZICIE_INTERNE!$B$40*12,IF((POZICIE_INTERNE!$B$40-12*('TCO TO BE- SW'!$D154-1))&lt;0,0,(POZICIE_INTERNE!$B$40-12*('TCO TO BE- SW'!$D154-1))*((O$4+'TCO TO BE - HW'!O$4)/($E$4+'TCO TO BE - HW'!$E$4)*SUM(POZICIE_INTERNE!$I$40:$I$51))/POZICIE_INTERNE!$B$40)),0)+IFERROR(IF((AKTIVITY_POZICIE!$B$41-12*('TCO TO BE- SW'!$D154-1))&gt;12,((O$4+'TCO TO BE - HW'!O$4)/($E$4+'TCO TO BE - HW'!$E$4)*SUM(AKTIVITY_POZICIE!$M$41:$M$52)*1.2)/AKTIVITY_POZICIE!$B$41*12,IF((AKTIVITY_POZICIE!$B$41-12*('TCO TO BE- SW'!$D154-1))&lt;0,0,(AKTIVITY_POZICIE!$B$41-12*('TCO TO BE- SW'!$D154-1))*((O$4+'TCO TO BE - HW'!O$4)/($E$4+'TCO TO BE - HW'!$E$4)*SUM(AKTIVITY_POZICIE!$M$41:$M$52)*1.2)/AKTIVITY_POZICIE!$B$41)),0)</f>
        <v>0</v>
      </c>
      <c r="P154" s="576">
        <f>IFERROR(IF((POZICIE_INTERNE!$B$40-12*('TCO TO BE- SW'!$D154-1))&gt;12,((P$4+'TCO TO BE - HW'!P$4)/($E$4+'TCO TO BE - HW'!$E$4)*SUM(POZICIE_INTERNE!$I$40:$I$51))/POZICIE_INTERNE!$B$40*12,IF((POZICIE_INTERNE!$B$40-12*('TCO TO BE- SW'!$D154-1))&lt;0,0,(POZICIE_INTERNE!$B$40-12*('TCO TO BE- SW'!$D154-1))*((P$4+'TCO TO BE - HW'!P$4)/($E$4+'TCO TO BE - HW'!$E$4)*SUM(POZICIE_INTERNE!$I$40:$I$51))/POZICIE_INTERNE!$B$40)),0)+IFERROR(IF((AKTIVITY_POZICIE!$B$41-12*('TCO TO BE- SW'!$D154-1))&gt;12,((P$4+'TCO TO BE - HW'!P$4)/($E$4+'TCO TO BE - HW'!$E$4)*SUM(AKTIVITY_POZICIE!$M$41:$M$52)*1.2)/AKTIVITY_POZICIE!$B$41*12,IF((AKTIVITY_POZICIE!$B$41-12*('TCO TO BE- SW'!$D154-1))&lt;0,0,(AKTIVITY_POZICIE!$B$41-12*('TCO TO BE- SW'!$D154-1))*((P$4+'TCO TO BE - HW'!P$4)/($E$4+'TCO TO BE - HW'!$E$4)*SUM(AKTIVITY_POZICIE!$M$41:$M$52)*1.2)/AKTIVITY_POZICIE!$B$41)),0)</f>
        <v>0</v>
      </c>
      <c r="Q154" s="576">
        <f>IFERROR(IF((POZICIE_INTERNE!$B$40-12*('TCO TO BE- SW'!$D154-1))&gt;12,((Q$4+'TCO TO BE - HW'!Q$4)/($E$4+'TCO TO BE - HW'!$E$4)*SUM(POZICIE_INTERNE!$I$40:$I$51))/POZICIE_INTERNE!$B$40*12,IF((POZICIE_INTERNE!$B$40-12*('TCO TO BE- SW'!$D154-1))&lt;0,0,(POZICIE_INTERNE!$B$40-12*('TCO TO BE- SW'!$D154-1))*((Q$4+'TCO TO BE - HW'!Q$4)/($E$4+'TCO TO BE - HW'!$E$4)*SUM(POZICIE_INTERNE!$I$40:$I$51))/POZICIE_INTERNE!$B$40)),0)+IFERROR(IF((AKTIVITY_POZICIE!$B$41-12*('TCO TO BE- SW'!$D154-1))&gt;12,((Q$4+'TCO TO BE - HW'!Q$4)/($E$4+'TCO TO BE - HW'!$E$4)*SUM(AKTIVITY_POZICIE!$M$41:$M$52)*1.2)/AKTIVITY_POZICIE!$B$41*12,IF((AKTIVITY_POZICIE!$B$41-12*('TCO TO BE- SW'!$D154-1))&lt;0,0,(AKTIVITY_POZICIE!$B$41-12*('TCO TO BE- SW'!$D154-1))*((Q$4+'TCO TO BE - HW'!Q$4)/($E$4+'TCO TO BE - HW'!$E$4)*SUM(AKTIVITY_POZICIE!$M$41:$M$52)*1.2)/AKTIVITY_POZICIE!$B$41)),0)</f>
        <v>0</v>
      </c>
      <c r="R154" s="576">
        <f>IFERROR(IF((POZICIE_INTERNE!$B$40-12*('TCO TO BE- SW'!$D154-1))&gt;12,((R$4+'TCO TO BE - HW'!R$4)/($E$4+'TCO TO BE - HW'!$E$4)*SUM(POZICIE_INTERNE!$I$40:$I$51))/POZICIE_INTERNE!$B$40*12,IF((POZICIE_INTERNE!$B$40-12*('TCO TO BE- SW'!$D154-1))&lt;0,0,(POZICIE_INTERNE!$B$40-12*('TCO TO BE- SW'!$D154-1))*((R$4+'TCO TO BE - HW'!R$4)/($E$4+'TCO TO BE - HW'!$E$4)*SUM(POZICIE_INTERNE!$I$40:$I$51))/POZICIE_INTERNE!$B$40)),0)+IFERROR(IF((AKTIVITY_POZICIE!$B$41-12*('TCO TO BE- SW'!$D154-1))&gt;12,((R$4+'TCO TO BE - HW'!R$4)/($E$4+'TCO TO BE - HW'!$E$4)*SUM(AKTIVITY_POZICIE!$M$41:$M$52)*1.2)/AKTIVITY_POZICIE!$B$41*12,IF((AKTIVITY_POZICIE!$B$41-12*('TCO TO BE- SW'!$D154-1))&lt;0,0,(AKTIVITY_POZICIE!$B$41-12*('TCO TO BE- SW'!$D154-1))*((R$4+'TCO TO BE - HW'!R$4)/($E$4+'TCO TO BE - HW'!$E$4)*SUM(AKTIVITY_POZICIE!$M$41:$M$52)*1.2)/AKTIVITY_POZICIE!$B$41)),0)</f>
        <v>0</v>
      </c>
      <c r="S154" s="576">
        <f>IFERROR(IF((POZICIE_INTERNE!$B$40-12*('TCO TO BE- SW'!$D154-1))&gt;12,((S$4+'TCO TO BE - HW'!S$4)/($E$4+'TCO TO BE - HW'!$E$4)*SUM(POZICIE_INTERNE!$I$40:$I$51))/POZICIE_INTERNE!$B$40*12,IF((POZICIE_INTERNE!$B$40-12*('TCO TO BE- SW'!$D154-1))&lt;0,0,(POZICIE_INTERNE!$B$40-12*('TCO TO BE- SW'!$D154-1))*((S$4+'TCO TO BE - HW'!S$4)/($E$4+'TCO TO BE - HW'!$E$4)*SUM(POZICIE_INTERNE!$I$40:$I$51))/POZICIE_INTERNE!$B$40)),0)+IFERROR(IF((AKTIVITY_POZICIE!$B$41-12*('TCO TO BE- SW'!$D154-1))&gt;12,((S$4+'TCO TO BE - HW'!S$4)/($E$4+'TCO TO BE - HW'!$E$4)*SUM(AKTIVITY_POZICIE!$M$41:$M$52)*1.2)/AKTIVITY_POZICIE!$B$41*12,IF((AKTIVITY_POZICIE!$B$41-12*('TCO TO BE- SW'!$D154-1))&lt;0,0,(AKTIVITY_POZICIE!$B$41-12*('TCO TO BE- SW'!$D154-1))*((S$4+'TCO TO BE - HW'!S$4)/($E$4+'TCO TO BE - HW'!$E$4)*SUM(AKTIVITY_POZICIE!$M$41:$M$52)*1.2)/AKTIVITY_POZICIE!$B$41)),0)</f>
        <v>0</v>
      </c>
      <c r="T154" s="576">
        <f>IFERROR(IF((POZICIE_INTERNE!$B$40-12*('TCO TO BE- SW'!$D154-1))&gt;12,((T$4+'TCO TO BE - HW'!T$4)/($E$4+'TCO TO BE - HW'!$E$4)*SUM(POZICIE_INTERNE!$I$40:$I$51))/POZICIE_INTERNE!$B$40*12,IF((POZICIE_INTERNE!$B$40-12*('TCO TO BE- SW'!$D154-1))&lt;0,0,(POZICIE_INTERNE!$B$40-12*('TCO TO BE- SW'!$D154-1))*((T$4+'TCO TO BE - HW'!T$4)/($E$4+'TCO TO BE - HW'!$E$4)*SUM(POZICIE_INTERNE!$I$40:$I$51))/POZICIE_INTERNE!$B$40)),0)+IFERROR(IF((AKTIVITY_POZICIE!$B$41-12*('TCO TO BE- SW'!$D154-1))&gt;12,((T$4+'TCO TO BE - HW'!T$4)/($E$4+'TCO TO BE - HW'!$E$4)*SUM(AKTIVITY_POZICIE!$M$41:$M$52)*1.2)/AKTIVITY_POZICIE!$B$41*12,IF((AKTIVITY_POZICIE!$B$41-12*('TCO TO BE- SW'!$D154-1))&lt;0,0,(AKTIVITY_POZICIE!$B$41-12*('TCO TO BE- SW'!$D154-1))*((T$4+'TCO TO BE - HW'!T$4)/($E$4+'TCO TO BE - HW'!$E$4)*SUM(AKTIVITY_POZICIE!$M$41:$M$52)*1.2)/AKTIVITY_POZICIE!$B$41)),0)</f>
        <v>0</v>
      </c>
      <c r="U154" s="576">
        <f>IFERROR(IF((POZICIE_INTERNE!$B$40-12*('TCO TO BE- SW'!$D154-1))&gt;12,((U$4+'TCO TO BE - HW'!U$4)/($E$4+'TCO TO BE - HW'!$E$4)*SUM(POZICIE_INTERNE!$I$40:$I$51))/POZICIE_INTERNE!$B$40*12,IF((POZICIE_INTERNE!$B$40-12*('TCO TO BE- SW'!$D154-1))&lt;0,0,(POZICIE_INTERNE!$B$40-12*('TCO TO BE- SW'!$D154-1))*((U$4+'TCO TO BE - HW'!U$4)/($E$4+'TCO TO BE - HW'!$E$4)*SUM(POZICIE_INTERNE!$I$40:$I$51))/POZICIE_INTERNE!$B$40)),0)+IFERROR(IF((AKTIVITY_POZICIE!$B$41-12*('TCO TO BE- SW'!$D154-1))&gt;12,((U$4+'TCO TO BE - HW'!U$4)/($E$4+'TCO TO BE - HW'!$E$4)*SUM(AKTIVITY_POZICIE!$M$41:$M$52)*1.2)/AKTIVITY_POZICIE!$B$41*12,IF((AKTIVITY_POZICIE!$B$41-12*('TCO TO BE- SW'!$D154-1))&lt;0,0,(AKTIVITY_POZICIE!$B$41-12*('TCO TO BE- SW'!$D154-1))*((U$4+'TCO TO BE - HW'!U$4)/($E$4+'TCO TO BE - HW'!$E$4)*SUM(AKTIVITY_POZICIE!$M$41:$M$52)*1.2)/AKTIVITY_POZICIE!$B$41)),0)</f>
        <v>0</v>
      </c>
      <c r="V154" s="576">
        <f>IFERROR(IF((POZICIE_INTERNE!$B$40-12*('TCO TO BE- SW'!$D154-1))&gt;12,((V$4+'TCO TO BE - HW'!V$4)/($E$4+'TCO TO BE - HW'!$E$4)*SUM(POZICIE_INTERNE!$I$40:$I$51))/POZICIE_INTERNE!$B$40*12,IF((POZICIE_INTERNE!$B$40-12*('TCO TO BE- SW'!$D154-1))&lt;0,0,(POZICIE_INTERNE!$B$40-12*('TCO TO BE- SW'!$D154-1))*((V$4+'TCO TO BE - HW'!V$4)/($E$4+'TCO TO BE - HW'!$E$4)*SUM(POZICIE_INTERNE!$I$40:$I$51))/POZICIE_INTERNE!$B$40)),0)+IFERROR(IF((AKTIVITY_POZICIE!$B$41-12*('TCO TO BE- SW'!$D154-1))&gt;12,((V$4+'TCO TO BE - HW'!V$4)/($E$4+'TCO TO BE - HW'!$E$4)*SUM(AKTIVITY_POZICIE!$M$41:$M$52)*1.2)/AKTIVITY_POZICIE!$B$41*12,IF((AKTIVITY_POZICIE!$B$41-12*('TCO TO BE- SW'!$D154-1))&lt;0,0,(AKTIVITY_POZICIE!$B$41-12*('TCO TO BE- SW'!$D154-1))*((V$4+'TCO TO BE - HW'!V$4)/($E$4+'TCO TO BE - HW'!$E$4)*SUM(AKTIVITY_POZICIE!$M$41:$M$52)*1.2)/AKTIVITY_POZICIE!$B$41)),0)</f>
        <v>0</v>
      </c>
      <c r="W154" s="576">
        <f>IFERROR(IF((POZICIE_INTERNE!$B$40-12*('TCO TO BE- SW'!$D154-1))&gt;12,((W$4+'TCO TO BE - HW'!W$4)/($E$4+'TCO TO BE - HW'!$E$4)*SUM(POZICIE_INTERNE!$I$40:$I$51))/POZICIE_INTERNE!$B$40*12,IF((POZICIE_INTERNE!$B$40-12*('TCO TO BE- SW'!$D154-1))&lt;0,0,(POZICIE_INTERNE!$B$40-12*('TCO TO BE- SW'!$D154-1))*((W$4+'TCO TO BE - HW'!W$4)/($E$4+'TCO TO BE - HW'!$E$4)*SUM(POZICIE_INTERNE!$I$40:$I$51))/POZICIE_INTERNE!$B$40)),0)+IFERROR(IF((AKTIVITY_POZICIE!$B$41-12*('TCO TO BE- SW'!$D154-1))&gt;12,((W$4+'TCO TO BE - HW'!W$4)/($E$4+'TCO TO BE - HW'!$E$4)*SUM(AKTIVITY_POZICIE!$M$41:$M$52)*1.2)/AKTIVITY_POZICIE!$B$41*12,IF((AKTIVITY_POZICIE!$B$41-12*('TCO TO BE- SW'!$D154-1))&lt;0,0,(AKTIVITY_POZICIE!$B$41-12*('TCO TO BE- SW'!$D154-1))*((W$4+'TCO TO BE - HW'!W$4)/($E$4+'TCO TO BE - HW'!$E$4)*SUM(AKTIVITY_POZICIE!$M$41:$M$52)*1.2)/AKTIVITY_POZICIE!$B$41)),0)</f>
        <v>0</v>
      </c>
      <c r="X154" s="576">
        <f>IFERROR(IF((POZICIE_INTERNE!$B$40-12*('TCO TO BE- SW'!$D154-1))&gt;12,((X$4+'TCO TO BE - HW'!X$4)/($E$4+'TCO TO BE - HW'!$E$4)*SUM(POZICIE_INTERNE!$I$40:$I$51))/POZICIE_INTERNE!$B$40*12,IF((POZICIE_INTERNE!$B$40-12*('TCO TO BE- SW'!$D154-1))&lt;0,0,(POZICIE_INTERNE!$B$40-12*('TCO TO BE- SW'!$D154-1))*((X$4+'TCO TO BE - HW'!X$4)/($E$4+'TCO TO BE - HW'!$E$4)*SUM(POZICIE_INTERNE!$I$40:$I$51))/POZICIE_INTERNE!$B$40)),0)+IFERROR(IF((AKTIVITY_POZICIE!$B$41-12*('TCO TO BE- SW'!$D154-1))&gt;12,((X$4+'TCO TO BE - HW'!X$4)/($E$4+'TCO TO BE - HW'!$E$4)*SUM(AKTIVITY_POZICIE!$M$41:$M$52)*1.2)/AKTIVITY_POZICIE!$B$41*12,IF((AKTIVITY_POZICIE!$B$41-12*('TCO TO BE- SW'!$D154-1))&lt;0,0,(AKTIVITY_POZICIE!$B$41-12*('TCO TO BE- SW'!$D154-1))*((X$4+'TCO TO BE - HW'!X$4)/($E$4+'TCO TO BE - HW'!$E$4)*SUM(AKTIVITY_POZICIE!$M$41:$M$52)*1.2)/AKTIVITY_POZICIE!$B$41)),0)</f>
        <v>0</v>
      </c>
      <c r="Y154" s="576">
        <f>IFERROR(IF((POZICIE_INTERNE!$B$40-12*('TCO TO BE- SW'!$D154-1))&gt;12,((Y$4+'TCO TO BE - HW'!Y$4)/($E$4+'TCO TO BE - HW'!$E$4)*SUM(POZICIE_INTERNE!$I$40:$I$51))/POZICIE_INTERNE!$B$40*12,IF((POZICIE_INTERNE!$B$40-12*('TCO TO BE- SW'!$D154-1))&lt;0,0,(POZICIE_INTERNE!$B$40-12*('TCO TO BE- SW'!$D154-1))*((Y$4+'TCO TO BE - HW'!Y$4)/($E$4+'TCO TO BE - HW'!$E$4)*SUM(POZICIE_INTERNE!$I$40:$I$51))/POZICIE_INTERNE!$B$40)),0)+IFERROR(IF((AKTIVITY_POZICIE!$B$41-12*('TCO TO BE- SW'!$D154-1))&gt;12,((Y$4+'TCO TO BE - HW'!Y$4)/($E$4+'TCO TO BE - HW'!$E$4)*SUM(AKTIVITY_POZICIE!$M$41:$M$52)*1.2)/AKTIVITY_POZICIE!$B$41*12,IF((AKTIVITY_POZICIE!$B$41-12*('TCO TO BE- SW'!$D154-1))&lt;0,0,(AKTIVITY_POZICIE!$B$41-12*('TCO TO BE- SW'!$D154-1))*((Y$4+'TCO TO BE - HW'!Y$4)/($E$4+'TCO TO BE - HW'!$E$4)*SUM(AKTIVITY_POZICIE!$M$41:$M$52)*1.2)/AKTIVITY_POZICIE!$B$41)),0)</f>
        <v>0</v>
      </c>
      <c r="Z154" s="576">
        <f>IFERROR(IF((POZICIE_INTERNE!$B$40-12*('TCO TO BE- SW'!$D154-1))&gt;12,((Z$4+'TCO TO BE - HW'!Z$4)/($E$4+'TCO TO BE - HW'!$E$4)*SUM(POZICIE_INTERNE!$I$40:$I$51))/POZICIE_INTERNE!$B$40*12,IF((POZICIE_INTERNE!$B$40-12*('TCO TO BE- SW'!$D154-1))&lt;0,0,(POZICIE_INTERNE!$B$40-12*('TCO TO BE- SW'!$D154-1))*((Z$4+'TCO TO BE - HW'!Z$4)/($E$4+'TCO TO BE - HW'!$E$4)*SUM(POZICIE_INTERNE!$I$40:$I$51))/POZICIE_INTERNE!$B$40)),0)+IFERROR(IF((AKTIVITY_POZICIE!$B$41-12*('TCO TO BE- SW'!$D154-1))&gt;12,((Z$4+'TCO TO BE - HW'!Z$4)/($E$4+'TCO TO BE - HW'!$E$4)*SUM(AKTIVITY_POZICIE!$M$41:$M$52)*1.2)/AKTIVITY_POZICIE!$B$41*12,IF((AKTIVITY_POZICIE!$B$41-12*('TCO TO BE- SW'!$D154-1))&lt;0,0,(AKTIVITY_POZICIE!$B$41-12*('TCO TO BE- SW'!$D154-1))*((Z$4+'TCO TO BE - HW'!Z$4)/($E$4+'TCO TO BE - HW'!$E$4)*SUM(AKTIVITY_POZICIE!$M$41:$M$52)*1.2)/AKTIVITY_POZICIE!$B$41)),0)</f>
        <v>0</v>
      </c>
    </row>
    <row r="155" spans="1:26">
      <c r="A155" s="875"/>
      <c r="B155" s="876"/>
      <c r="C155" s="876"/>
      <c r="D155" s="64">
        <v>5</v>
      </c>
      <c r="E155" s="68">
        <f t="shared" si="16"/>
        <v>0</v>
      </c>
      <c r="F155" s="576">
        <f>IFERROR(IF((POZICIE_INTERNE!$B$40-12*('TCO TO BE- SW'!$D155-1))&gt;12,((F$4+'TCO TO BE - HW'!F$4)/($E$4+'TCO TO BE - HW'!$E$4)*SUM(POZICIE_INTERNE!$I$40:$I$51))/POZICIE_INTERNE!$B$40*12,IF((POZICIE_INTERNE!$B$40-12*('TCO TO BE- SW'!$D155-1))&lt;0,0,(POZICIE_INTERNE!$B$40-12*('TCO TO BE- SW'!$D155-1))*((F$4+'TCO TO BE - HW'!F$4)/($E$4+'TCO TO BE - HW'!$E$4)*SUM(POZICIE_INTERNE!$I$40:$I$51))/POZICIE_INTERNE!$B$40)),0)+IFERROR(IF((AKTIVITY_POZICIE!$B$41-12*('TCO TO BE- SW'!$D155-1))&gt;12,((F$4+'TCO TO BE - HW'!F$4)/($E$4+'TCO TO BE - HW'!$E$4)*SUM(AKTIVITY_POZICIE!$M$41:$M$52)*1.2)/AKTIVITY_POZICIE!$B$41*12,IF((AKTIVITY_POZICIE!$B$41-12*('TCO TO BE- SW'!$D155-1))&lt;0,0,(AKTIVITY_POZICIE!$B$41-12*('TCO TO BE- SW'!$D155-1))*((F$4+'TCO TO BE - HW'!F$4)/($E$4+'TCO TO BE - HW'!$E$4)*SUM(AKTIVITY_POZICIE!$M$41:$M$52)*1.2)/AKTIVITY_POZICIE!$B$41)),0)</f>
        <v>0</v>
      </c>
      <c r="G155" s="576">
        <f>IFERROR(IF((POZICIE_INTERNE!$B$40-12*('TCO TO BE- SW'!$D155-1))&gt;12,((G$4+'TCO TO BE - HW'!G$4)/($E$4+'TCO TO BE - HW'!$E$4)*SUM(POZICIE_INTERNE!$I$40:$I$51))/POZICIE_INTERNE!$B$40*12,IF((POZICIE_INTERNE!$B$40-12*('TCO TO BE- SW'!$D155-1))&lt;0,0,(POZICIE_INTERNE!$B$40-12*('TCO TO BE- SW'!$D155-1))*((G$4+'TCO TO BE - HW'!G$4)/($E$4+'TCO TO BE - HW'!$E$4)*SUM(POZICIE_INTERNE!$I$40:$I$51))/POZICIE_INTERNE!$B$40)),0)+IFERROR(IF((AKTIVITY_POZICIE!$B$41-12*('TCO TO BE- SW'!$D155-1))&gt;12,((G$4+'TCO TO BE - HW'!G$4)/($E$4+'TCO TO BE - HW'!$E$4)*SUM(AKTIVITY_POZICIE!$M$41:$M$52)*1.2)/AKTIVITY_POZICIE!$B$41*12,IF((AKTIVITY_POZICIE!$B$41-12*('TCO TO BE- SW'!$D155-1))&lt;0,0,(AKTIVITY_POZICIE!$B$41-12*('TCO TO BE- SW'!$D155-1))*((G$4+'TCO TO BE - HW'!G$4)/($E$4+'TCO TO BE - HW'!$E$4)*SUM(AKTIVITY_POZICIE!$M$41:$M$52)*1.2)/AKTIVITY_POZICIE!$B$41)),0)</f>
        <v>0</v>
      </c>
      <c r="H155" s="576">
        <f>IFERROR(IF((POZICIE_INTERNE!$B$40-12*('TCO TO BE- SW'!$D155-1))&gt;12,((H$4+'TCO TO BE - HW'!H$4)/($E$4+'TCO TO BE - HW'!$E$4)*SUM(POZICIE_INTERNE!$I$40:$I$51))/POZICIE_INTERNE!$B$40*12,IF((POZICIE_INTERNE!$B$40-12*('TCO TO BE- SW'!$D155-1))&lt;0,0,(POZICIE_INTERNE!$B$40-12*('TCO TO BE- SW'!$D155-1))*((H$4+'TCO TO BE - HW'!H$4)/($E$4+'TCO TO BE - HW'!$E$4)*SUM(POZICIE_INTERNE!$I$40:$I$51))/POZICIE_INTERNE!$B$40)),0)+IFERROR(IF((AKTIVITY_POZICIE!$B$41-12*('TCO TO BE- SW'!$D155-1))&gt;12,((H$4+'TCO TO BE - HW'!H$4)/($E$4+'TCO TO BE - HW'!$E$4)*SUM(AKTIVITY_POZICIE!$M$41:$M$52)*1.2)/AKTIVITY_POZICIE!$B$41*12,IF((AKTIVITY_POZICIE!$B$41-12*('TCO TO BE- SW'!$D155-1))&lt;0,0,(AKTIVITY_POZICIE!$B$41-12*('TCO TO BE- SW'!$D155-1))*((H$4+'TCO TO BE - HW'!H$4)/($E$4+'TCO TO BE - HW'!$E$4)*SUM(AKTIVITY_POZICIE!$M$41:$M$52)*1.2)/AKTIVITY_POZICIE!$B$41)),0)</f>
        <v>0</v>
      </c>
      <c r="I155" s="576">
        <f>IFERROR(IF((POZICIE_INTERNE!$B$40-12*('TCO TO BE- SW'!$D155-1))&gt;12,((I$4+'TCO TO BE - HW'!I$4)/($E$4+'TCO TO BE - HW'!$E$4)*SUM(POZICIE_INTERNE!$I$40:$I$51))/POZICIE_INTERNE!$B$40*12,IF((POZICIE_INTERNE!$B$40-12*('TCO TO BE- SW'!$D155-1))&lt;0,0,(POZICIE_INTERNE!$B$40-12*('TCO TO BE- SW'!$D155-1))*((I$4+'TCO TO BE - HW'!I$4)/($E$4+'TCO TO BE - HW'!$E$4)*SUM(POZICIE_INTERNE!$I$40:$I$51))/POZICIE_INTERNE!$B$40)),0)+IFERROR(IF((AKTIVITY_POZICIE!$B$41-12*('TCO TO BE- SW'!$D155-1))&gt;12,((I$4+'TCO TO BE - HW'!I$4)/($E$4+'TCO TO BE - HW'!$E$4)*SUM(AKTIVITY_POZICIE!$M$41:$M$52)*1.2)/AKTIVITY_POZICIE!$B$41*12,IF((AKTIVITY_POZICIE!$B$41-12*('TCO TO BE- SW'!$D155-1))&lt;0,0,(AKTIVITY_POZICIE!$B$41-12*('TCO TO BE- SW'!$D155-1))*((I$4+'TCO TO BE - HW'!I$4)/($E$4+'TCO TO BE - HW'!$E$4)*SUM(AKTIVITY_POZICIE!$M$41:$M$52)*1.2)/AKTIVITY_POZICIE!$B$41)),0)</f>
        <v>0</v>
      </c>
      <c r="J155" s="576">
        <f>IFERROR(IF((POZICIE_INTERNE!$B$40-12*('TCO TO BE- SW'!$D155-1))&gt;12,((J$4+'TCO TO BE - HW'!J$4)/($E$4+'TCO TO BE - HW'!$E$4)*SUM(POZICIE_INTERNE!$I$40:$I$51))/POZICIE_INTERNE!$B$40*12,IF((POZICIE_INTERNE!$B$40-12*('TCO TO BE- SW'!$D155-1))&lt;0,0,(POZICIE_INTERNE!$B$40-12*('TCO TO BE- SW'!$D155-1))*((J$4+'TCO TO BE - HW'!J$4)/($E$4+'TCO TO BE - HW'!$E$4)*SUM(POZICIE_INTERNE!$I$40:$I$51))/POZICIE_INTERNE!$B$40)),0)+IFERROR(IF((AKTIVITY_POZICIE!$B$41-12*('TCO TO BE- SW'!$D155-1))&gt;12,((J$4+'TCO TO BE - HW'!J$4)/($E$4+'TCO TO BE - HW'!$E$4)*SUM(AKTIVITY_POZICIE!$M$41:$M$52)*1.2)/AKTIVITY_POZICIE!$B$41*12,IF((AKTIVITY_POZICIE!$B$41-12*('TCO TO BE- SW'!$D155-1))&lt;0,0,(AKTIVITY_POZICIE!$B$41-12*('TCO TO BE- SW'!$D155-1))*((J$4+'TCO TO BE - HW'!J$4)/($E$4+'TCO TO BE - HW'!$E$4)*SUM(AKTIVITY_POZICIE!$M$41:$M$52)*1.2)/AKTIVITY_POZICIE!$B$41)),0)</f>
        <v>0</v>
      </c>
      <c r="K155" s="576">
        <f>IFERROR(IF((POZICIE_INTERNE!$B$40-12*('TCO TO BE- SW'!$D155-1))&gt;12,((K$4+'TCO TO BE - HW'!K$4)/($E$4+'TCO TO BE - HW'!$E$4)*SUM(POZICIE_INTERNE!$I$40:$I$51))/POZICIE_INTERNE!$B$40*12,IF((POZICIE_INTERNE!$B$40-12*('TCO TO BE- SW'!$D155-1))&lt;0,0,(POZICIE_INTERNE!$B$40-12*('TCO TO BE- SW'!$D155-1))*((K$4+'TCO TO BE - HW'!K$4)/($E$4+'TCO TO BE - HW'!$E$4)*SUM(POZICIE_INTERNE!$I$40:$I$51))/POZICIE_INTERNE!$B$40)),0)+IFERROR(IF((AKTIVITY_POZICIE!$B$41-12*('TCO TO BE- SW'!$D155-1))&gt;12,((K$4+'TCO TO BE - HW'!K$4)/($E$4+'TCO TO BE - HW'!$E$4)*SUM(AKTIVITY_POZICIE!$M$41:$M$52)*1.2)/AKTIVITY_POZICIE!$B$41*12,IF((AKTIVITY_POZICIE!$B$41-12*('TCO TO BE- SW'!$D155-1))&lt;0,0,(AKTIVITY_POZICIE!$B$41-12*('TCO TO BE- SW'!$D155-1))*((K$4+'TCO TO BE - HW'!K$4)/($E$4+'TCO TO BE - HW'!$E$4)*SUM(AKTIVITY_POZICIE!$M$41:$M$52)*1.2)/AKTIVITY_POZICIE!$B$41)),0)</f>
        <v>0</v>
      </c>
      <c r="L155" s="576">
        <f>IFERROR(IF((POZICIE_INTERNE!$B$40-12*('TCO TO BE- SW'!$D155-1))&gt;12,((L$4+'TCO TO BE - HW'!L$4)/($E$4+'TCO TO BE - HW'!$E$4)*SUM(POZICIE_INTERNE!$I$40:$I$51))/POZICIE_INTERNE!$B$40*12,IF((POZICIE_INTERNE!$B$40-12*('TCO TO BE- SW'!$D155-1))&lt;0,0,(POZICIE_INTERNE!$B$40-12*('TCO TO BE- SW'!$D155-1))*((L$4+'TCO TO BE - HW'!L$4)/($E$4+'TCO TO BE - HW'!$E$4)*SUM(POZICIE_INTERNE!$I$40:$I$51))/POZICIE_INTERNE!$B$40)),0)+IFERROR(IF((AKTIVITY_POZICIE!$B$41-12*('TCO TO BE- SW'!$D155-1))&gt;12,((L$4+'TCO TO BE - HW'!L$4)/($E$4+'TCO TO BE - HW'!$E$4)*SUM(AKTIVITY_POZICIE!$M$41:$M$52)*1.2)/AKTIVITY_POZICIE!$B$41*12,IF((AKTIVITY_POZICIE!$B$41-12*('TCO TO BE- SW'!$D155-1))&lt;0,0,(AKTIVITY_POZICIE!$B$41-12*('TCO TO BE- SW'!$D155-1))*((L$4+'TCO TO BE - HW'!L$4)/($E$4+'TCO TO BE - HW'!$E$4)*SUM(AKTIVITY_POZICIE!$M$41:$M$52)*1.2)/AKTIVITY_POZICIE!$B$41)),0)</f>
        <v>0</v>
      </c>
      <c r="M155" s="576">
        <f>IFERROR(IF((POZICIE_INTERNE!$B$40-12*('TCO TO BE- SW'!$D155-1))&gt;12,((M$4+'TCO TO BE - HW'!M$4)/($E$4+'TCO TO BE - HW'!$E$4)*SUM(POZICIE_INTERNE!$I$40:$I$51))/POZICIE_INTERNE!$B$40*12,IF((POZICIE_INTERNE!$B$40-12*('TCO TO BE- SW'!$D155-1))&lt;0,0,(POZICIE_INTERNE!$B$40-12*('TCO TO BE- SW'!$D155-1))*((M$4+'TCO TO BE - HW'!M$4)/($E$4+'TCO TO BE - HW'!$E$4)*SUM(POZICIE_INTERNE!$I$40:$I$51))/POZICIE_INTERNE!$B$40)),0)+IFERROR(IF((AKTIVITY_POZICIE!$B$41-12*('TCO TO BE- SW'!$D155-1))&gt;12,((M$4+'TCO TO BE - HW'!M$4)/($E$4+'TCO TO BE - HW'!$E$4)*SUM(AKTIVITY_POZICIE!$M$41:$M$52)*1.2)/AKTIVITY_POZICIE!$B$41*12,IF((AKTIVITY_POZICIE!$B$41-12*('TCO TO BE- SW'!$D155-1))&lt;0,0,(AKTIVITY_POZICIE!$B$41-12*('TCO TO BE- SW'!$D155-1))*((M$4+'TCO TO BE - HW'!M$4)/($E$4+'TCO TO BE - HW'!$E$4)*SUM(AKTIVITY_POZICIE!$M$41:$M$52)*1.2)/AKTIVITY_POZICIE!$B$41)),0)</f>
        <v>0</v>
      </c>
      <c r="N155" s="576">
        <f>IFERROR(IF((POZICIE_INTERNE!$B$40-12*('TCO TO BE- SW'!$D155-1))&gt;12,((N$4+'TCO TO BE - HW'!N$4)/($E$4+'TCO TO BE - HW'!$E$4)*SUM(POZICIE_INTERNE!$I$40:$I$51))/POZICIE_INTERNE!$B$40*12,IF((POZICIE_INTERNE!$B$40-12*('TCO TO BE- SW'!$D155-1))&lt;0,0,(POZICIE_INTERNE!$B$40-12*('TCO TO BE- SW'!$D155-1))*((N$4+'TCO TO BE - HW'!N$4)/($E$4+'TCO TO BE - HW'!$E$4)*SUM(POZICIE_INTERNE!$I$40:$I$51))/POZICIE_INTERNE!$B$40)),0)+IFERROR(IF((AKTIVITY_POZICIE!$B$41-12*('TCO TO BE- SW'!$D155-1))&gt;12,((N$4+'TCO TO BE - HW'!N$4)/($E$4+'TCO TO BE - HW'!$E$4)*SUM(AKTIVITY_POZICIE!$M$41:$M$52)*1.2)/AKTIVITY_POZICIE!$B$41*12,IF((AKTIVITY_POZICIE!$B$41-12*('TCO TO BE- SW'!$D155-1))&lt;0,0,(AKTIVITY_POZICIE!$B$41-12*('TCO TO BE- SW'!$D155-1))*((N$4+'TCO TO BE - HW'!N$4)/($E$4+'TCO TO BE - HW'!$E$4)*SUM(AKTIVITY_POZICIE!$M$41:$M$52)*1.2)/AKTIVITY_POZICIE!$B$41)),0)</f>
        <v>0</v>
      </c>
      <c r="O155" s="576">
        <f>IFERROR(IF((POZICIE_INTERNE!$B$40-12*('TCO TO BE- SW'!$D155-1))&gt;12,((O$4+'TCO TO BE - HW'!O$4)/($E$4+'TCO TO BE - HW'!$E$4)*SUM(POZICIE_INTERNE!$I$40:$I$51))/POZICIE_INTERNE!$B$40*12,IF((POZICIE_INTERNE!$B$40-12*('TCO TO BE- SW'!$D155-1))&lt;0,0,(POZICIE_INTERNE!$B$40-12*('TCO TO BE- SW'!$D155-1))*((O$4+'TCO TO BE - HW'!O$4)/($E$4+'TCO TO BE - HW'!$E$4)*SUM(POZICIE_INTERNE!$I$40:$I$51))/POZICIE_INTERNE!$B$40)),0)+IFERROR(IF((AKTIVITY_POZICIE!$B$41-12*('TCO TO BE- SW'!$D155-1))&gt;12,((O$4+'TCO TO BE - HW'!O$4)/($E$4+'TCO TO BE - HW'!$E$4)*SUM(AKTIVITY_POZICIE!$M$41:$M$52)*1.2)/AKTIVITY_POZICIE!$B$41*12,IF((AKTIVITY_POZICIE!$B$41-12*('TCO TO BE- SW'!$D155-1))&lt;0,0,(AKTIVITY_POZICIE!$B$41-12*('TCO TO BE- SW'!$D155-1))*((O$4+'TCO TO BE - HW'!O$4)/($E$4+'TCO TO BE - HW'!$E$4)*SUM(AKTIVITY_POZICIE!$M$41:$M$52)*1.2)/AKTIVITY_POZICIE!$B$41)),0)</f>
        <v>0</v>
      </c>
      <c r="P155" s="576">
        <f>IFERROR(IF((POZICIE_INTERNE!$B$40-12*('TCO TO BE- SW'!$D155-1))&gt;12,((P$4+'TCO TO BE - HW'!P$4)/($E$4+'TCO TO BE - HW'!$E$4)*SUM(POZICIE_INTERNE!$I$40:$I$51))/POZICIE_INTERNE!$B$40*12,IF((POZICIE_INTERNE!$B$40-12*('TCO TO BE- SW'!$D155-1))&lt;0,0,(POZICIE_INTERNE!$B$40-12*('TCO TO BE- SW'!$D155-1))*((P$4+'TCO TO BE - HW'!P$4)/($E$4+'TCO TO BE - HW'!$E$4)*SUM(POZICIE_INTERNE!$I$40:$I$51))/POZICIE_INTERNE!$B$40)),0)+IFERROR(IF((AKTIVITY_POZICIE!$B$41-12*('TCO TO BE- SW'!$D155-1))&gt;12,((P$4+'TCO TO BE - HW'!P$4)/($E$4+'TCO TO BE - HW'!$E$4)*SUM(AKTIVITY_POZICIE!$M$41:$M$52)*1.2)/AKTIVITY_POZICIE!$B$41*12,IF((AKTIVITY_POZICIE!$B$41-12*('TCO TO BE- SW'!$D155-1))&lt;0,0,(AKTIVITY_POZICIE!$B$41-12*('TCO TO BE- SW'!$D155-1))*((P$4+'TCO TO BE - HW'!P$4)/($E$4+'TCO TO BE - HW'!$E$4)*SUM(AKTIVITY_POZICIE!$M$41:$M$52)*1.2)/AKTIVITY_POZICIE!$B$41)),0)</f>
        <v>0</v>
      </c>
      <c r="Q155" s="576">
        <f>IFERROR(IF((POZICIE_INTERNE!$B$40-12*('TCO TO BE- SW'!$D155-1))&gt;12,((Q$4+'TCO TO BE - HW'!Q$4)/($E$4+'TCO TO BE - HW'!$E$4)*SUM(POZICIE_INTERNE!$I$40:$I$51))/POZICIE_INTERNE!$B$40*12,IF((POZICIE_INTERNE!$B$40-12*('TCO TO BE- SW'!$D155-1))&lt;0,0,(POZICIE_INTERNE!$B$40-12*('TCO TO BE- SW'!$D155-1))*((Q$4+'TCO TO BE - HW'!Q$4)/($E$4+'TCO TO BE - HW'!$E$4)*SUM(POZICIE_INTERNE!$I$40:$I$51))/POZICIE_INTERNE!$B$40)),0)+IFERROR(IF((AKTIVITY_POZICIE!$B$41-12*('TCO TO BE- SW'!$D155-1))&gt;12,((Q$4+'TCO TO BE - HW'!Q$4)/($E$4+'TCO TO BE - HW'!$E$4)*SUM(AKTIVITY_POZICIE!$M$41:$M$52)*1.2)/AKTIVITY_POZICIE!$B$41*12,IF((AKTIVITY_POZICIE!$B$41-12*('TCO TO BE- SW'!$D155-1))&lt;0,0,(AKTIVITY_POZICIE!$B$41-12*('TCO TO BE- SW'!$D155-1))*((Q$4+'TCO TO BE - HW'!Q$4)/($E$4+'TCO TO BE - HW'!$E$4)*SUM(AKTIVITY_POZICIE!$M$41:$M$52)*1.2)/AKTIVITY_POZICIE!$B$41)),0)</f>
        <v>0</v>
      </c>
      <c r="R155" s="576">
        <f>IFERROR(IF((POZICIE_INTERNE!$B$40-12*('TCO TO BE- SW'!$D155-1))&gt;12,((R$4+'TCO TO BE - HW'!R$4)/($E$4+'TCO TO BE - HW'!$E$4)*SUM(POZICIE_INTERNE!$I$40:$I$51))/POZICIE_INTERNE!$B$40*12,IF((POZICIE_INTERNE!$B$40-12*('TCO TO BE- SW'!$D155-1))&lt;0,0,(POZICIE_INTERNE!$B$40-12*('TCO TO BE- SW'!$D155-1))*((R$4+'TCO TO BE - HW'!R$4)/($E$4+'TCO TO BE - HW'!$E$4)*SUM(POZICIE_INTERNE!$I$40:$I$51))/POZICIE_INTERNE!$B$40)),0)+IFERROR(IF((AKTIVITY_POZICIE!$B$41-12*('TCO TO BE- SW'!$D155-1))&gt;12,((R$4+'TCO TO BE - HW'!R$4)/($E$4+'TCO TO BE - HW'!$E$4)*SUM(AKTIVITY_POZICIE!$M$41:$M$52)*1.2)/AKTIVITY_POZICIE!$B$41*12,IF((AKTIVITY_POZICIE!$B$41-12*('TCO TO BE- SW'!$D155-1))&lt;0,0,(AKTIVITY_POZICIE!$B$41-12*('TCO TO BE- SW'!$D155-1))*((R$4+'TCO TO BE - HW'!R$4)/($E$4+'TCO TO BE - HW'!$E$4)*SUM(AKTIVITY_POZICIE!$M$41:$M$52)*1.2)/AKTIVITY_POZICIE!$B$41)),0)</f>
        <v>0</v>
      </c>
      <c r="S155" s="576">
        <f>IFERROR(IF((POZICIE_INTERNE!$B$40-12*('TCO TO BE- SW'!$D155-1))&gt;12,((S$4+'TCO TO BE - HW'!S$4)/($E$4+'TCO TO BE - HW'!$E$4)*SUM(POZICIE_INTERNE!$I$40:$I$51))/POZICIE_INTERNE!$B$40*12,IF((POZICIE_INTERNE!$B$40-12*('TCO TO BE- SW'!$D155-1))&lt;0,0,(POZICIE_INTERNE!$B$40-12*('TCO TO BE- SW'!$D155-1))*((S$4+'TCO TO BE - HW'!S$4)/($E$4+'TCO TO BE - HW'!$E$4)*SUM(POZICIE_INTERNE!$I$40:$I$51))/POZICIE_INTERNE!$B$40)),0)+IFERROR(IF((AKTIVITY_POZICIE!$B$41-12*('TCO TO BE- SW'!$D155-1))&gt;12,((S$4+'TCO TO BE - HW'!S$4)/($E$4+'TCO TO BE - HW'!$E$4)*SUM(AKTIVITY_POZICIE!$M$41:$M$52)*1.2)/AKTIVITY_POZICIE!$B$41*12,IF((AKTIVITY_POZICIE!$B$41-12*('TCO TO BE- SW'!$D155-1))&lt;0,0,(AKTIVITY_POZICIE!$B$41-12*('TCO TO BE- SW'!$D155-1))*((S$4+'TCO TO BE - HW'!S$4)/($E$4+'TCO TO BE - HW'!$E$4)*SUM(AKTIVITY_POZICIE!$M$41:$M$52)*1.2)/AKTIVITY_POZICIE!$B$41)),0)</f>
        <v>0</v>
      </c>
      <c r="T155" s="576">
        <f>IFERROR(IF((POZICIE_INTERNE!$B$40-12*('TCO TO BE- SW'!$D155-1))&gt;12,((T$4+'TCO TO BE - HW'!T$4)/($E$4+'TCO TO BE - HW'!$E$4)*SUM(POZICIE_INTERNE!$I$40:$I$51))/POZICIE_INTERNE!$B$40*12,IF((POZICIE_INTERNE!$B$40-12*('TCO TO BE- SW'!$D155-1))&lt;0,0,(POZICIE_INTERNE!$B$40-12*('TCO TO BE- SW'!$D155-1))*((T$4+'TCO TO BE - HW'!T$4)/($E$4+'TCO TO BE - HW'!$E$4)*SUM(POZICIE_INTERNE!$I$40:$I$51))/POZICIE_INTERNE!$B$40)),0)+IFERROR(IF((AKTIVITY_POZICIE!$B$41-12*('TCO TO BE- SW'!$D155-1))&gt;12,((T$4+'TCO TO BE - HW'!T$4)/($E$4+'TCO TO BE - HW'!$E$4)*SUM(AKTIVITY_POZICIE!$M$41:$M$52)*1.2)/AKTIVITY_POZICIE!$B$41*12,IF((AKTIVITY_POZICIE!$B$41-12*('TCO TO BE- SW'!$D155-1))&lt;0,0,(AKTIVITY_POZICIE!$B$41-12*('TCO TO BE- SW'!$D155-1))*((T$4+'TCO TO BE - HW'!T$4)/($E$4+'TCO TO BE - HW'!$E$4)*SUM(AKTIVITY_POZICIE!$M$41:$M$52)*1.2)/AKTIVITY_POZICIE!$B$41)),0)</f>
        <v>0</v>
      </c>
      <c r="U155" s="576">
        <f>IFERROR(IF((POZICIE_INTERNE!$B$40-12*('TCO TO BE- SW'!$D155-1))&gt;12,((U$4+'TCO TO BE - HW'!U$4)/($E$4+'TCO TO BE - HW'!$E$4)*SUM(POZICIE_INTERNE!$I$40:$I$51))/POZICIE_INTERNE!$B$40*12,IF((POZICIE_INTERNE!$B$40-12*('TCO TO BE- SW'!$D155-1))&lt;0,0,(POZICIE_INTERNE!$B$40-12*('TCO TO BE- SW'!$D155-1))*((U$4+'TCO TO BE - HW'!U$4)/($E$4+'TCO TO BE - HW'!$E$4)*SUM(POZICIE_INTERNE!$I$40:$I$51))/POZICIE_INTERNE!$B$40)),0)+IFERROR(IF((AKTIVITY_POZICIE!$B$41-12*('TCO TO BE- SW'!$D155-1))&gt;12,((U$4+'TCO TO BE - HW'!U$4)/($E$4+'TCO TO BE - HW'!$E$4)*SUM(AKTIVITY_POZICIE!$M$41:$M$52)*1.2)/AKTIVITY_POZICIE!$B$41*12,IF((AKTIVITY_POZICIE!$B$41-12*('TCO TO BE- SW'!$D155-1))&lt;0,0,(AKTIVITY_POZICIE!$B$41-12*('TCO TO BE- SW'!$D155-1))*((U$4+'TCO TO BE - HW'!U$4)/($E$4+'TCO TO BE - HW'!$E$4)*SUM(AKTIVITY_POZICIE!$M$41:$M$52)*1.2)/AKTIVITY_POZICIE!$B$41)),0)</f>
        <v>0</v>
      </c>
      <c r="V155" s="576">
        <f>IFERROR(IF((POZICIE_INTERNE!$B$40-12*('TCO TO BE- SW'!$D155-1))&gt;12,((V$4+'TCO TO BE - HW'!V$4)/($E$4+'TCO TO BE - HW'!$E$4)*SUM(POZICIE_INTERNE!$I$40:$I$51))/POZICIE_INTERNE!$B$40*12,IF((POZICIE_INTERNE!$B$40-12*('TCO TO BE- SW'!$D155-1))&lt;0,0,(POZICIE_INTERNE!$B$40-12*('TCO TO BE- SW'!$D155-1))*((V$4+'TCO TO BE - HW'!V$4)/($E$4+'TCO TO BE - HW'!$E$4)*SUM(POZICIE_INTERNE!$I$40:$I$51))/POZICIE_INTERNE!$B$40)),0)+IFERROR(IF((AKTIVITY_POZICIE!$B$41-12*('TCO TO BE- SW'!$D155-1))&gt;12,((V$4+'TCO TO BE - HW'!V$4)/($E$4+'TCO TO BE - HW'!$E$4)*SUM(AKTIVITY_POZICIE!$M$41:$M$52)*1.2)/AKTIVITY_POZICIE!$B$41*12,IF((AKTIVITY_POZICIE!$B$41-12*('TCO TO BE- SW'!$D155-1))&lt;0,0,(AKTIVITY_POZICIE!$B$41-12*('TCO TO BE- SW'!$D155-1))*((V$4+'TCO TO BE - HW'!V$4)/($E$4+'TCO TO BE - HW'!$E$4)*SUM(AKTIVITY_POZICIE!$M$41:$M$52)*1.2)/AKTIVITY_POZICIE!$B$41)),0)</f>
        <v>0</v>
      </c>
      <c r="W155" s="576">
        <f>IFERROR(IF((POZICIE_INTERNE!$B$40-12*('TCO TO BE- SW'!$D155-1))&gt;12,((W$4+'TCO TO BE - HW'!W$4)/($E$4+'TCO TO BE - HW'!$E$4)*SUM(POZICIE_INTERNE!$I$40:$I$51))/POZICIE_INTERNE!$B$40*12,IF((POZICIE_INTERNE!$B$40-12*('TCO TO BE- SW'!$D155-1))&lt;0,0,(POZICIE_INTERNE!$B$40-12*('TCO TO BE- SW'!$D155-1))*((W$4+'TCO TO BE - HW'!W$4)/($E$4+'TCO TO BE - HW'!$E$4)*SUM(POZICIE_INTERNE!$I$40:$I$51))/POZICIE_INTERNE!$B$40)),0)+IFERROR(IF((AKTIVITY_POZICIE!$B$41-12*('TCO TO BE- SW'!$D155-1))&gt;12,((W$4+'TCO TO BE - HW'!W$4)/($E$4+'TCO TO BE - HW'!$E$4)*SUM(AKTIVITY_POZICIE!$M$41:$M$52)*1.2)/AKTIVITY_POZICIE!$B$41*12,IF((AKTIVITY_POZICIE!$B$41-12*('TCO TO BE- SW'!$D155-1))&lt;0,0,(AKTIVITY_POZICIE!$B$41-12*('TCO TO BE- SW'!$D155-1))*((W$4+'TCO TO BE - HW'!W$4)/($E$4+'TCO TO BE - HW'!$E$4)*SUM(AKTIVITY_POZICIE!$M$41:$M$52)*1.2)/AKTIVITY_POZICIE!$B$41)),0)</f>
        <v>0</v>
      </c>
      <c r="X155" s="576">
        <f>IFERROR(IF((POZICIE_INTERNE!$B$40-12*('TCO TO BE- SW'!$D155-1))&gt;12,((X$4+'TCO TO BE - HW'!X$4)/($E$4+'TCO TO BE - HW'!$E$4)*SUM(POZICIE_INTERNE!$I$40:$I$51))/POZICIE_INTERNE!$B$40*12,IF((POZICIE_INTERNE!$B$40-12*('TCO TO BE- SW'!$D155-1))&lt;0,0,(POZICIE_INTERNE!$B$40-12*('TCO TO BE- SW'!$D155-1))*((X$4+'TCO TO BE - HW'!X$4)/($E$4+'TCO TO BE - HW'!$E$4)*SUM(POZICIE_INTERNE!$I$40:$I$51))/POZICIE_INTERNE!$B$40)),0)+IFERROR(IF((AKTIVITY_POZICIE!$B$41-12*('TCO TO BE- SW'!$D155-1))&gt;12,((X$4+'TCO TO BE - HW'!X$4)/($E$4+'TCO TO BE - HW'!$E$4)*SUM(AKTIVITY_POZICIE!$M$41:$M$52)*1.2)/AKTIVITY_POZICIE!$B$41*12,IF((AKTIVITY_POZICIE!$B$41-12*('TCO TO BE- SW'!$D155-1))&lt;0,0,(AKTIVITY_POZICIE!$B$41-12*('TCO TO BE- SW'!$D155-1))*((X$4+'TCO TO BE - HW'!X$4)/($E$4+'TCO TO BE - HW'!$E$4)*SUM(AKTIVITY_POZICIE!$M$41:$M$52)*1.2)/AKTIVITY_POZICIE!$B$41)),0)</f>
        <v>0</v>
      </c>
      <c r="Y155" s="576">
        <f>IFERROR(IF((POZICIE_INTERNE!$B$40-12*('TCO TO BE- SW'!$D155-1))&gt;12,((Y$4+'TCO TO BE - HW'!Y$4)/($E$4+'TCO TO BE - HW'!$E$4)*SUM(POZICIE_INTERNE!$I$40:$I$51))/POZICIE_INTERNE!$B$40*12,IF((POZICIE_INTERNE!$B$40-12*('TCO TO BE- SW'!$D155-1))&lt;0,0,(POZICIE_INTERNE!$B$40-12*('TCO TO BE- SW'!$D155-1))*((Y$4+'TCO TO BE - HW'!Y$4)/($E$4+'TCO TO BE - HW'!$E$4)*SUM(POZICIE_INTERNE!$I$40:$I$51))/POZICIE_INTERNE!$B$40)),0)+IFERROR(IF((AKTIVITY_POZICIE!$B$41-12*('TCO TO BE- SW'!$D155-1))&gt;12,((Y$4+'TCO TO BE - HW'!Y$4)/($E$4+'TCO TO BE - HW'!$E$4)*SUM(AKTIVITY_POZICIE!$M$41:$M$52)*1.2)/AKTIVITY_POZICIE!$B$41*12,IF((AKTIVITY_POZICIE!$B$41-12*('TCO TO BE- SW'!$D155-1))&lt;0,0,(AKTIVITY_POZICIE!$B$41-12*('TCO TO BE- SW'!$D155-1))*((Y$4+'TCO TO BE - HW'!Y$4)/($E$4+'TCO TO BE - HW'!$E$4)*SUM(AKTIVITY_POZICIE!$M$41:$M$52)*1.2)/AKTIVITY_POZICIE!$B$41)),0)</f>
        <v>0</v>
      </c>
      <c r="Z155" s="576">
        <f>IFERROR(IF((POZICIE_INTERNE!$B$40-12*('TCO TO BE- SW'!$D155-1))&gt;12,((Z$4+'TCO TO BE - HW'!Z$4)/($E$4+'TCO TO BE - HW'!$E$4)*SUM(POZICIE_INTERNE!$I$40:$I$51))/POZICIE_INTERNE!$B$40*12,IF((POZICIE_INTERNE!$B$40-12*('TCO TO BE- SW'!$D155-1))&lt;0,0,(POZICIE_INTERNE!$B$40-12*('TCO TO BE- SW'!$D155-1))*((Z$4+'TCO TO BE - HW'!Z$4)/($E$4+'TCO TO BE - HW'!$E$4)*SUM(POZICIE_INTERNE!$I$40:$I$51))/POZICIE_INTERNE!$B$40)),0)+IFERROR(IF((AKTIVITY_POZICIE!$B$41-12*('TCO TO BE- SW'!$D155-1))&gt;12,((Z$4+'TCO TO BE - HW'!Z$4)/($E$4+'TCO TO BE - HW'!$E$4)*SUM(AKTIVITY_POZICIE!$M$41:$M$52)*1.2)/AKTIVITY_POZICIE!$B$41*12,IF((AKTIVITY_POZICIE!$B$41-12*('TCO TO BE- SW'!$D155-1))&lt;0,0,(AKTIVITY_POZICIE!$B$41-12*('TCO TO BE- SW'!$D155-1))*((Z$4+'TCO TO BE - HW'!Z$4)/($E$4+'TCO TO BE - HW'!$E$4)*SUM(AKTIVITY_POZICIE!$M$41:$M$52)*1.2)/AKTIVITY_POZICIE!$B$41)),0)</f>
        <v>0</v>
      </c>
    </row>
    <row r="156" spans="1:26">
      <c r="A156" s="875"/>
      <c r="B156" s="876"/>
      <c r="C156" s="876"/>
      <c r="D156" s="64">
        <v>6</v>
      </c>
      <c r="E156" s="68">
        <f t="shared" si="16"/>
        <v>0</v>
      </c>
      <c r="F156" s="576">
        <f>IFERROR(IF((POZICIE_INTERNE!$B$40-12*('TCO TO BE- SW'!$D156-1))&gt;12,((F$4+'TCO TO BE - HW'!F$4)/($E$4+'TCO TO BE - HW'!$E$4)*SUM(POZICIE_INTERNE!$I$40:$I$51))/POZICIE_INTERNE!$B$40*12,IF((POZICIE_INTERNE!$B$40-12*('TCO TO BE- SW'!$D156-1))&lt;0,0,(POZICIE_INTERNE!$B$40-12*('TCO TO BE- SW'!$D156-1))*((F$4+'TCO TO BE - HW'!F$4)/($E$4+'TCO TO BE - HW'!$E$4)*SUM(POZICIE_INTERNE!$I$40:$I$51))/POZICIE_INTERNE!$B$40)),0)+IFERROR(IF((AKTIVITY_POZICIE!$B$41-12*('TCO TO BE- SW'!$D156-1))&gt;12,((F$4+'TCO TO BE - HW'!F$4)/($E$4+'TCO TO BE - HW'!$E$4)*SUM(AKTIVITY_POZICIE!$M$41:$M$52)*1.2)/AKTIVITY_POZICIE!$B$41*12,IF((AKTIVITY_POZICIE!$B$41-12*('TCO TO BE- SW'!$D156-1))&lt;0,0,(AKTIVITY_POZICIE!$B$41-12*('TCO TO BE- SW'!$D156-1))*((F$4+'TCO TO BE - HW'!F$4)/($E$4+'TCO TO BE - HW'!$E$4)*SUM(AKTIVITY_POZICIE!$M$41:$M$52)*1.2)/AKTIVITY_POZICIE!$B$41)),0)</f>
        <v>0</v>
      </c>
      <c r="G156" s="576">
        <f>IFERROR(IF((POZICIE_INTERNE!$B$40-12*('TCO TO BE- SW'!$D156-1))&gt;12,((G$4+'TCO TO BE - HW'!G$4)/($E$4+'TCO TO BE - HW'!$E$4)*SUM(POZICIE_INTERNE!$I$40:$I$51))/POZICIE_INTERNE!$B$40*12,IF((POZICIE_INTERNE!$B$40-12*('TCO TO BE- SW'!$D156-1))&lt;0,0,(POZICIE_INTERNE!$B$40-12*('TCO TO BE- SW'!$D156-1))*((G$4+'TCO TO BE - HW'!G$4)/($E$4+'TCO TO BE - HW'!$E$4)*SUM(POZICIE_INTERNE!$I$40:$I$51))/POZICIE_INTERNE!$B$40)),0)+IFERROR(IF((AKTIVITY_POZICIE!$B$41-12*('TCO TO BE- SW'!$D156-1))&gt;12,((G$4+'TCO TO BE - HW'!G$4)/($E$4+'TCO TO BE - HW'!$E$4)*SUM(AKTIVITY_POZICIE!$M$41:$M$52)*1.2)/AKTIVITY_POZICIE!$B$41*12,IF((AKTIVITY_POZICIE!$B$41-12*('TCO TO BE- SW'!$D156-1))&lt;0,0,(AKTIVITY_POZICIE!$B$41-12*('TCO TO BE- SW'!$D156-1))*((G$4+'TCO TO BE - HW'!G$4)/($E$4+'TCO TO BE - HW'!$E$4)*SUM(AKTIVITY_POZICIE!$M$41:$M$52)*1.2)/AKTIVITY_POZICIE!$B$41)),0)</f>
        <v>0</v>
      </c>
      <c r="H156" s="576">
        <f>IFERROR(IF((POZICIE_INTERNE!$B$40-12*('TCO TO BE- SW'!$D156-1))&gt;12,((H$4+'TCO TO BE - HW'!H$4)/($E$4+'TCO TO BE - HW'!$E$4)*SUM(POZICIE_INTERNE!$I$40:$I$51))/POZICIE_INTERNE!$B$40*12,IF((POZICIE_INTERNE!$B$40-12*('TCO TO BE- SW'!$D156-1))&lt;0,0,(POZICIE_INTERNE!$B$40-12*('TCO TO BE- SW'!$D156-1))*((H$4+'TCO TO BE - HW'!H$4)/($E$4+'TCO TO BE - HW'!$E$4)*SUM(POZICIE_INTERNE!$I$40:$I$51))/POZICIE_INTERNE!$B$40)),0)+IFERROR(IF((AKTIVITY_POZICIE!$B$41-12*('TCO TO BE- SW'!$D156-1))&gt;12,((H$4+'TCO TO BE - HW'!H$4)/($E$4+'TCO TO BE - HW'!$E$4)*SUM(AKTIVITY_POZICIE!$M$41:$M$52)*1.2)/AKTIVITY_POZICIE!$B$41*12,IF((AKTIVITY_POZICIE!$B$41-12*('TCO TO BE- SW'!$D156-1))&lt;0,0,(AKTIVITY_POZICIE!$B$41-12*('TCO TO BE- SW'!$D156-1))*((H$4+'TCO TO BE - HW'!H$4)/($E$4+'TCO TO BE - HW'!$E$4)*SUM(AKTIVITY_POZICIE!$M$41:$M$52)*1.2)/AKTIVITY_POZICIE!$B$41)),0)</f>
        <v>0</v>
      </c>
      <c r="I156" s="576">
        <f>IFERROR(IF((POZICIE_INTERNE!$B$40-12*('TCO TO BE- SW'!$D156-1))&gt;12,((I$4+'TCO TO BE - HW'!I$4)/($E$4+'TCO TO BE - HW'!$E$4)*SUM(POZICIE_INTERNE!$I$40:$I$51))/POZICIE_INTERNE!$B$40*12,IF((POZICIE_INTERNE!$B$40-12*('TCO TO BE- SW'!$D156-1))&lt;0,0,(POZICIE_INTERNE!$B$40-12*('TCO TO BE- SW'!$D156-1))*((I$4+'TCO TO BE - HW'!I$4)/($E$4+'TCO TO BE - HW'!$E$4)*SUM(POZICIE_INTERNE!$I$40:$I$51))/POZICIE_INTERNE!$B$40)),0)+IFERROR(IF((AKTIVITY_POZICIE!$B$41-12*('TCO TO BE- SW'!$D156-1))&gt;12,((I$4+'TCO TO BE - HW'!I$4)/($E$4+'TCO TO BE - HW'!$E$4)*SUM(AKTIVITY_POZICIE!$M$41:$M$52)*1.2)/AKTIVITY_POZICIE!$B$41*12,IF((AKTIVITY_POZICIE!$B$41-12*('TCO TO BE- SW'!$D156-1))&lt;0,0,(AKTIVITY_POZICIE!$B$41-12*('TCO TO BE- SW'!$D156-1))*((I$4+'TCO TO BE - HW'!I$4)/($E$4+'TCO TO BE - HW'!$E$4)*SUM(AKTIVITY_POZICIE!$M$41:$M$52)*1.2)/AKTIVITY_POZICIE!$B$41)),0)</f>
        <v>0</v>
      </c>
      <c r="J156" s="576">
        <f>IFERROR(IF((POZICIE_INTERNE!$B$40-12*('TCO TO BE- SW'!$D156-1))&gt;12,((J$4+'TCO TO BE - HW'!J$4)/($E$4+'TCO TO BE - HW'!$E$4)*SUM(POZICIE_INTERNE!$I$40:$I$51))/POZICIE_INTERNE!$B$40*12,IF((POZICIE_INTERNE!$B$40-12*('TCO TO BE- SW'!$D156-1))&lt;0,0,(POZICIE_INTERNE!$B$40-12*('TCO TO BE- SW'!$D156-1))*((J$4+'TCO TO BE - HW'!J$4)/($E$4+'TCO TO BE - HW'!$E$4)*SUM(POZICIE_INTERNE!$I$40:$I$51))/POZICIE_INTERNE!$B$40)),0)+IFERROR(IF((AKTIVITY_POZICIE!$B$41-12*('TCO TO BE- SW'!$D156-1))&gt;12,((J$4+'TCO TO BE - HW'!J$4)/($E$4+'TCO TO BE - HW'!$E$4)*SUM(AKTIVITY_POZICIE!$M$41:$M$52)*1.2)/AKTIVITY_POZICIE!$B$41*12,IF((AKTIVITY_POZICIE!$B$41-12*('TCO TO BE- SW'!$D156-1))&lt;0,0,(AKTIVITY_POZICIE!$B$41-12*('TCO TO BE- SW'!$D156-1))*((J$4+'TCO TO BE - HW'!J$4)/($E$4+'TCO TO BE - HW'!$E$4)*SUM(AKTIVITY_POZICIE!$M$41:$M$52)*1.2)/AKTIVITY_POZICIE!$B$41)),0)</f>
        <v>0</v>
      </c>
      <c r="K156" s="576">
        <f>IFERROR(IF((POZICIE_INTERNE!$B$40-12*('TCO TO BE- SW'!$D156-1))&gt;12,((K$4+'TCO TO BE - HW'!K$4)/($E$4+'TCO TO BE - HW'!$E$4)*SUM(POZICIE_INTERNE!$I$40:$I$51))/POZICIE_INTERNE!$B$40*12,IF((POZICIE_INTERNE!$B$40-12*('TCO TO BE- SW'!$D156-1))&lt;0,0,(POZICIE_INTERNE!$B$40-12*('TCO TO BE- SW'!$D156-1))*((K$4+'TCO TO BE - HW'!K$4)/($E$4+'TCO TO BE - HW'!$E$4)*SUM(POZICIE_INTERNE!$I$40:$I$51))/POZICIE_INTERNE!$B$40)),0)+IFERROR(IF((AKTIVITY_POZICIE!$B$41-12*('TCO TO BE- SW'!$D156-1))&gt;12,((K$4+'TCO TO BE - HW'!K$4)/($E$4+'TCO TO BE - HW'!$E$4)*SUM(AKTIVITY_POZICIE!$M$41:$M$52)*1.2)/AKTIVITY_POZICIE!$B$41*12,IF((AKTIVITY_POZICIE!$B$41-12*('TCO TO BE- SW'!$D156-1))&lt;0,0,(AKTIVITY_POZICIE!$B$41-12*('TCO TO BE- SW'!$D156-1))*((K$4+'TCO TO BE - HW'!K$4)/($E$4+'TCO TO BE - HW'!$E$4)*SUM(AKTIVITY_POZICIE!$M$41:$M$52)*1.2)/AKTIVITY_POZICIE!$B$41)),0)</f>
        <v>0</v>
      </c>
      <c r="L156" s="576">
        <f>IFERROR(IF((POZICIE_INTERNE!$B$40-12*('TCO TO BE- SW'!$D156-1))&gt;12,((L$4+'TCO TO BE - HW'!L$4)/($E$4+'TCO TO BE - HW'!$E$4)*SUM(POZICIE_INTERNE!$I$40:$I$51))/POZICIE_INTERNE!$B$40*12,IF((POZICIE_INTERNE!$B$40-12*('TCO TO BE- SW'!$D156-1))&lt;0,0,(POZICIE_INTERNE!$B$40-12*('TCO TO BE- SW'!$D156-1))*((L$4+'TCO TO BE - HW'!L$4)/($E$4+'TCO TO BE - HW'!$E$4)*SUM(POZICIE_INTERNE!$I$40:$I$51))/POZICIE_INTERNE!$B$40)),0)+IFERROR(IF((AKTIVITY_POZICIE!$B$41-12*('TCO TO BE- SW'!$D156-1))&gt;12,((L$4+'TCO TO BE - HW'!L$4)/($E$4+'TCO TO BE - HW'!$E$4)*SUM(AKTIVITY_POZICIE!$M$41:$M$52)*1.2)/AKTIVITY_POZICIE!$B$41*12,IF((AKTIVITY_POZICIE!$B$41-12*('TCO TO BE- SW'!$D156-1))&lt;0,0,(AKTIVITY_POZICIE!$B$41-12*('TCO TO BE- SW'!$D156-1))*((L$4+'TCO TO BE - HW'!L$4)/($E$4+'TCO TO BE - HW'!$E$4)*SUM(AKTIVITY_POZICIE!$M$41:$M$52)*1.2)/AKTIVITY_POZICIE!$B$41)),0)</f>
        <v>0</v>
      </c>
      <c r="M156" s="576">
        <f>IFERROR(IF((POZICIE_INTERNE!$B$40-12*('TCO TO BE- SW'!$D156-1))&gt;12,((M$4+'TCO TO BE - HW'!M$4)/($E$4+'TCO TO BE - HW'!$E$4)*SUM(POZICIE_INTERNE!$I$40:$I$51))/POZICIE_INTERNE!$B$40*12,IF((POZICIE_INTERNE!$B$40-12*('TCO TO BE- SW'!$D156-1))&lt;0,0,(POZICIE_INTERNE!$B$40-12*('TCO TO BE- SW'!$D156-1))*((M$4+'TCO TO BE - HW'!M$4)/($E$4+'TCO TO BE - HW'!$E$4)*SUM(POZICIE_INTERNE!$I$40:$I$51))/POZICIE_INTERNE!$B$40)),0)+IFERROR(IF((AKTIVITY_POZICIE!$B$41-12*('TCO TO BE- SW'!$D156-1))&gt;12,((M$4+'TCO TO BE - HW'!M$4)/($E$4+'TCO TO BE - HW'!$E$4)*SUM(AKTIVITY_POZICIE!$M$41:$M$52)*1.2)/AKTIVITY_POZICIE!$B$41*12,IF((AKTIVITY_POZICIE!$B$41-12*('TCO TO BE- SW'!$D156-1))&lt;0,0,(AKTIVITY_POZICIE!$B$41-12*('TCO TO BE- SW'!$D156-1))*((M$4+'TCO TO BE - HW'!M$4)/($E$4+'TCO TO BE - HW'!$E$4)*SUM(AKTIVITY_POZICIE!$M$41:$M$52)*1.2)/AKTIVITY_POZICIE!$B$41)),0)</f>
        <v>0</v>
      </c>
      <c r="N156" s="576">
        <f>IFERROR(IF((POZICIE_INTERNE!$B$40-12*('TCO TO BE- SW'!$D156-1))&gt;12,((N$4+'TCO TO BE - HW'!N$4)/($E$4+'TCO TO BE - HW'!$E$4)*SUM(POZICIE_INTERNE!$I$40:$I$51))/POZICIE_INTERNE!$B$40*12,IF((POZICIE_INTERNE!$B$40-12*('TCO TO BE- SW'!$D156-1))&lt;0,0,(POZICIE_INTERNE!$B$40-12*('TCO TO BE- SW'!$D156-1))*((N$4+'TCO TO BE - HW'!N$4)/($E$4+'TCO TO BE - HW'!$E$4)*SUM(POZICIE_INTERNE!$I$40:$I$51))/POZICIE_INTERNE!$B$40)),0)+IFERROR(IF((AKTIVITY_POZICIE!$B$41-12*('TCO TO BE- SW'!$D156-1))&gt;12,((N$4+'TCO TO BE - HW'!N$4)/($E$4+'TCO TO BE - HW'!$E$4)*SUM(AKTIVITY_POZICIE!$M$41:$M$52)*1.2)/AKTIVITY_POZICIE!$B$41*12,IF((AKTIVITY_POZICIE!$B$41-12*('TCO TO BE- SW'!$D156-1))&lt;0,0,(AKTIVITY_POZICIE!$B$41-12*('TCO TO BE- SW'!$D156-1))*((N$4+'TCO TO BE - HW'!N$4)/($E$4+'TCO TO BE - HW'!$E$4)*SUM(AKTIVITY_POZICIE!$M$41:$M$52)*1.2)/AKTIVITY_POZICIE!$B$41)),0)</f>
        <v>0</v>
      </c>
      <c r="O156" s="576">
        <f>IFERROR(IF((POZICIE_INTERNE!$B$40-12*('TCO TO BE- SW'!$D156-1))&gt;12,((O$4+'TCO TO BE - HW'!O$4)/($E$4+'TCO TO BE - HW'!$E$4)*SUM(POZICIE_INTERNE!$I$40:$I$51))/POZICIE_INTERNE!$B$40*12,IF((POZICIE_INTERNE!$B$40-12*('TCO TO BE- SW'!$D156-1))&lt;0,0,(POZICIE_INTERNE!$B$40-12*('TCO TO BE- SW'!$D156-1))*((O$4+'TCO TO BE - HW'!O$4)/($E$4+'TCO TO BE - HW'!$E$4)*SUM(POZICIE_INTERNE!$I$40:$I$51))/POZICIE_INTERNE!$B$40)),0)+IFERROR(IF((AKTIVITY_POZICIE!$B$41-12*('TCO TO BE- SW'!$D156-1))&gt;12,((O$4+'TCO TO BE - HW'!O$4)/($E$4+'TCO TO BE - HW'!$E$4)*SUM(AKTIVITY_POZICIE!$M$41:$M$52)*1.2)/AKTIVITY_POZICIE!$B$41*12,IF((AKTIVITY_POZICIE!$B$41-12*('TCO TO BE- SW'!$D156-1))&lt;0,0,(AKTIVITY_POZICIE!$B$41-12*('TCO TO BE- SW'!$D156-1))*((O$4+'TCO TO BE - HW'!O$4)/($E$4+'TCO TO BE - HW'!$E$4)*SUM(AKTIVITY_POZICIE!$M$41:$M$52)*1.2)/AKTIVITY_POZICIE!$B$41)),0)</f>
        <v>0</v>
      </c>
      <c r="P156" s="576">
        <f>IFERROR(IF((POZICIE_INTERNE!$B$40-12*('TCO TO BE- SW'!$D156-1))&gt;12,((P$4+'TCO TO BE - HW'!P$4)/($E$4+'TCO TO BE - HW'!$E$4)*SUM(POZICIE_INTERNE!$I$40:$I$51))/POZICIE_INTERNE!$B$40*12,IF((POZICIE_INTERNE!$B$40-12*('TCO TO BE- SW'!$D156-1))&lt;0,0,(POZICIE_INTERNE!$B$40-12*('TCO TO BE- SW'!$D156-1))*((P$4+'TCO TO BE - HW'!P$4)/($E$4+'TCO TO BE - HW'!$E$4)*SUM(POZICIE_INTERNE!$I$40:$I$51))/POZICIE_INTERNE!$B$40)),0)+IFERROR(IF((AKTIVITY_POZICIE!$B$41-12*('TCO TO BE- SW'!$D156-1))&gt;12,((P$4+'TCO TO BE - HW'!P$4)/($E$4+'TCO TO BE - HW'!$E$4)*SUM(AKTIVITY_POZICIE!$M$41:$M$52)*1.2)/AKTIVITY_POZICIE!$B$41*12,IF((AKTIVITY_POZICIE!$B$41-12*('TCO TO BE- SW'!$D156-1))&lt;0,0,(AKTIVITY_POZICIE!$B$41-12*('TCO TO BE- SW'!$D156-1))*((P$4+'TCO TO BE - HW'!P$4)/($E$4+'TCO TO BE - HW'!$E$4)*SUM(AKTIVITY_POZICIE!$M$41:$M$52)*1.2)/AKTIVITY_POZICIE!$B$41)),0)</f>
        <v>0</v>
      </c>
      <c r="Q156" s="576">
        <f>IFERROR(IF((POZICIE_INTERNE!$B$40-12*('TCO TO BE- SW'!$D156-1))&gt;12,((Q$4+'TCO TO BE - HW'!Q$4)/($E$4+'TCO TO BE - HW'!$E$4)*SUM(POZICIE_INTERNE!$I$40:$I$51))/POZICIE_INTERNE!$B$40*12,IF((POZICIE_INTERNE!$B$40-12*('TCO TO BE- SW'!$D156-1))&lt;0,0,(POZICIE_INTERNE!$B$40-12*('TCO TO BE- SW'!$D156-1))*((Q$4+'TCO TO BE - HW'!Q$4)/($E$4+'TCO TO BE - HW'!$E$4)*SUM(POZICIE_INTERNE!$I$40:$I$51))/POZICIE_INTERNE!$B$40)),0)+IFERROR(IF((AKTIVITY_POZICIE!$B$41-12*('TCO TO BE- SW'!$D156-1))&gt;12,((Q$4+'TCO TO BE - HW'!Q$4)/($E$4+'TCO TO BE - HW'!$E$4)*SUM(AKTIVITY_POZICIE!$M$41:$M$52)*1.2)/AKTIVITY_POZICIE!$B$41*12,IF((AKTIVITY_POZICIE!$B$41-12*('TCO TO BE- SW'!$D156-1))&lt;0,0,(AKTIVITY_POZICIE!$B$41-12*('TCO TO BE- SW'!$D156-1))*((Q$4+'TCO TO BE - HW'!Q$4)/($E$4+'TCO TO BE - HW'!$E$4)*SUM(AKTIVITY_POZICIE!$M$41:$M$52)*1.2)/AKTIVITY_POZICIE!$B$41)),0)</f>
        <v>0</v>
      </c>
      <c r="R156" s="576">
        <f>IFERROR(IF((POZICIE_INTERNE!$B$40-12*('TCO TO BE- SW'!$D156-1))&gt;12,((R$4+'TCO TO BE - HW'!R$4)/($E$4+'TCO TO BE - HW'!$E$4)*SUM(POZICIE_INTERNE!$I$40:$I$51))/POZICIE_INTERNE!$B$40*12,IF((POZICIE_INTERNE!$B$40-12*('TCO TO BE- SW'!$D156-1))&lt;0,0,(POZICIE_INTERNE!$B$40-12*('TCO TO BE- SW'!$D156-1))*((R$4+'TCO TO BE - HW'!R$4)/($E$4+'TCO TO BE - HW'!$E$4)*SUM(POZICIE_INTERNE!$I$40:$I$51))/POZICIE_INTERNE!$B$40)),0)+IFERROR(IF((AKTIVITY_POZICIE!$B$41-12*('TCO TO BE- SW'!$D156-1))&gt;12,((R$4+'TCO TO BE - HW'!R$4)/($E$4+'TCO TO BE - HW'!$E$4)*SUM(AKTIVITY_POZICIE!$M$41:$M$52)*1.2)/AKTIVITY_POZICIE!$B$41*12,IF((AKTIVITY_POZICIE!$B$41-12*('TCO TO BE- SW'!$D156-1))&lt;0,0,(AKTIVITY_POZICIE!$B$41-12*('TCO TO BE- SW'!$D156-1))*((R$4+'TCO TO BE - HW'!R$4)/($E$4+'TCO TO BE - HW'!$E$4)*SUM(AKTIVITY_POZICIE!$M$41:$M$52)*1.2)/AKTIVITY_POZICIE!$B$41)),0)</f>
        <v>0</v>
      </c>
      <c r="S156" s="576">
        <f>IFERROR(IF((POZICIE_INTERNE!$B$40-12*('TCO TO BE- SW'!$D156-1))&gt;12,((S$4+'TCO TO BE - HW'!S$4)/($E$4+'TCO TO BE - HW'!$E$4)*SUM(POZICIE_INTERNE!$I$40:$I$51))/POZICIE_INTERNE!$B$40*12,IF((POZICIE_INTERNE!$B$40-12*('TCO TO BE- SW'!$D156-1))&lt;0,0,(POZICIE_INTERNE!$B$40-12*('TCO TO BE- SW'!$D156-1))*((S$4+'TCO TO BE - HW'!S$4)/($E$4+'TCO TO BE - HW'!$E$4)*SUM(POZICIE_INTERNE!$I$40:$I$51))/POZICIE_INTERNE!$B$40)),0)+IFERROR(IF((AKTIVITY_POZICIE!$B$41-12*('TCO TO BE- SW'!$D156-1))&gt;12,((S$4+'TCO TO BE - HW'!S$4)/($E$4+'TCO TO BE - HW'!$E$4)*SUM(AKTIVITY_POZICIE!$M$41:$M$52)*1.2)/AKTIVITY_POZICIE!$B$41*12,IF((AKTIVITY_POZICIE!$B$41-12*('TCO TO BE- SW'!$D156-1))&lt;0,0,(AKTIVITY_POZICIE!$B$41-12*('TCO TO BE- SW'!$D156-1))*((S$4+'TCO TO BE - HW'!S$4)/($E$4+'TCO TO BE - HW'!$E$4)*SUM(AKTIVITY_POZICIE!$M$41:$M$52)*1.2)/AKTIVITY_POZICIE!$B$41)),0)</f>
        <v>0</v>
      </c>
      <c r="T156" s="576">
        <f>IFERROR(IF((POZICIE_INTERNE!$B$40-12*('TCO TO BE- SW'!$D156-1))&gt;12,((T$4+'TCO TO BE - HW'!T$4)/($E$4+'TCO TO BE - HW'!$E$4)*SUM(POZICIE_INTERNE!$I$40:$I$51))/POZICIE_INTERNE!$B$40*12,IF((POZICIE_INTERNE!$B$40-12*('TCO TO BE- SW'!$D156-1))&lt;0,0,(POZICIE_INTERNE!$B$40-12*('TCO TO BE- SW'!$D156-1))*((T$4+'TCO TO BE - HW'!T$4)/($E$4+'TCO TO BE - HW'!$E$4)*SUM(POZICIE_INTERNE!$I$40:$I$51))/POZICIE_INTERNE!$B$40)),0)+IFERROR(IF((AKTIVITY_POZICIE!$B$41-12*('TCO TO BE- SW'!$D156-1))&gt;12,((T$4+'TCO TO BE - HW'!T$4)/($E$4+'TCO TO BE - HW'!$E$4)*SUM(AKTIVITY_POZICIE!$M$41:$M$52)*1.2)/AKTIVITY_POZICIE!$B$41*12,IF((AKTIVITY_POZICIE!$B$41-12*('TCO TO BE- SW'!$D156-1))&lt;0,0,(AKTIVITY_POZICIE!$B$41-12*('TCO TO BE- SW'!$D156-1))*((T$4+'TCO TO BE - HW'!T$4)/($E$4+'TCO TO BE - HW'!$E$4)*SUM(AKTIVITY_POZICIE!$M$41:$M$52)*1.2)/AKTIVITY_POZICIE!$B$41)),0)</f>
        <v>0</v>
      </c>
      <c r="U156" s="576">
        <f>IFERROR(IF((POZICIE_INTERNE!$B$40-12*('TCO TO BE- SW'!$D156-1))&gt;12,((U$4+'TCO TO BE - HW'!U$4)/($E$4+'TCO TO BE - HW'!$E$4)*SUM(POZICIE_INTERNE!$I$40:$I$51))/POZICIE_INTERNE!$B$40*12,IF((POZICIE_INTERNE!$B$40-12*('TCO TO BE- SW'!$D156-1))&lt;0,0,(POZICIE_INTERNE!$B$40-12*('TCO TO BE- SW'!$D156-1))*((U$4+'TCO TO BE - HW'!U$4)/($E$4+'TCO TO BE - HW'!$E$4)*SUM(POZICIE_INTERNE!$I$40:$I$51))/POZICIE_INTERNE!$B$40)),0)+IFERROR(IF((AKTIVITY_POZICIE!$B$41-12*('TCO TO BE- SW'!$D156-1))&gt;12,((U$4+'TCO TO BE - HW'!U$4)/($E$4+'TCO TO BE - HW'!$E$4)*SUM(AKTIVITY_POZICIE!$M$41:$M$52)*1.2)/AKTIVITY_POZICIE!$B$41*12,IF((AKTIVITY_POZICIE!$B$41-12*('TCO TO BE- SW'!$D156-1))&lt;0,0,(AKTIVITY_POZICIE!$B$41-12*('TCO TO BE- SW'!$D156-1))*((U$4+'TCO TO BE - HW'!U$4)/($E$4+'TCO TO BE - HW'!$E$4)*SUM(AKTIVITY_POZICIE!$M$41:$M$52)*1.2)/AKTIVITY_POZICIE!$B$41)),0)</f>
        <v>0</v>
      </c>
      <c r="V156" s="576">
        <f>IFERROR(IF((POZICIE_INTERNE!$B$40-12*('TCO TO BE- SW'!$D156-1))&gt;12,((V$4+'TCO TO BE - HW'!V$4)/($E$4+'TCO TO BE - HW'!$E$4)*SUM(POZICIE_INTERNE!$I$40:$I$51))/POZICIE_INTERNE!$B$40*12,IF((POZICIE_INTERNE!$B$40-12*('TCO TO BE- SW'!$D156-1))&lt;0,0,(POZICIE_INTERNE!$B$40-12*('TCO TO BE- SW'!$D156-1))*((V$4+'TCO TO BE - HW'!V$4)/($E$4+'TCO TO BE - HW'!$E$4)*SUM(POZICIE_INTERNE!$I$40:$I$51))/POZICIE_INTERNE!$B$40)),0)+IFERROR(IF((AKTIVITY_POZICIE!$B$41-12*('TCO TO BE- SW'!$D156-1))&gt;12,((V$4+'TCO TO BE - HW'!V$4)/($E$4+'TCO TO BE - HW'!$E$4)*SUM(AKTIVITY_POZICIE!$M$41:$M$52)*1.2)/AKTIVITY_POZICIE!$B$41*12,IF((AKTIVITY_POZICIE!$B$41-12*('TCO TO BE- SW'!$D156-1))&lt;0,0,(AKTIVITY_POZICIE!$B$41-12*('TCO TO BE- SW'!$D156-1))*((V$4+'TCO TO BE - HW'!V$4)/($E$4+'TCO TO BE - HW'!$E$4)*SUM(AKTIVITY_POZICIE!$M$41:$M$52)*1.2)/AKTIVITY_POZICIE!$B$41)),0)</f>
        <v>0</v>
      </c>
      <c r="W156" s="576">
        <f>IFERROR(IF((POZICIE_INTERNE!$B$40-12*('TCO TO BE- SW'!$D156-1))&gt;12,((W$4+'TCO TO BE - HW'!W$4)/($E$4+'TCO TO BE - HW'!$E$4)*SUM(POZICIE_INTERNE!$I$40:$I$51))/POZICIE_INTERNE!$B$40*12,IF((POZICIE_INTERNE!$B$40-12*('TCO TO BE- SW'!$D156-1))&lt;0,0,(POZICIE_INTERNE!$B$40-12*('TCO TO BE- SW'!$D156-1))*((W$4+'TCO TO BE - HW'!W$4)/($E$4+'TCO TO BE - HW'!$E$4)*SUM(POZICIE_INTERNE!$I$40:$I$51))/POZICIE_INTERNE!$B$40)),0)+IFERROR(IF((AKTIVITY_POZICIE!$B$41-12*('TCO TO BE- SW'!$D156-1))&gt;12,((W$4+'TCO TO BE - HW'!W$4)/($E$4+'TCO TO BE - HW'!$E$4)*SUM(AKTIVITY_POZICIE!$M$41:$M$52)*1.2)/AKTIVITY_POZICIE!$B$41*12,IF((AKTIVITY_POZICIE!$B$41-12*('TCO TO BE- SW'!$D156-1))&lt;0,0,(AKTIVITY_POZICIE!$B$41-12*('TCO TO BE- SW'!$D156-1))*((W$4+'TCO TO BE - HW'!W$4)/($E$4+'TCO TO BE - HW'!$E$4)*SUM(AKTIVITY_POZICIE!$M$41:$M$52)*1.2)/AKTIVITY_POZICIE!$B$41)),0)</f>
        <v>0</v>
      </c>
      <c r="X156" s="576">
        <f>IFERROR(IF((POZICIE_INTERNE!$B$40-12*('TCO TO BE- SW'!$D156-1))&gt;12,((X$4+'TCO TO BE - HW'!X$4)/($E$4+'TCO TO BE - HW'!$E$4)*SUM(POZICIE_INTERNE!$I$40:$I$51))/POZICIE_INTERNE!$B$40*12,IF((POZICIE_INTERNE!$B$40-12*('TCO TO BE- SW'!$D156-1))&lt;0,0,(POZICIE_INTERNE!$B$40-12*('TCO TO BE- SW'!$D156-1))*((X$4+'TCO TO BE - HW'!X$4)/($E$4+'TCO TO BE - HW'!$E$4)*SUM(POZICIE_INTERNE!$I$40:$I$51))/POZICIE_INTERNE!$B$40)),0)+IFERROR(IF((AKTIVITY_POZICIE!$B$41-12*('TCO TO BE- SW'!$D156-1))&gt;12,((X$4+'TCO TO BE - HW'!X$4)/($E$4+'TCO TO BE - HW'!$E$4)*SUM(AKTIVITY_POZICIE!$M$41:$M$52)*1.2)/AKTIVITY_POZICIE!$B$41*12,IF((AKTIVITY_POZICIE!$B$41-12*('TCO TO BE- SW'!$D156-1))&lt;0,0,(AKTIVITY_POZICIE!$B$41-12*('TCO TO BE- SW'!$D156-1))*((X$4+'TCO TO BE - HW'!X$4)/($E$4+'TCO TO BE - HW'!$E$4)*SUM(AKTIVITY_POZICIE!$M$41:$M$52)*1.2)/AKTIVITY_POZICIE!$B$41)),0)</f>
        <v>0</v>
      </c>
      <c r="Y156" s="576">
        <f>IFERROR(IF((POZICIE_INTERNE!$B$40-12*('TCO TO BE- SW'!$D156-1))&gt;12,((Y$4+'TCO TO BE - HW'!Y$4)/($E$4+'TCO TO BE - HW'!$E$4)*SUM(POZICIE_INTERNE!$I$40:$I$51))/POZICIE_INTERNE!$B$40*12,IF((POZICIE_INTERNE!$B$40-12*('TCO TO BE- SW'!$D156-1))&lt;0,0,(POZICIE_INTERNE!$B$40-12*('TCO TO BE- SW'!$D156-1))*((Y$4+'TCO TO BE - HW'!Y$4)/($E$4+'TCO TO BE - HW'!$E$4)*SUM(POZICIE_INTERNE!$I$40:$I$51))/POZICIE_INTERNE!$B$40)),0)+IFERROR(IF((AKTIVITY_POZICIE!$B$41-12*('TCO TO BE- SW'!$D156-1))&gt;12,((Y$4+'TCO TO BE - HW'!Y$4)/($E$4+'TCO TO BE - HW'!$E$4)*SUM(AKTIVITY_POZICIE!$M$41:$M$52)*1.2)/AKTIVITY_POZICIE!$B$41*12,IF((AKTIVITY_POZICIE!$B$41-12*('TCO TO BE- SW'!$D156-1))&lt;0,0,(AKTIVITY_POZICIE!$B$41-12*('TCO TO BE- SW'!$D156-1))*((Y$4+'TCO TO BE - HW'!Y$4)/($E$4+'TCO TO BE - HW'!$E$4)*SUM(AKTIVITY_POZICIE!$M$41:$M$52)*1.2)/AKTIVITY_POZICIE!$B$41)),0)</f>
        <v>0</v>
      </c>
      <c r="Z156" s="576">
        <f>IFERROR(IF((POZICIE_INTERNE!$B$40-12*('TCO TO BE- SW'!$D156-1))&gt;12,((Z$4+'TCO TO BE - HW'!Z$4)/($E$4+'TCO TO BE - HW'!$E$4)*SUM(POZICIE_INTERNE!$I$40:$I$51))/POZICIE_INTERNE!$B$40*12,IF((POZICIE_INTERNE!$B$40-12*('TCO TO BE- SW'!$D156-1))&lt;0,0,(POZICIE_INTERNE!$B$40-12*('TCO TO BE- SW'!$D156-1))*((Z$4+'TCO TO BE - HW'!Z$4)/($E$4+'TCO TO BE - HW'!$E$4)*SUM(POZICIE_INTERNE!$I$40:$I$51))/POZICIE_INTERNE!$B$40)),0)+IFERROR(IF((AKTIVITY_POZICIE!$B$41-12*('TCO TO BE- SW'!$D156-1))&gt;12,((Z$4+'TCO TO BE - HW'!Z$4)/($E$4+'TCO TO BE - HW'!$E$4)*SUM(AKTIVITY_POZICIE!$M$41:$M$52)*1.2)/AKTIVITY_POZICIE!$B$41*12,IF((AKTIVITY_POZICIE!$B$41-12*('TCO TO BE- SW'!$D156-1))&lt;0,0,(AKTIVITY_POZICIE!$B$41-12*('TCO TO BE- SW'!$D156-1))*((Z$4+'TCO TO BE - HW'!Z$4)/($E$4+'TCO TO BE - HW'!$E$4)*SUM(AKTIVITY_POZICIE!$M$41:$M$52)*1.2)/AKTIVITY_POZICIE!$B$41)),0)</f>
        <v>0</v>
      </c>
    </row>
    <row r="157" spans="1:26">
      <c r="A157" s="875"/>
      <c r="B157" s="876"/>
      <c r="C157" s="876"/>
      <c r="D157" s="64">
        <v>7</v>
      </c>
      <c r="E157" s="68">
        <f t="shared" si="16"/>
        <v>0</v>
      </c>
      <c r="F157" s="576">
        <f>IFERROR(IF((POZICIE_INTERNE!$B$40-12*('TCO TO BE- SW'!$D157-1))&gt;12,((F$4+'TCO TO BE - HW'!F$4)/($E$4+'TCO TO BE - HW'!$E$4)*SUM(POZICIE_INTERNE!$I$40:$I$51))/POZICIE_INTERNE!$B$40*12,IF((POZICIE_INTERNE!$B$40-12*('TCO TO BE- SW'!$D157-1))&lt;0,0,(POZICIE_INTERNE!$B$40-12*('TCO TO BE- SW'!$D157-1))*((F$4+'TCO TO BE - HW'!F$4)/($E$4+'TCO TO BE - HW'!$E$4)*SUM(POZICIE_INTERNE!$I$40:$I$51))/POZICIE_INTERNE!$B$40)),0)+IFERROR(IF((AKTIVITY_POZICIE!$B$41-12*('TCO TO BE- SW'!$D157-1))&gt;12,((F$4+'TCO TO BE - HW'!F$4)/($E$4+'TCO TO BE - HW'!$E$4)*SUM(AKTIVITY_POZICIE!$M$41:$M$52)*1.2)/AKTIVITY_POZICIE!$B$41*12,IF((AKTIVITY_POZICIE!$B$41-12*('TCO TO BE- SW'!$D157-1))&lt;0,0,(AKTIVITY_POZICIE!$B$41-12*('TCO TO BE- SW'!$D157-1))*((F$4+'TCO TO BE - HW'!F$4)/($E$4+'TCO TO BE - HW'!$E$4)*SUM(AKTIVITY_POZICIE!$M$41:$M$52)*1.2)/AKTIVITY_POZICIE!$B$41)),0)</f>
        <v>0</v>
      </c>
      <c r="G157" s="576">
        <f>IFERROR(IF((POZICIE_INTERNE!$B$40-12*('TCO TO BE- SW'!$D157-1))&gt;12,((G$4+'TCO TO BE - HW'!G$4)/($E$4+'TCO TO BE - HW'!$E$4)*SUM(POZICIE_INTERNE!$I$40:$I$51))/POZICIE_INTERNE!$B$40*12,IF((POZICIE_INTERNE!$B$40-12*('TCO TO BE- SW'!$D157-1))&lt;0,0,(POZICIE_INTERNE!$B$40-12*('TCO TO BE- SW'!$D157-1))*((G$4+'TCO TO BE - HW'!G$4)/($E$4+'TCO TO BE - HW'!$E$4)*SUM(POZICIE_INTERNE!$I$40:$I$51))/POZICIE_INTERNE!$B$40)),0)+IFERROR(IF((AKTIVITY_POZICIE!$B$41-12*('TCO TO BE- SW'!$D157-1))&gt;12,((G$4+'TCO TO BE - HW'!G$4)/($E$4+'TCO TO BE - HW'!$E$4)*SUM(AKTIVITY_POZICIE!$M$41:$M$52)*1.2)/AKTIVITY_POZICIE!$B$41*12,IF((AKTIVITY_POZICIE!$B$41-12*('TCO TO BE- SW'!$D157-1))&lt;0,0,(AKTIVITY_POZICIE!$B$41-12*('TCO TO BE- SW'!$D157-1))*((G$4+'TCO TO BE - HW'!G$4)/($E$4+'TCO TO BE - HW'!$E$4)*SUM(AKTIVITY_POZICIE!$M$41:$M$52)*1.2)/AKTIVITY_POZICIE!$B$41)),0)</f>
        <v>0</v>
      </c>
      <c r="H157" s="576">
        <f>IFERROR(IF((POZICIE_INTERNE!$B$40-12*('TCO TO BE- SW'!$D157-1))&gt;12,((H$4+'TCO TO BE - HW'!H$4)/($E$4+'TCO TO BE - HW'!$E$4)*SUM(POZICIE_INTERNE!$I$40:$I$51))/POZICIE_INTERNE!$B$40*12,IF((POZICIE_INTERNE!$B$40-12*('TCO TO BE- SW'!$D157-1))&lt;0,0,(POZICIE_INTERNE!$B$40-12*('TCO TO BE- SW'!$D157-1))*((H$4+'TCO TO BE - HW'!H$4)/($E$4+'TCO TO BE - HW'!$E$4)*SUM(POZICIE_INTERNE!$I$40:$I$51))/POZICIE_INTERNE!$B$40)),0)+IFERROR(IF((AKTIVITY_POZICIE!$B$41-12*('TCO TO BE- SW'!$D157-1))&gt;12,((H$4+'TCO TO BE - HW'!H$4)/($E$4+'TCO TO BE - HW'!$E$4)*SUM(AKTIVITY_POZICIE!$M$41:$M$52)*1.2)/AKTIVITY_POZICIE!$B$41*12,IF((AKTIVITY_POZICIE!$B$41-12*('TCO TO BE- SW'!$D157-1))&lt;0,0,(AKTIVITY_POZICIE!$B$41-12*('TCO TO BE- SW'!$D157-1))*((H$4+'TCO TO BE - HW'!H$4)/($E$4+'TCO TO BE - HW'!$E$4)*SUM(AKTIVITY_POZICIE!$M$41:$M$52)*1.2)/AKTIVITY_POZICIE!$B$41)),0)</f>
        <v>0</v>
      </c>
      <c r="I157" s="576">
        <f>IFERROR(IF((POZICIE_INTERNE!$B$40-12*('TCO TO BE- SW'!$D157-1))&gt;12,((I$4+'TCO TO BE - HW'!I$4)/($E$4+'TCO TO BE - HW'!$E$4)*SUM(POZICIE_INTERNE!$I$40:$I$51))/POZICIE_INTERNE!$B$40*12,IF((POZICIE_INTERNE!$B$40-12*('TCO TO BE- SW'!$D157-1))&lt;0,0,(POZICIE_INTERNE!$B$40-12*('TCO TO BE- SW'!$D157-1))*((I$4+'TCO TO BE - HW'!I$4)/($E$4+'TCO TO BE - HW'!$E$4)*SUM(POZICIE_INTERNE!$I$40:$I$51))/POZICIE_INTERNE!$B$40)),0)+IFERROR(IF((AKTIVITY_POZICIE!$B$41-12*('TCO TO BE- SW'!$D157-1))&gt;12,((I$4+'TCO TO BE - HW'!I$4)/($E$4+'TCO TO BE - HW'!$E$4)*SUM(AKTIVITY_POZICIE!$M$41:$M$52)*1.2)/AKTIVITY_POZICIE!$B$41*12,IF((AKTIVITY_POZICIE!$B$41-12*('TCO TO BE- SW'!$D157-1))&lt;0,0,(AKTIVITY_POZICIE!$B$41-12*('TCO TO BE- SW'!$D157-1))*((I$4+'TCO TO BE - HW'!I$4)/($E$4+'TCO TO BE - HW'!$E$4)*SUM(AKTIVITY_POZICIE!$M$41:$M$52)*1.2)/AKTIVITY_POZICIE!$B$41)),0)</f>
        <v>0</v>
      </c>
      <c r="J157" s="576">
        <f>IFERROR(IF((POZICIE_INTERNE!$B$40-12*('TCO TO BE- SW'!$D157-1))&gt;12,((J$4+'TCO TO BE - HW'!J$4)/($E$4+'TCO TO BE - HW'!$E$4)*SUM(POZICIE_INTERNE!$I$40:$I$51))/POZICIE_INTERNE!$B$40*12,IF((POZICIE_INTERNE!$B$40-12*('TCO TO BE- SW'!$D157-1))&lt;0,0,(POZICIE_INTERNE!$B$40-12*('TCO TO BE- SW'!$D157-1))*((J$4+'TCO TO BE - HW'!J$4)/($E$4+'TCO TO BE - HW'!$E$4)*SUM(POZICIE_INTERNE!$I$40:$I$51))/POZICIE_INTERNE!$B$40)),0)+IFERROR(IF((AKTIVITY_POZICIE!$B$41-12*('TCO TO BE- SW'!$D157-1))&gt;12,((J$4+'TCO TO BE - HW'!J$4)/($E$4+'TCO TO BE - HW'!$E$4)*SUM(AKTIVITY_POZICIE!$M$41:$M$52)*1.2)/AKTIVITY_POZICIE!$B$41*12,IF((AKTIVITY_POZICIE!$B$41-12*('TCO TO BE- SW'!$D157-1))&lt;0,0,(AKTIVITY_POZICIE!$B$41-12*('TCO TO BE- SW'!$D157-1))*((J$4+'TCO TO BE - HW'!J$4)/($E$4+'TCO TO BE - HW'!$E$4)*SUM(AKTIVITY_POZICIE!$M$41:$M$52)*1.2)/AKTIVITY_POZICIE!$B$41)),0)</f>
        <v>0</v>
      </c>
      <c r="K157" s="576">
        <f>IFERROR(IF((POZICIE_INTERNE!$B$40-12*('TCO TO BE- SW'!$D157-1))&gt;12,((K$4+'TCO TO BE - HW'!K$4)/($E$4+'TCO TO BE - HW'!$E$4)*SUM(POZICIE_INTERNE!$I$40:$I$51))/POZICIE_INTERNE!$B$40*12,IF((POZICIE_INTERNE!$B$40-12*('TCO TO BE- SW'!$D157-1))&lt;0,0,(POZICIE_INTERNE!$B$40-12*('TCO TO BE- SW'!$D157-1))*((K$4+'TCO TO BE - HW'!K$4)/($E$4+'TCO TO BE - HW'!$E$4)*SUM(POZICIE_INTERNE!$I$40:$I$51))/POZICIE_INTERNE!$B$40)),0)+IFERROR(IF((AKTIVITY_POZICIE!$B$41-12*('TCO TO BE- SW'!$D157-1))&gt;12,((K$4+'TCO TO BE - HW'!K$4)/($E$4+'TCO TO BE - HW'!$E$4)*SUM(AKTIVITY_POZICIE!$M$41:$M$52)*1.2)/AKTIVITY_POZICIE!$B$41*12,IF((AKTIVITY_POZICIE!$B$41-12*('TCO TO BE- SW'!$D157-1))&lt;0,0,(AKTIVITY_POZICIE!$B$41-12*('TCO TO BE- SW'!$D157-1))*((K$4+'TCO TO BE - HW'!K$4)/($E$4+'TCO TO BE - HW'!$E$4)*SUM(AKTIVITY_POZICIE!$M$41:$M$52)*1.2)/AKTIVITY_POZICIE!$B$41)),0)</f>
        <v>0</v>
      </c>
      <c r="L157" s="576">
        <f>IFERROR(IF((POZICIE_INTERNE!$B$40-12*('TCO TO BE- SW'!$D157-1))&gt;12,((L$4+'TCO TO BE - HW'!L$4)/($E$4+'TCO TO BE - HW'!$E$4)*SUM(POZICIE_INTERNE!$I$40:$I$51))/POZICIE_INTERNE!$B$40*12,IF((POZICIE_INTERNE!$B$40-12*('TCO TO BE- SW'!$D157-1))&lt;0,0,(POZICIE_INTERNE!$B$40-12*('TCO TO BE- SW'!$D157-1))*((L$4+'TCO TO BE - HW'!L$4)/($E$4+'TCO TO BE - HW'!$E$4)*SUM(POZICIE_INTERNE!$I$40:$I$51))/POZICIE_INTERNE!$B$40)),0)+IFERROR(IF((AKTIVITY_POZICIE!$B$41-12*('TCO TO BE- SW'!$D157-1))&gt;12,((L$4+'TCO TO BE - HW'!L$4)/($E$4+'TCO TO BE - HW'!$E$4)*SUM(AKTIVITY_POZICIE!$M$41:$M$52)*1.2)/AKTIVITY_POZICIE!$B$41*12,IF((AKTIVITY_POZICIE!$B$41-12*('TCO TO BE- SW'!$D157-1))&lt;0,0,(AKTIVITY_POZICIE!$B$41-12*('TCO TO BE- SW'!$D157-1))*((L$4+'TCO TO BE - HW'!L$4)/($E$4+'TCO TO BE - HW'!$E$4)*SUM(AKTIVITY_POZICIE!$M$41:$M$52)*1.2)/AKTIVITY_POZICIE!$B$41)),0)</f>
        <v>0</v>
      </c>
      <c r="M157" s="576">
        <f>IFERROR(IF((POZICIE_INTERNE!$B$40-12*('TCO TO BE- SW'!$D157-1))&gt;12,((M$4+'TCO TO BE - HW'!M$4)/($E$4+'TCO TO BE - HW'!$E$4)*SUM(POZICIE_INTERNE!$I$40:$I$51))/POZICIE_INTERNE!$B$40*12,IF((POZICIE_INTERNE!$B$40-12*('TCO TO BE- SW'!$D157-1))&lt;0,0,(POZICIE_INTERNE!$B$40-12*('TCO TO BE- SW'!$D157-1))*((M$4+'TCO TO BE - HW'!M$4)/($E$4+'TCO TO BE - HW'!$E$4)*SUM(POZICIE_INTERNE!$I$40:$I$51))/POZICIE_INTERNE!$B$40)),0)+IFERROR(IF((AKTIVITY_POZICIE!$B$41-12*('TCO TO BE- SW'!$D157-1))&gt;12,((M$4+'TCO TO BE - HW'!M$4)/($E$4+'TCO TO BE - HW'!$E$4)*SUM(AKTIVITY_POZICIE!$M$41:$M$52)*1.2)/AKTIVITY_POZICIE!$B$41*12,IF((AKTIVITY_POZICIE!$B$41-12*('TCO TO BE- SW'!$D157-1))&lt;0,0,(AKTIVITY_POZICIE!$B$41-12*('TCO TO BE- SW'!$D157-1))*((M$4+'TCO TO BE - HW'!M$4)/($E$4+'TCO TO BE - HW'!$E$4)*SUM(AKTIVITY_POZICIE!$M$41:$M$52)*1.2)/AKTIVITY_POZICIE!$B$41)),0)</f>
        <v>0</v>
      </c>
      <c r="N157" s="576">
        <f>IFERROR(IF((POZICIE_INTERNE!$B$40-12*('TCO TO BE- SW'!$D157-1))&gt;12,((N$4+'TCO TO BE - HW'!N$4)/($E$4+'TCO TO BE - HW'!$E$4)*SUM(POZICIE_INTERNE!$I$40:$I$51))/POZICIE_INTERNE!$B$40*12,IF((POZICIE_INTERNE!$B$40-12*('TCO TO BE- SW'!$D157-1))&lt;0,0,(POZICIE_INTERNE!$B$40-12*('TCO TO BE- SW'!$D157-1))*((N$4+'TCO TO BE - HW'!N$4)/($E$4+'TCO TO BE - HW'!$E$4)*SUM(POZICIE_INTERNE!$I$40:$I$51))/POZICIE_INTERNE!$B$40)),0)+IFERROR(IF((AKTIVITY_POZICIE!$B$41-12*('TCO TO BE- SW'!$D157-1))&gt;12,((N$4+'TCO TO BE - HW'!N$4)/($E$4+'TCO TO BE - HW'!$E$4)*SUM(AKTIVITY_POZICIE!$M$41:$M$52)*1.2)/AKTIVITY_POZICIE!$B$41*12,IF((AKTIVITY_POZICIE!$B$41-12*('TCO TO BE- SW'!$D157-1))&lt;0,0,(AKTIVITY_POZICIE!$B$41-12*('TCO TO BE- SW'!$D157-1))*((N$4+'TCO TO BE - HW'!N$4)/($E$4+'TCO TO BE - HW'!$E$4)*SUM(AKTIVITY_POZICIE!$M$41:$M$52)*1.2)/AKTIVITY_POZICIE!$B$41)),0)</f>
        <v>0</v>
      </c>
      <c r="O157" s="576">
        <f>IFERROR(IF((POZICIE_INTERNE!$B$40-12*('TCO TO BE- SW'!$D157-1))&gt;12,((O$4+'TCO TO BE - HW'!O$4)/($E$4+'TCO TO BE - HW'!$E$4)*SUM(POZICIE_INTERNE!$I$40:$I$51))/POZICIE_INTERNE!$B$40*12,IF((POZICIE_INTERNE!$B$40-12*('TCO TO BE- SW'!$D157-1))&lt;0,0,(POZICIE_INTERNE!$B$40-12*('TCO TO BE- SW'!$D157-1))*((O$4+'TCO TO BE - HW'!O$4)/($E$4+'TCO TO BE - HW'!$E$4)*SUM(POZICIE_INTERNE!$I$40:$I$51))/POZICIE_INTERNE!$B$40)),0)+IFERROR(IF((AKTIVITY_POZICIE!$B$41-12*('TCO TO BE- SW'!$D157-1))&gt;12,((O$4+'TCO TO BE - HW'!O$4)/($E$4+'TCO TO BE - HW'!$E$4)*SUM(AKTIVITY_POZICIE!$M$41:$M$52)*1.2)/AKTIVITY_POZICIE!$B$41*12,IF((AKTIVITY_POZICIE!$B$41-12*('TCO TO BE- SW'!$D157-1))&lt;0,0,(AKTIVITY_POZICIE!$B$41-12*('TCO TO BE- SW'!$D157-1))*((O$4+'TCO TO BE - HW'!O$4)/($E$4+'TCO TO BE - HW'!$E$4)*SUM(AKTIVITY_POZICIE!$M$41:$M$52)*1.2)/AKTIVITY_POZICIE!$B$41)),0)</f>
        <v>0</v>
      </c>
      <c r="P157" s="576">
        <f>IFERROR(IF((POZICIE_INTERNE!$B$40-12*('TCO TO BE- SW'!$D157-1))&gt;12,((P$4+'TCO TO BE - HW'!P$4)/($E$4+'TCO TO BE - HW'!$E$4)*SUM(POZICIE_INTERNE!$I$40:$I$51))/POZICIE_INTERNE!$B$40*12,IF((POZICIE_INTERNE!$B$40-12*('TCO TO BE- SW'!$D157-1))&lt;0,0,(POZICIE_INTERNE!$B$40-12*('TCO TO BE- SW'!$D157-1))*((P$4+'TCO TO BE - HW'!P$4)/($E$4+'TCO TO BE - HW'!$E$4)*SUM(POZICIE_INTERNE!$I$40:$I$51))/POZICIE_INTERNE!$B$40)),0)+IFERROR(IF((AKTIVITY_POZICIE!$B$41-12*('TCO TO BE- SW'!$D157-1))&gt;12,((P$4+'TCO TO BE - HW'!P$4)/($E$4+'TCO TO BE - HW'!$E$4)*SUM(AKTIVITY_POZICIE!$M$41:$M$52)*1.2)/AKTIVITY_POZICIE!$B$41*12,IF((AKTIVITY_POZICIE!$B$41-12*('TCO TO BE- SW'!$D157-1))&lt;0,0,(AKTIVITY_POZICIE!$B$41-12*('TCO TO BE- SW'!$D157-1))*((P$4+'TCO TO BE - HW'!P$4)/($E$4+'TCO TO BE - HW'!$E$4)*SUM(AKTIVITY_POZICIE!$M$41:$M$52)*1.2)/AKTIVITY_POZICIE!$B$41)),0)</f>
        <v>0</v>
      </c>
      <c r="Q157" s="576">
        <f>IFERROR(IF((POZICIE_INTERNE!$B$40-12*('TCO TO BE- SW'!$D157-1))&gt;12,((Q$4+'TCO TO BE - HW'!Q$4)/($E$4+'TCO TO BE - HW'!$E$4)*SUM(POZICIE_INTERNE!$I$40:$I$51))/POZICIE_INTERNE!$B$40*12,IF((POZICIE_INTERNE!$B$40-12*('TCO TO BE- SW'!$D157-1))&lt;0,0,(POZICIE_INTERNE!$B$40-12*('TCO TO BE- SW'!$D157-1))*((Q$4+'TCO TO BE - HW'!Q$4)/($E$4+'TCO TO BE - HW'!$E$4)*SUM(POZICIE_INTERNE!$I$40:$I$51))/POZICIE_INTERNE!$B$40)),0)+IFERROR(IF((AKTIVITY_POZICIE!$B$41-12*('TCO TO BE- SW'!$D157-1))&gt;12,((Q$4+'TCO TO BE - HW'!Q$4)/($E$4+'TCO TO BE - HW'!$E$4)*SUM(AKTIVITY_POZICIE!$M$41:$M$52)*1.2)/AKTIVITY_POZICIE!$B$41*12,IF((AKTIVITY_POZICIE!$B$41-12*('TCO TO BE- SW'!$D157-1))&lt;0,0,(AKTIVITY_POZICIE!$B$41-12*('TCO TO BE- SW'!$D157-1))*((Q$4+'TCO TO BE - HW'!Q$4)/($E$4+'TCO TO BE - HW'!$E$4)*SUM(AKTIVITY_POZICIE!$M$41:$M$52)*1.2)/AKTIVITY_POZICIE!$B$41)),0)</f>
        <v>0</v>
      </c>
      <c r="R157" s="576">
        <f>IFERROR(IF((POZICIE_INTERNE!$B$40-12*('TCO TO BE- SW'!$D157-1))&gt;12,((R$4+'TCO TO BE - HW'!R$4)/($E$4+'TCO TO BE - HW'!$E$4)*SUM(POZICIE_INTERNE!$I$40:$I$51))/POZICIE_INTERNE!$B$40*12,IF((POZICIE_INTERNE!$B$40-12*('TCO TO BE- SW'!$D157-1))&lt;0,0,(POZICIE_INTERNE!$B$40-12*('TCO TO BE- SW'!$D157-1))*((R$4+'TCO TO BE - HW'!R$4)/($E$4+'TCO TO BE - HW'!$E$4)*SUM(POZICIE_INTERNE!$I$40:$I$51))/POZICIE_INTERNE!$B$40)),0)+IFERROR(IF((AKTIVITY_POZICIE!$B$41-12*('TCO TO BE- SW'!$D157-1))&gt;12,((R$4+'TCO TO BE - HW'!R$4)/($E$4+'TCO TO BE - HW'!$E$4)*SUM(AKTIVITY_POZICIE!$M$41:$M$52)*1.2)/AKTIVITY_POZICIE!$B$41*12,IF((AKTIVITY_POZICIE!$B$41-12*('TCO TO BE- SW'!$D157-1))&lt;0,0,(AKTIVITY_POZICIE!$B$41-12*('TCO TO BE- SW'!$D157-1))*((R$4+'TCO TO BE - HW'!R$4)/($E$4+'TCO TO BE - HW'!$E$4)*SUM(AKTIVITY_POZICIE!$M$41:$M$52)*1.2)/AKTIVITY_POZICIE!$B$41)),0)</f>
        <v>0</v>
      </c>
      <c r="S157" s="576">
        <f>IFERROR(IF((POZICIE_INTERNE!$B$40-12*('TCO TO BE- SW'!$D157-1))&gt;12,((S$4+'TCO TO BE - HW'!S$4)/($E$4+'TCO TO BE - HW'!$E$4)*SUM(POZICIE_INTERNE!$I$40:$I$51))/POZICIE_INTERNE!$B$40*12,IF((POZICIE_INTERNE!$B$40-12*('TCO TO BE- SW'!$D157-1))&lt;0,0,(POZICIE_INTERNE!$B$40-12*('TCO TO BE- SW'!$D157-1))*((S$4+'TCO TO BE - HW'!S$4)/($E$4+'TCO TO BE - HW'!$E$4)*SUM(POZICIE_INTERNE!$I$40:$I$51))/POZICIE_INTERNE!$B$40)),0)+IFERROR(IF((AKTIVITY_POZICIE!$B$41-12*('TCO TO BE- SW'!$D157-1))&gt;12,((S$4+'TCO TO BE - HW'!S$4)/($E$4+'TCO TO BE - HW'!$E$4)*SUM(AKTIVITY_POZICIE!$M$41:$M$52)*1.2)/AKTIVITY_POZICIE!$B$41*12,IF((AKTIVITY_POZICIE!$B$41-12*('TCO TO BE- SW'!$D157-1))&lt;0,0,(AKTIVITY_POZICIE!$B$41-12*('TCO TO BE- SW'!$D157-1))*((S$4+'TCO TO BE - HW'!S$4)/($E$4+'TCO TO BE - HW'!$E$4)*SUM(AKTIVITY_POZICIE!$M$41:$M$52)*1.2)/AKTIVITY_POZICIE!$B$41)),0)</f>
        <v>0</v>
      </c>
      <c r="T157" s="576">
        <f>IFERROR(IF((POZICIE_INTERNE!$B$40-12*('TCO TO BE- SW'!$D157-1))&gt;12,((T$4+'TCO TO BE - HW'!T$4)/($E$4+'TCO TO BE - HW'!$E$4)*SUM(POZICIE_INTERNE!$I$40:$I$51))/POZICIE_INTERNE!$B$40*12,IF((POZICIE_INTERNE!$B$40-12*('TCO TO BE- SW'!$D157-1))&lt;0,0,(POZICIE_INTERNE!$B$40-12*('TCO TO BE- SW'!$D157-1))*((T$4+'TCO TO BE - HW'!T$4)/($E$4+'TCO TO BE - HW'!$E$4)*SUM(POZICIE_INTERNE!$I$40:$I$51))/POZICIE_INTERNE!$B$40)),0)+IFERROR(IF((AKTIVITY_POZICIE!$B$41-12*('TCO TO BE- SW'!$D157-1))&gt;12,((T$4+'TCO TO BE - HW'!T$4)/($E$4+'TCO TO BE - HW'!$E$4)*SUM(AKTIVITY_POZICIE!$M$41:$M$52)*1.2)/AKTIVITY_POZICIE!$B$41*12,IF((AKTIVITY_POZICIE!$B$41-12*('TCO TO BE- SW'!$D157-1))&lt;0,0,(AKTIVITY_POZICIE!$B$41-12*('TCO TO BE- SW'!$D157-1))*((T$4+'TCO TO BE - HW'!T$4)/($E$4+'TCO TO BE - HW'!$E$4)*SUM(AKTIVITY_POZICIE!$M$41:$M$52)*1.2)/AKTIVITY_POZICIE!$B$41)),0)</f>
        <v>0</v>
      </c>
      <c r="U157" s="576">
        <f>IFERROR(IF((POZICIE_INTERNE!$B$40-12*('TCO TO BE- SW'!$D157-1))&gt;12,((U$4+'TCO TO BE - HW'!U$4)/($E$4+'TCO TO BE - HW'!$E$4)*SUM(POZICIE_INTERNE!$I$40:$I$51))/POZICIE_INTERNE!$B$40*12,IF((POZICIE_INTERNE!$B$40-12*('TCO TO BE- SW'!$D157-1))&lt;0,0,(POZICIE_INTERNE!$B$40-12*('TCO TO BE- SW'!$D157-1))*((U$4+'TCO TO BE - HW'!U$4)/($E$4+'TCO TO BE - HW'!$E$4)*SUM(POZICIE_INTERNE!$I$40:$I$51))/POZICIE_INTERNE!$B$40)),0)+IFERROR(IF((AKTIVITY_POZICIE!$B$41-12*('TCO TO BE- SW'!$D157-1))&gt;12,((U$4+'TCO TO BE - HW'!U$4)/($E$4+'TCO TO BE - HW'!$E$4)*SUM(AKTIVITY_POZICIE!$M$41:$M$52)*1.2)/AKTIVITY_POZICIE!$B$41*12,IF((AKTIVITY_POZICIE!$B$41-12*('TCO TO BE- SW'!$D157-1))&lt;0,0,(AKTIVITY_POZICIE!$B$41-12*('TCO TO BE- SW'!$D157-1))*((U$4+'TCO TO BE - HW'!U$4)/($E$4+'TCO TO BE - HW'!$E$4)*SUM(AKTIVITY_POZICIE!$M$41:$M$52)*1.2)/AKTIVITY_POZICIE!$B$41)),0)</f>
        <v>0</v>
      </c>
      <c r="V157" s="576">
        <f>IFERROR(IF((POZICIE_INTERNE!$B$40-12*('TCO TO BE- SW'!$D157-1))&gt;12,((V$4+'TCO TO BE - HW'!V$4)/($E$4+'TCO TO BE - HW'!$E$4)*SUM(POZICIE_INTERNE!$I$40:$I$51))/POZICIE_INTERNE!$B$40*12,IF((POZICIE_INTERNE!$B$40-12*('TCO TO BE- SW'!$D157-1))&lt;0,0,(POZICIE_INTERNE!$B$40-12*('TCO TO BE- SW'!$D157-1))*((V$4+'TCO TO BE - HW'!V$4)/($E$4+'TCO TO BE - HW'!$E$4)*SUM(POZICIE_INTERNE!$I$40:$I$51))/POZICIE_INTERNE!$B$40)),0)+IFERROR(IF((AKTIVITY_POZICIE!$B$41-12*('TCO TO BE- SW'!$D157-1))&gt;12,((V$4+'TCO TO BE - HW'!V$4)/($E$4+'TCO TO BE - HW'!$E$4)*SUM(AKTIVITY_POZICIE!$M$41:$M$52)*1.2)/AKTIVITY_POZICIE!$B$41*12,IF((AKTIVITY_POZICIE!$B$41-12*('TCO TO BE- SW'!$D157-1))&lt;0,0,(AKTIVITY_POZICIE!$B$41-12*('TCO TO BE- SW'!$D157-1))*((V$4+'TCO TO BE - HW'!V$4)/($E$4+'TCO TO BE - HW'!$E$4)*SUM(AKTIVITY_POZICIE!$M$41:$M$52)*1.2)/AKTIVITY_POZICIE!$B$41)),0)</f>
        <v>0</v>
      </c>
      <c r="W157" s="576">
        <f>IFERROR(IF((POZICIE_INTERNE!$B$40-12*('TCO TO BE- SW'!$D157-1))&gt;12,((W$4+'TCO TO BE - HW'!W$4)/($E$4+'TCO TO BE - HW'!$E$4)*SUM(POZICIE_INTERNE!$I$40:$I$51))/POZICIE_INTERNE!$B$40*12,IF((POZICIE_INTERNE!$B$40-12*('TCO TO BE- SW'!$D157-1))&lt;0,0,(POZICIE_INTERNE!$B$40-12*('TCO TO BE- SW'!$D157-1))*((W$4+'TCO TO BE - HW'!W$4)/($E$4+'TCO TO BE - HW'!$E$4)*SUM(POZICIE_INTERNE!$I$40:$I$51))/POZICIE_INTERNE!$B$40)),0)+IFERROR(IF((AKTIVITY_POZICIE!$B$41-12*('TCO TO BE- SW'!$D157-1))&gt;12,((W$4+'TCO TO BE - HW'!W$4)/($E$4+'TCO TO BE - HW'!$E$4)*SUM(AKTIVITY_POZICIE!$M$41:$M$52)*1.2)/AKTIVITY_POZICIE!$B$41*12,IF((AKTIVITY_POZICIE!$B$41-12*('TCO TO BE- SW'!$D157-1))&lt;0,0,(AKTIVITY_POZICIE!$B$41-12*('TCO TO BE- SW'!$D157-1))*((W$4+'TCO TO BE - HW'!W$4)/($E$4+'TCO TO BE - HW'!$E$4)*SUM(AKTIVITY_POZICIE!$M$41:$M$52)*1.2)/AKTIVITY_POZICIE!$B$41)),0)</f>
        <v>0</v>
      </c>
      <c r="X157" s="576">
        <f>IFERROR(IF((POZICIE_INTERNE!$B$40-12*('TCO TO BE- SW'!$D157-1))&gt;12,((X$4+'TCO TO BE - HW'!X$4)/($E$4+'TCO TO BE - HW'!$E$4)*SUM(POZICIE_INTERNE!$I$40:$I$51))/POZICIE_INTERNE!$B$40*12,IF((POZICIE_INTERNE!$B$40-12*('TCO TO BE- SW'!$D157-1))&lt;0,0,(POZICIE_INTERNE!$B$40-12*('TCO TO BE- SW'!$D157-1))*((X$4+'TCO TO BE - HW'!X$4)/($E$4+'TCO TO BE - HW'!$E$4)*SUM(POZICIE_INTERNE!$I$40:$I$51))/POZICIE_INTERNE!$B$40)),0)+IFERROR(IF((AKTIVITY_POZICIE!$B$41-12*('TCO TO BE- SW'!$D157-1))&gt;12,((X$4+'TCO TO BE - HW'!X$4)/($E$4+'TCO TO BE - HW'!$E$4)*SUM(AKTIVITY_POZICIE!$M$41:$M$52)*1.2)/AKTIVITY_POZICIE!$B$41*12,IF((AKTIVITY_POZICIE!$B$41-12*('TCO TO BE- SW'!$D157-1))&lt;0,0,(AKTIVITY_POZICIE!$B$41-12*('TCO TO BE- SW'!$D157-1))*((X$4+'TCO TO BE - HW'!X$4)/($E$4+'TCO TO BE - HW'!$E$4)*SUM(AKTIVITY_POZICIE!$M$41:$M$52)*1.2)/AKTIVITY_POZICIE!$B$41)),0)</f>
        <v>0</v>
      </c>
      <c r="Y157" s="576">
        <f>IFERROR(IF((POZICIE_INTERNE!$B$40-12*('TCO TO BE- SW'!$D157-1))&gt;12,((Y$4+'TCO TO BE - HW'!Y$4)/($E$4+'TCO TO BE - HW'!$E$4)*SUM(POZICIE_INTERNE!$I$40:$I$51))/POZICIE_INTERNE!$B$40*12,IF((POZICIE_INTERNE!$B$40-12*('TCO TO BE- SW'!$D157-1))&lt;0,0,(POZICIE_INTERNE!$B$40-12*('TCO TO BE- SW'!$D157-1))*((Y$4+'TCO TO BE - HW'!Y$4)/($E$4+'TCO TO BE - HW'!$E$4)*SUM(POZICIE_INTERNE!$I$40:$I$51))/POZICIE_INTERNE!$B$40)),0)+IFERROR(IF((AKTIVITY_POZICIE!$B$41-12*('TCO TO BE- SW'!$D157-1))&gt;12,((Y$4+'TCO TO BE - HW'!Y$4)/($E$4+'TCO TO BE - HW'!$E$4)*SUM(AKTIVITY_POZICIE!$M$41:$M$52)*1.2)/AKTIVITY_POZICIE!$B$41*12,IF((AKTIVITY_POZICIE!$B$41-12*('TCO TO BE- SW'!$D157-1))&lt;0,0,(AKTIVITY_POZICIE!$B$41-12*('TCO TO BE- SW'!$D157-1))*((Y$4+'TCO TO BE - HW'!Y$4)/($E$4+'TCO TO BE - HW'!$E$4)*SUM(AKTIVITY_POZICIE!$M$41:$M$52)*1.2)/AKTIVITY_POZICIE!$B$41)),0)</f>
        <v>0</v>
      </c>
      <c r="Z157" s="576">
        <f>IFERROR(IF((POZICIE_INTERNE!$B$40-12*('TCO TO BE- SW'!$D157-1))&gt;12,((Z$4+'TCO TO BE - HW'!Z$4)/($E$4+'TCO TO BE - HW'!$E$4)*SUM(POZICIE_INTERNE!$I$40:$I$51))/POZICIE_INTERNE!$B$40*12,IF((POZICIE_INTERNE!$B$40-12*('TCO TO BE- SW'!$D157-1))&lt;0,0,(POZICIE_INTERNE!$B$40-12*('TCO TO BE- SW'!$D157-1))*((Z$4+'TCO TO BE - HW'!Z$4)/($E$4+'TCO TO BE - HW'!$E$4)*SUM(POZICIE_INTERNE!$I$40:$I$51))/POZICIE_INTERNE!$B$40)),0)+IFERROR(IF((AKTIVITY_POZICIE!$B$41-12*('TCO TO BE- SW'!$D157-1))&gt;12,((Z$4+'TCO TO BE - HW'!Z$4)/($E$4+'TCO TO BE - HW'!$E$4)*SUM(AKTIVITY_POZICIE!$M$41:$M$52)*1.2)/AKTIVITY_POZICIE!$B$41*12,IF((AKTIVITY_POZICIE!$B$41-12*('TCO TO BE- SW'!$D157-1))&lt;0,0,(AKTIVITY_POZICIE!$B$41-12*('TCO TO BE- SW'!$D157-1))*((Z$4+'TCO TO BE - HW'!Z$4)/($E$4+'TCO TO BE - HW'!$E$4)*SUM(AKTIVITY_POZICIE!$M$41:$M$52)*1.2)/AKTIVITY_POZICIE!$B$41)),0)</f>
        <v>0</v>
      </c>
    </row>
    <row r="158" spans="1:26">
      <c r="A158" s="875"/>
      <c r="B158" s="876"/>
      <c r="C158" s="876"/>
      <c r="D158" s="64">
        <v>8</v>
      </c>
      <c r="E158" s="68">
        <f t="shared" si="16"/>
        <v>0</v>
      </c>
      <c r="F158" s="576">
        <f>IFERROR(IF((POZICIE_INTERNE!$B$40-12*('TCO TO BE- SW'!$D158-1))&gt;12,((F$4+'TCO TO BE - HW'!F$4)/($E$4+'TCO TO BE - HW'!$E$4)*SUM(POZICIE_INTERNE!$I$40:$I$51))/POZICIE_INTERNE!$B$40*12,IF((POZICIE_INTERNE!$B$40-12*('TCO TO BE- SW'!$D158-1))&lt;0,0,(POZICIE_INTERNE!$B$40-12*('TCO TO BE- SW'!$D158-1))*((F$4+'TCO TO BE - HW'!F$4)/($E$4+'TCO TO BE - HW'!$E$4)*SUM(POZICIE_INTERNE!$I$40:$I$51))/POZICIE_INTERNE!$B$40)),0)+IFERROR(IF((AKTIVITY_POZICIE!$B$41-12*('TCO TO BE- SW'!$D158-1))&gt;12,((F$4+'TCO TO BE - HW'!F$4)/($E$4+'TCO TO BE - HW'!$E$4)*SUM(AKTIVITY_POZICIE!$M$41:$M$52)*1.2)/AKTIVITY_POZICIE!$B$41*12,IF((AKTIVITY_POZICIE!$B$41-12*('TCO TO BE- SW'!$D158-1))&lt;0,0,(AKTIVITY_POZICIE!$B$41-12*('TCO TO BE- SW'!$D158-1))*((F$4+'TCO TO BE - HW'!F$4)/($E$4+'TCO TO BE - HW'!$E$4)*SUM(AKTIVITY_POZICIE!$M$41:$M$52)*1.2)/AKTIVITY_POZICIE!$B$41)),0)</f>
        <v>0</v>
      </c>
      <c r="G158" s="576">
        <f>IFERROR(IF((POZICIE_INTERNE!$B$40-12*('TCO TO BE- SW'!$D158-1))&gt;12,((G$4+'TCO TO BE - HW'!G$4)/($E$4+'TCO TO BE - HW'!$E$4)*SUM(POZICIE_INTERNE!$I$40:$I$51))/POZICIE_INTERNE!$B$40*12,IF((POZICIE_INTERNE!$B$40-12*('TCO TO BE- SW'!$D158-1))&lt;0,0,(POZICIE_INTERNE!$B$40-12*('TCO TO BE- SW'!$D158-1))*((G$4+'TCO TO BE - HW'!G$4)/($E$4+'TCO TO BE - HW'!$E$4)*SUM(POZICIE_INTERNE!$I$40:$I$51))/POZICIE_INTERNE!$B$40)),0)+IFERROR(IF((AKTIVITY_POZICIE!$B$41-12*('TCO TO BE- SW'!$D158-1))&gt;12,((G$4+'TCO TO BE - HW'!G$4)/($E$4+'TCO TO BE - HW'!$E$4)*SUM(AKTIVITY_POZICIE!$M$41:$M$52)*1.2)/AKTIVITY_POZICIE!$B$41*12,IF((AKTIVITY_POZICIE!$B$41-12*('TCO TO BE- SW'!$D158-1))&lt;0,0,(AKTIVITY_POZICIE!$B$41-12*('TCO TO BE- SW'!$D158-1))*((G$4+'TCO TO BE - HW'!G$4)/($E$4+'TCO TO BE - HW'!$E$4)*SUM(AKTIVITY_POZICIE!$M$41:$M$52)*1.2)/AKTIVITY_POZICIE!$B$41)),0)</f>
        <v>0</v>
      </c>
      <c r="H158" s="576">
        <f>IFERROR(IF((POZICIE_INTERNE!$B$40-12*('TCO TO BE- SW'!$D158-1))&gt;12,((H$4+'TCO TO BE - HW'!H$4)/($E$4+'TCO TO BE - HW'!$E$4)*SUM(POZICIE_INTERNE!$I$40:$I$51))/POZICIE_INTERNE!$B$40*12,IF((POZICIE_INTERNE!$B$40-12*('TCO TO BE- SW'!$D158-1))&lt;0,0,(POZICIE_INTERNE!$B$40-12*('TCO TO BE- SW'!$D158-1))*((H$4+'TCO TO BE - HW'!H$4)/($E$4+'TCO TO BE - HW'!$E$4)*SUM(POZICIE_INTERNE!$I$40:$I$51))/POZICIE_INTERNE!$B$40)),0)+IFERROR(IF((AKTIVITY_POZICIE!$B$41-12*('TCO TO BE- SW'!$D158-1))&gt;12,((H$4+'TCO TO BE - HW'!H$4)/($E$4+'TCO TO BE - HW'!$E$4)*SUM(AKTIVITY_POZICIE!$M$41:$M$52)*1.2)/AKTIVITY_POZICIE!$B$41*12,IF((AKTIVITY_POZICIE!$B$41-12*('TCO TO BE- SW'!$D158-1))&lt;0,0,(AKTIVITY_POZICIE!$B$41-12*('TCO TO BE- SW'!$D158-1))*((H$4+'TCO TO BE - HW'!H$4)/($E$4+'TCO TO BE - HW'!$E$4)*SUM(AKTIVITY_POZICIE!$M$41:$M$52)*1.2)/AKTIVITY_POZICIE!$B$41)),0)</f>
        <v>0</v>
      </c>
      <c r="I158" s="576">
        <f>IFERROR(IF((POZICIE_INTERNE!$B$40-12*('TCO TO BE- SW'!$D158-1))&gt;12,((I$4+'TCO TO BE - HW'!I$4)/($E$4+'TCO TO BE - HW'!$E$4)*SUM(POZICIE_INTERNE!$I$40:$I$51))/POZICIE_INTERNE!$B$40*12,IF((POZICIE_INTERNE!$B$40-12*('TCO TO BE- SW'!$D158-1))&lt;0,0,(POZICIE_INTERNE!$B$40-12*('TCO TO BE- SW'!$D158-1))*((I$4+'TCO TO BE - HW'!I$4)/($E$4+'TCO TO BE - HW'!$E$4)*SUM(POZICIE_INTERNE!$I$40:$I$51))/POZICIE_INTERNE!$B$40)),0)+IFERROR(IF((AKTIVITY_POZICIE!$B$41-12*('TCO TO BE- SW'!$D158-1))&gt;12,((I$4+'TCO TO BE - HW'!I$4)/($E$4+'TCO TO BE - HW'!$E$4)*SUM(AKTIVITY_POZICIE!$M$41:$M$52)*1.2)/AKTIVITY_POZICIE!$B$41*12,IF((AKTIVITY_POZICIE!$B$41-12*('TCO TO BE- SW'!$D158-1))&lt;0,0,(AKTIVITY_POZICIE!$B$41-12*('TCO TO BE- SW'!$D158-1))*((I$4+'TCO TO BE - HW'!I$4)/($E$4+'TCO TO BE - HW'!$E$4)*SUM(AKTIVITY_POZICIE!$M$41:$M$52)*1.2)/AKTIVITY_POZICIE!$B$41)),0)</f>
        <v>0</v>
      </c>
      <c r="J158" s="576">
        <f>IFERROR(IF((POZICIE_INTERNE!$B$40-12*('TCO TO BE- SW'!$D158-1))&gt;12,((J$4+'TCO TO BE - HW'!J$4)/($E$4+'TCO TO BE - HW'!$E$4)*SUM(POZICIE_INTERNE!$I$40:$I$51))/POZICIE_INTERNE!$B$40*12,IF((POZICIE_INTERNE!$B$40-12*('TCO TO BE- SW'!$D158-1))&lt;0,0,(POZICIE_INTERNE!$B$40-12*('TCO TO BE- SW'!$D158-1))*((J$4+'TCO TO BE - HW'!J$4)/($E$4+'TCO TO BE - HW'!$E$4)*SUM(POZICIE_INTERNE!$I$40:$I$51))/POZICIE_INTERNE!$B$40)),0)+IFERROR(IF((AKTIVITY_POZICIE!$B$41-12*('TCO TO BE- SW'!$D158-1))&gt;12,((J$4+'TCO TO BE - HW'!J$4)/($E$4+'TCO TO BE - HW'!$E$4)*SUM(AKTIVITY_POZICIE!$M$41:$M$52)*1.2)/AKTIVITY_POZICIE!$B$41*12,IF((AKTIVITY_POZICIE!$B$41-12*('TCO TO BE- SW'!$D158-1))&lt;0,0,(AKTIVITY_POZICIE!$B$41-12*('TCO TO BE- SW'!$D158-1))*((J$4+'TCO TO BE - HW'!J$4)/($E$4+'TCO TO BE - HW'!$E$4)*SUM(AKTIVITY_POZICIE!$M$41:$M$52)*1.2)/AKTIVITY_POZICIE!$B$41)),0)</f>
        <v>0</v>
      </c>
      <c r="K158" s="576">
        <f>IFERROR(IF((POZICIE_INTERNE!$B$40-12*('TCO TO BE- SW'!$D158-1))&gt;12,((K$4+'TCO TO BE - HW'!K$4)/($E$4+'TCO TO BE - HW'!$E$4)*SUM(POZICIE_INTERNE!$I$40:$I$51))/POZICIE_INTERNE!$B$40*12,IF((POZICIE_INTERNE!$B$40-12*('TCO TO BE- SW'!$D158-1))&lt;0,0,(POZICIE_INTERNE!$B$40-12*('TCO TO BE- SW'!$D158-1))*((K$4+'TCO TO BE - HW'!K$4)/($E$4+'TCO TO BE - HW'!$E$4)*SUM(POZICIE_INTERNE!$I$40:$I$51))/POZICIE_INTERNE!$B$40)),0)+IFERROR(IF((AKTIVITY_POZICIE!$B$41-12*('TCO TO BE- SW'!$D158-1))&gt;12,((K$4+'TCO TO BE - HW'!K$4)/($E$4+'TCO TO BE - HW'!$E$4)*SUM(AKTIVITY_POZICIE!$M$41:$M$52)*1.2)/AKTIVITY_POZICIE!$B$41*12,IF((AKTIVITY_POZICIE!$B$41-12*('TCO TO BE- SW'!$D158-1))&lt;0,0,(AKTIVITY_POZICIE!$B$41-12*('TCO TO BE- SW'!$D158-1))*((K$4+'TCO TO BE - HW'!K$4)/($E$4+'TCO TO BE - HW'!$E$4)*SUM(AKTIVITY_POZICIE!$M$41:$M$52)*1.2)/AKTIVITY_POZICIE!$B$41)),0)</f>
        <v>0</v>
      </c>
      <c r="L158" s="576">
        <f>IFERROR(IF((POZICIE_INTERNE!$B$40-12*('TCO TO BE- SW'!$D158-1))&gt;12,((L$4+'TCO TO BE - HW'!L$4)/($E$4+'TCO TO BE - HW'!$E$4)*SUM(POZICIE_INTERNE!$I$40:$I$51))/POZICIE_INTERNE!$B$40*12,IF((POZICIE_INTERNE!$B$40-12*('TCO TO BE- SW'!$D158-1))&lt;0,0,(POZICIE_INTERNE!$B$40-12*('TCO TO BE- SW'!$D158-1))*((L$4+'TCO TO BE - HW'!L$4)/($E$4+'TCO TO BE - HW'!$E$4)*SUM(POZICIE_INTERNE!$I$40:$I$51))/POZICIE_INTERNE!$B$40)),0)+IFERROR(IF((AKTIVITY_POZICIE!$B$41-12*('TCO TO BE- SW'!$D158-1))&gt;12,((L$4+'TCO TO BE - HW'!L$4)/($E$4+'TCO TO BE - HW'!$E$4)*SUM(AKTIVITY_POZICIE!$M$41:$M$52)*1.2)/AKTIVITY_POZICIE!$B$41*12,IF((AKTIVITY_POZICIE!$B$41-12*('TCO TO BE- SW'!$D158-1))&lt;0,0,(AKTIVITY_POZICIE!$B$41-12*('TCO TO BE- SW'!$D158-1))*((L$4+'TCO TO BE - HW'!L$4)/($E$4+'TCO TO BE - HW'!$E$4)*SUM(AKTIVITY_POZICIE!$M$41:$M$52)*1.2)/AKTIVITY_POZICIE!$B$41)),0)</f>
        <v>0</v>
      </c>
      <c r="M158" s="576">
        <f>IFERROR(IF((POZICIE_INTERNE!$B$40-12*('TCO TO BE- SW'!$D158-1))&gt;12,((M$4+'TCO TO BE - HW'!M$4)/($E$4+'TCO TO BE - HW'!$E$4)*SUM(POZICIE_INTERNE!$I$40:$I$51))/POZICIE_INTERNE!$B$40*12,IF((POZICIE_INTERNE!$B$40-12*('TCO TO BE- SW'!$D158-1))&lt;0,0,(POZICIE_INTERNE!$B$40-12*('TCO TO BE- SW'!$D158-1))*((M$4+'TCO TO BE - HW'!M$4)/($E$4+'TCO TO BE - HW'!$E$4)*SUM(POZICIE_INTERNE!$I$40:$I$51))/POZICIE_INTERNE!$B$40)),0)+IFERROR(IF((AKTIVITY_POZICIE!$B$41-12*('TCO TO BE- SW'!$D158-1))&gt;12,((M$4+'TCO TO BE - HW'!M$4)/($E$4+'TCO TO BE - HW'!$E$4)*SUM(AKTIVITY_POZICIE!$M$41:$M$52)*1.2)/AKTIVITY_POZICIE!$B$41*12,IF((AKTIVITY_POZICIE!$B$41-12*('TCO TO BE- SW'!$D158-1))&lt;0,0,(AKTIVITY_POZICIE!$B$41-12*('TCO TO BE- SW'!$D158-1))*((M$4+'TCO TO BE - HW'!M$4)/($E$4+'TCO TO BE - HW'!$E$4)*SUM(AKTIVITY_POZICIE!$M$41:$M$52)*1.2)/AKTIVITY_POZICIE!$B$41)),0)</f>
        <v>0</v>
      </c>
      <c r="N158" s="576">
        <f>IFERROR(IF((POZICIE_INTERNE!$B$40-12*('TCO TO BE- SW'!$D158-1))&gt;12,((N$4+'TCO TO BE - HW'!N$4)/($E$4+'TCO TO BE - HW'!$E$4)*SUM(POZICIE_INTERNE!$I$40:$I$51))/POZICIE_INTERNE!$B$40*12,IF((POZICIE_INTERNE!$B$40-12*('TCO TO BE- SW'!$D158-1))&lt;0,0,(POZICIE_INTERNE!$B$40-12*('TCO TO BE- SW'!$D158-1))*((N$4+'TCO TO BE - HW'!N$4)/($E$4+'TCO TO BE - HW'!$E$4)*SUM(POZICIE_INTERNE!$I$40:$I$51))/POZICIE_INTERNE!$B$40)),0)+IFERROR(IF((AKTIVITY_POZICIE!$B$41-12*('TCO TO BE- SW'!$D158-1))&gt;12,((N$4+'TCO TO BE - HW'!N$4)/($E$4+'TCO TO BE - HW'!$E$4)*SUM(AKTIVITY_POZICIE!$M$41:$M$52)*1.2)/AKTIVITY_POZICIE!$B$41*12,IF((AKTIVITY_POZICIE!$B$41-12*('TCO TO BE- SW'!$D158-1))&lt;0,0,(AKTIVITY_POZICIE!$B$41-12*('TCO TO BE- SW'!$D158-1))*((N$4+'TCO TO BE - HW'!N$4)/($E$4+'TCO TO BE - HW'!$E$4)*SUM(AKTIVITY_POZICIE!$M$41:$M$52)*1.2)/AKTIVITY_POZICIE!$B$41)),0)</f>
        <v>0</v>
      </c>
      <c r="O158" s="576">
        <f>IFERROR(IF((POZICIE_INTERNE!$B$40-12*('TCO TO BE- SW'!$D158-1))&gt;12,((O$4+'TCO TO BE - HW'!O$4)/($E$4+'TCO TO BE - HW'!$E$4)*SUM(POZICIE_INTERNE!$I$40:$I$51))/POZICIE_INTERNE!$B$40*12,IF((POZICIE_INTERNE!$B$40-12*('TCO TO BE- SW'!$D158-1))&lt;0,0,(POZICIE_INTERNE!$B$40-12*('TCO TO BE- SW'!$D158-1))*((O$4+'TCO TO BE - HW'!O$4)/($E$4+'TCO TO BE - HW'!$E$4)*SUM(POZICIE_INTERNE!$I$40:$I$51))/POZICIE_INTERNE!$B$40)),0)+IFERROR(IF((AKTIVITY_POZICIE!$B$41-12*('TCO TO BE- SW'!$D158-1))&gt;12,((O$4+'TCO TO BE - HW'!O$4)/($E$4+'TCO TO BE - HW'!$E$4)*SUM(AKTIVITY_POZICIE!$M$41:$M$52)*1.2)/AKTIVITY_POZICIE!$B$41*12,IF((AKTIVITY_POZICIE!$B$41-12*('TCO TO BE- SW'!$D158-1))&lt;0,0,(AKTIVITY_POZICIE!$B$41-12*('TCO TO BE- SW'!$D158-1))*((O$4+'TCO TO BE - HW'!O$4)/($E$4+'TCO TO BE - HW'!$E$4)*SUM(AKTIVITY_POZICIE!$M$41:$M$52)*1.2)/AKTIVITY_POZICIE!$B$41)),0)</f>
        <v>0</v>
      </c>
      <c r="P158" s="576">
        <f>IFERROR(IF((POZICIE_INTERNE!$B$40-12*('TCO TO BE- SW'!$D158-1))&gt;12,((P$4+'TCO TO BE - HW'!P$4)/($E$4+'TCO TO BE - HW'!$E$4)*SUM(POZICIE_INTERNE!$I$40:$I$51))/POZICIE_INTERNE!$B$40*12,IF((POZICIE_INTERNE!$B$40-12*('TCO TO BE- SW'!$D158-1))&lt;0,0,(POZICIE_INTERNE!$B$40-12*('TCO TO BE- SW'!$D158-1))*((P$4+'TCO TO BE - HW'!P$4)/($E$4+'TCO TO BE - HW'!$E$4)*SUM(POZICIE_INTERNE!$I$40:$I$51))/POZICIE_INTERNE!$B$40)),0)+IFERROR(IF((AKTIVITY_POZICIE!$B$41-12*('TCO TO BE- SW'!$D158-1))&gt;12,((P$4+'TCO TO BE - HW'!P$4)/($E$4+'TCO TO BE - HW'!$E$4)*SUM(AKTIVITY_POZICIE!$M$41:$M$52)*1.2)/AKTIVITY_POZICIE!$B$41*12,IF((AKTIVITY_POZICIE!$B$41-12*('TCO TO BE- SW'!$D158-1))&lt;0,0,(AKTIVITY_POZICIE!$B$41-12*('TCO TO BE- SW'!$D158-1))*((P$4+'TCO TO BE - HW'!P$4)/($E$4+'TCO TO BE - HW'!$E$4)*SUM(AKTIVITY_POZICIE!$M$41:$M$52)*1.2)/AKTIVITY_POZICIE!$B$41)),0)</f>
        <v>0</v>
      </c>
      <c r="Q158" s="576">
        <f>IFERROR(IF((POZICIE_INTERNE!$B$40-12*('TCO TO BE- SW'!$D158-1))&gt;12,((Q$4+'TCO TO BE - HW'!Q$4)/($E$4+'TCO TO BE - HW'!$E$4)*SUM(POZICIE_INTERNE!$I$40:$I$51))/POZICIE_INTERNE!$B$40*12,IF((POZICIE_INTERNE!$B$40-12*('TCO TO BE- SW'!$D158-1))&lt;0,0,(POZICIE_INTERNE!$B$40-12*('TCO TO BE- SW'!$D158-1))*((Q$4+'TCO TO BE - HW'!Q$4)/($E$4+'TCO TO BE - HW'!$E$4)*SUM(POZICIE_INTERNE!$I$40:$I$51))/POZICIE_INTERNE!$B$40)),0)+IFERROR(IF((AKTIVITY_POZICIE!$B$41-12*('TCO TO BE- SW'!$D158-1))&gt;12,((Q$4+'TCO TO BE - HW'!Q$4)/($E$4+'TCO TO BE - HW'!$E$4)*SUM(AKTIVITY_POZICIE!$M$41:$M$52)*1.2)/AKTIVITY_POZICIE!$B$41*12,IF((AKTIVITY_POZICIE!$B$41-12*('TCO TO BE- SW'!$D158-1))&lt;0,0,(AKTIVITY_POZICIE!$B$41-12*('TCO TO BE- SW'!$D158-1))*((Q$4+'TCO TO BE - HW'!Q$4)/($E$4+'TCO TO BE - HW'!$E$4)*SUM(AKTIVITY_POZICIE!$M$41:$M$52)*1.2)/AKTIVITY_POZICIE!$B$41)),0)</f>
        <v>0</v>
      </c>
      <c r="R158" s="576">
        <f>IFERROR(IF((POZICIE_INTERNE!$B$40-12*('TCO TO BE- SW'!$D158-1))&gt;12,((R$4+'TCO TO BE - HW'!R$4)/($E$4+'TCO TO BE - HW'!$E$4)*SUM(POZICIE_INTERNE!$I$40:$I$51))/POZICIE_INTERNE!$B$40*12,IF((POZICIE_INTERNE!$B$40-12*('TCO TO BE- SW'!$D158-1))&lt;0,0,(POZICIE_INTERNE!$B$40-12*('TCO TO BE- SW'!$D158-1))*((R$4+'TCO TO BE - HW'!R$4)/($E$4+'TCO TO BE - HW'!$E$4)*SUM(POZICIE_INTERNE!$I$40:$I$51))/POZICIE_INTERNE!$B$40)),0)+IFERROR(IF((AKTIVITY_POZICIE!$B$41-12*('TCO TO BE- SW'!$D158-1))&gt;12,((R$4+'TCO TO BE - HW'!R$4)/($E$4+'TCO TO BE - HW'!$E$4)*SUM(AKTIVITY_POZICIE!$M$41:$M$52)*1.2)/AKTIVITY_POZICIE!$B$41*12,IF((AKTIVITY_POZICIE!$B$41-12*('TCO TO BE- SW'!$D158-1))&lt;0,0,(AKTIVITY_POZICIE!$B$41-12*('TCO TO BE- SW'!$D158-1))*((R$4+'TCO TO BE - HW'!R$4)/($E$4+'TCO TO BE - HW'!$E$4)*SUM(AKTIVITY_POZICIE!$M$41:$M$52)*1.2)/AKTIVITY_POZICIE!$B$41)),0)</f>
        <v>0</v>
      </c>
      <c r="S158" s="576">
        <f>IFERROR(IF((POZICIE_INTERNE!$B$40-12*('TCO TO BE- SW'!$D158-1))&gt;12,((S$4+'TCO TO BE - HW'!S$4)/($E$4+'TCO TO BE - HW'!$E$4)*SUM(POZICIE_INTERNE!$I$40:$I$51))/POZICIE_INTERNE!$B$40*12,IF((POZICIE_INTERNE!$B$40-12*('TCO TO BE- SW'!$D158-1))&lt;0,0,(POZICIE_INTERNE!$B$40-12*('TCO TO BE- SW'!$D158-1))*((S$4+'TCO TO BE - HW'!S$4)/($E$4+'TCO TO BE - HW'!$E$4)*SUM(POZICIE_INTERNE!$I$40:$I$51))/POZICIE_INTERNE!$B$40)),0)+IFERROR(IF((AKTIVITY_POZICIE!$B$41-12*('TCO TO BE- SW'!$D158-1))&gt;12,((S$4+'TCO TO BE - HW'!S$4)/($E$4+'TCO TO BE - HW'!$E$4)*SUM(AKTIVITY_POZICIE!$M$41:$M$52)*1.2)/AKTIVITY_POZICIE!$B$41*12,IF((AKTIVITY_POZICIE!$B$41-12*('TCO TO BE- SW'!$D158-1))&lt;0,0,(AKTIVITY_POZICIE!$B$41-12*('TCO TO BE- SW'!$D158-1))*((S$4+'TCO TO BE - HW'!S$4)/($E$4+'TCO TO BE - HW'!$E$4)*SUM(AKTIVITY_POZICIE!$M$41:$M$52)*1.2)/AKTIVITY_POZICIE!$B$41)),0)</f>
        <v>0</v>
      </c>
      <c r="T158" s="576">
        <f>IFERROR(IF((POZICIE_INTERNE!$B$40-12*('TCO TO BE- SW'!$D158-1))&gt;12,((T$4+'TCO TO BE - HW'!T$4)/($E$4+'TCO TO BE - HW'!$E$4)*SUM(POZICIE_INTERNE!$I$40:$I$51))/POZICIE_INTERNE!$B$40*12,IF((POZICIE_INTERNE!$B$40-12*('TCO TO BE- SW'!$D158-1))&lt;0,0,(POZICIE_INTERNE!$B$40-12*('TCO TO BE- SW'!$D158-1))*((T$4+'TCO TO BE - HW'!T$4)/($E$4+'TCO TO BE - HW'!$E$4)*SUM(POZICIE_INTERNE!$I$40:$I$51))/POZICIE_INTERNE!$B$40)),0)+IFERROR(IF((AKTIVITY_POZICIE!$B$41-12*('TCO TO BE- SW'!$D158-1))&gt;12,((T$4+'TCO TO BE - HW'!T$4)/($E$4+'TCO TO BE - HW'!$E$4)*SUM(AKTIVITY_POZICIE!$M$41:$M$52)*1.2)/AKTIVITY_POZICIE!$B$41*12,IF((AKTIVITY_POZICIE!$B$41-12*('TCO TO BE- SW'!$D158-1))&lt;0,0,(AKTIVITY_POZICIE!$B$41-12*('TCO TO BE- SW'!$D158-1))*((T$4+'TCO TO BE - HW'!T$4)/($E$4+'TCO TO BE - HW'!$E$4)*SUM(AKTIVITY_POZICIE!$M$41:$M$52)*1.2)/AKTIVITY_POZICIE!$B$41)),0)</f>
        <v>0</v>
      </c>
      <c r="U158" s="576">
        <f>IFERROR(IF((POZICIE_INTERNE!$B$40-12*('TCO TO BE- SW'!$D158-1))&gt;12,((U$4+'TCO TO BE - HW'!U$4)/($E$4+'TCO TO BE - HW'!$E$4)*SUM(POZICIE_INTERNE!$I$40:$I$51))/POZICIE_INTERNE!$B$40*12,IF((POZICIE_INTERNE!$B$40-12*('TCO TO BE- SW'!$D158-1))&lt;0,0,(POZICIE_INTERNE!$B$40-12*('TCO TO BE- SW'!$D158-1))*((U$4+'TCO TO BE - HW'!U$4)/($E$4+'TCO TO BE - HW'!$E$4)*SUM(POZICIE_INTERNE!$I$40:$I$51))/POZICIE_INTERNE!$B$40)),0)+IFERROR(IF((AKTIVITY_POZICIE!$B$41-12*('TCO TO BE- SW'!$D158-1))&gt;12,((U$4+'TCO TO BE - HW'!U$4)/($E$4+'TCO TO BE - HW'!$E$4)*SUM(AKTIVITY_POZICIE!$M$41:$M$52)*1.2)/AKTIVITY_POZICIE!$B$41*12,IF((AKTIVITY_POZICIE!$B$41-12*('TCO TO BE- SW'!$D158-1))&lt;0,0,(AKTIVITY_POZICIE!$B$41-12*('TCO TO BE- SW'!$D158-1))*((U$4+'TCO TO BE - HW'!U$4)/($E$4+'TCO TO BE - HW'!$E$4)*SUM(AKTIVITY_POZICIE!$M$41:$M$52)*1.2)/AKTIVITY_POZICIE!$B$41)),0)</f>
        <v>0</v>
      </c>
      <c r="V158" s="576">
        <f>IFERROR(IF((POZICIE_INTERNE!$B$40-12*('TCO TO BE- SW'!$D158-1))&gt;12,((V$4+'TCO TO BE - HW'!V$4)/($E$4+'TCO TO BE - HW'!$E$4)*SUM(POZICIE_INTERNE!$I$40:$I$51))/POZICIE_INTERNE!$B$40*12,IF((POZICIE_INTERNE!$B$40-12*('TCO TO BE- SW'!$D158-1))&lt;0,0,(POZICIE_INTERNE!$B$40-12*('TCO TO BE- SW'!$D158-1))*((V$4+'TCO TO BE - HW'!V$4)/($E$4+'TCO TO BE - HW'!$E$4)*SUM(POZICIE_INTERNE!$I$40:$I$51))/POZICIE_INTERNE!$B$40)),0)+IFERROR(IF((AKTIVITY_POZICIE!$B$41-12*('TCO TO BE- SW'!$D158-1))&gt;12,((V$4+'TCO TO BE - HW'!V$4)/($E$4+'TCO TO BE - HW'!$E$4)*SUM(AKTIVITY_POZICIE!$M$41:$M$52)*1.2)/AKTIVITY_POZICIE!$B$41*12,IF((AKTIVITY_POZICIE!$B$41-12*('TCO TO BE- SW'!$D158-1))&lt;0,0,(AKTIVITY_POZICIE!$B$41-12*('TCO TO BE- SW'!$D158-1))*((V$4+'TCO TO BE - HW'!V$4)/($E$4+'TCO TO BE - HW'!$E$4)*SUM(AKTIVITY_POZICIE!$M$41:$M$52)*1.2)/AKTIVITY_POZICIE!$B$41)),0)</f>
        <v>0</v>
      </c>
      <c r="W158" s="576">
        <f>IFERROR(IF((POZICIE_INTERNE!$B$40-12*('TCO TO BE- SW'!$D158-1))&gt;12,((W$4+'TCO TO BE - HW'!W$4)/($E$4+'TCO TO BE - HW'!$E$4)*SUM(POZICIE_INTERNE!$I$40:$I$51))/POZICIE_INTERNE!$B$40*12,IF((POZICIE_INTERNE!$B$40-12*('TCO TO BE- SW'!$D158-1))&lt;0,0,(POZICIE_INTERNE!$B$40-12*('TCO TO BE- SW'!$D158-1))*((W$4+'TCO TO BE - HW'!W$4)/($E$4+'TCO TO BE - HW'!$E$4)*SUM(POZICIE_INTERNE!$I$40:$I$51))/POZICIE_INTERNE!$B$40)),0)+IFERROR(IF((AKTIVITY_POZICIE!$B$41-12*('TCO TO BE- SW'!$D158-1))&gt;12,((W$4+'TCO TO BE - HW'!W$4)/($E$4+'TCO TO BE - HW'!$E$4)*SUM(AKTIVITY_POZICIE!$M$41:$M$52)*1.2)/AKTIVITY_POZICIE!$B$41*12,IF((AKTIVITY_POZICIE!$B$41-12*('TCO TO BE- SW'!$D158-1))&lt;0,0,(AKTIVITY_POZICIE!$B$41-12*('TCO TO BE- SW'!$D158-1))*((W$4+'TCO TO BE - HW'!W$4)/($E$4+'TCO TO BE - HW'!$E$4)*SUM(AKTIVITY_POZICIE!$M$41:$M$52)*1.2)/AKTIVITY_POZICIE!$B$41)),0)</f>
        <v>0</v>
      </c>
      <c r="X158" s="576">
        <f>IFERROR(IF((POZICIE_INTERNE!$B$40-12*('TCO TO BE- SW'!$D158-1))&gt;12,((X$4+'TCO TO BE - HW'!X$4)/($E$4+'TCO TO BE - HW'!$E$4)*SUM(POZICIE_INTERNE!$I$40:$I$51))/POZICIE_INTERNE!$B$40*12,IF((POZICIE_INTERNE!$B$40-12*('TCO TO BE- SW'!$D158-1))&lt;0,0,(POZICIE_INTERNE!$B$40-12*('TCO TO BE- SW'!$D158-1))*((X$4+'TCO TO BE - HW'!X$4)/($E$4+'TCO TO BE - HW'!$E$4)*SUM(POZICIE_INTERNE!$I$40:$I$51))/POZICIE_INTERNE!$B$40)),0)+IFERROR(IF((AKTIVITY_POZICIE!$B$41-12*('TCO TO BE- SW'!$D158-1))&gt;12,((X$4+'TCO TO BE - HW'!X$4)/($E$4+'TCO TO BE - HW'!$E$4)*SUM(AKTIVITY_POZICIE!$M$41:$M$52)*1.2)/AKTIVITY_POZICIE!$B$41*12,IF((AKTIVITY_POZICIE!$B$41-12*('TCO TO BE- SW'!$D158-1))&lt;0,0,(AKTIVITY_POZICIE!$B$41-12*('TCO TO BE- SW'!$D158-1))*((X$4+'TCO TO BE - HW'!X$4)/($E$4+'TCO TO BE - HW'!$E$4)*SUM(AKTIVITY_POZICIE!$M$41:$M$52)*1.2)/AKTIVITY_POZICIE!$B$41)),0)</f>
        <v>0</v>
      </c>
      <c r="Y158" s="576">
        <f>IFERROR(IF((POZICIE_INTERNE!$B$40-12*('TCO TO BE- SW'!$D158-1))&gt;12,((Y$4+'TCO TO BE - HW'!Y$4)/($E$4+'TCO TO BE - HW'!$E$4)*SUM(POZICIE_INTERNE!$I$40:$I$51))/POZICIE_INTERNE!$B$40*12,IF((POZICIE_INTERNE!$B$40-12*('TCO TO BE- SW'!$D158-1))&lt;0,0,(POZICIE_INTERNE!$B$40-12*('TCO TO BE- SW'!$D158-1))*((Y$4+'TCO TO BE - HW'!Y$4)/($E$4+'TCO TO BE - HW'!$E$4)*SUM(POZICIE_INTERNE!$I$40:$I$51))/POZICIE_INTERNE!$B$40)),0)+IFERROR(IF((AKTIVITY_POZICIE!$B$41-12*('TCO TO BE- SW'!$D158-1))&gt;12,((Y$4+'TCO TO BE - HW'!Y$4)/($E$4+'TCO TO BE - HW'!$E$4)*SUM(AKTIVITY_POZICIE!$M$41:$M$52)*1.2)/AKTIVITY_POZICIE!$B$41*12,IF((AKTIVITY_POZICIE!$B$41-12*('TCO TO BE- SW'!$D158-1))&lt;0,0,(AKTIVITY_POZICIE!$B$41-12*('TCO TO BE- SW'!$D158-1))*((Y$4+'TCO TO BE - HW'!Y$4)/($E$4+'TCO TO BE - HW'!$E$4)*SUM(AKTIVITY_POZICIE!$M$41:$M$52)*1.2)/AKTIVITY_POZICIE!$B$41)),0)</f>
        <v>0</v>
      </c>
      <c r="Z158" s="576">
        <f>IFERROR(IF((POZICIE_INTERNE!$B$40-12*('TCO TO BE- SW'!$D158-1))&gt;12,((Z$4+'TCO TO BE - HW'!Z$4)/($E$4+'TCO TO BE - HW'!$E$4)*SUM(POZICIE_INTERNE!$I$40:$I$51))/POZICIE_INTERNE!$B$40*12,IF((POZICIE_INTERNE!$B$40-12*('TCO TO BE- SW'!$D158-1))&lt;0,0,(POZICIE_INTERNE!$B$40-12*('TCO TO BE- SW'!$D158-1))*((Z$4+'TCO TO BE - HW'!Z$4)/($E$4+'TCO TO BE - HW'!$E$4)*SUM(POZICIE_INTERNE!$I$40:$I$51))/POZICIE_INTERNE!$B$40)),0)+IFERROR(IF((AKTIVITY_POZICIE!$B$41-12*('TCO TO BE- SW'!$D158-1))&gt;12,((Z$4+'TCO TO BE - HW'!Z$4)/($E$4+'TCO TO BE - HW'!$E$4)*SUM(AKTIVITY_POZICIE!$M$41:$M$52)*1.2)/AKTIVITY_POZICIE!$B$41*12,IF((AKTIVITY_POZICIE!$B$41-12*('TCO TO BE- SW'!$D158-1))&lt;0,0,(AKTIVITY_POZICIE!$B$41-12*('TCO TO BE- SW'!$D158-1))*((Z$4+'TCO TO BE - HW'!Z$4)/($E$4+'TCO TO BE - HW'!$E$4)*SUM(AKTIVITY_POZICIE!$M$41:$M$52)*1.2)/AKTIVITY_POZICIE!$B$41)),0)</f>
        <v>0</v>
      </c>
    </row>
    <row r="159" spans="1:26">
      <c r="A159" s="875"/>
      <c r="B159" s="876"/>
      <c r="C159" s="876"/>
      <c r="D159" s="64">
        <v>9</v>
      </c>
      <c r="E159" s="68">
        <f t="shared" si="16"/>
        <v>0</v>
      </c>
      <c r="F159" s="576">
        <f>IFERROR(IF((POZICIE_INTERNE!$B$40-12*('TCO TO BE- SW'!$D159-1))&gt;12,((F$4+'TCO TO BE - HW'!F$4)/($E$4+'TCO TO BE - HW'!$E$4)*SUM(POZICIE_INTERNE!$I$40:$I$51))/POZICIE_INTERNE!$B$40*12,IF((POZICIE_INTERNE!$B$40-12*('TCO TO BE- SW'!$D159-1))&lt;0,0,(POZICIE_INTERNE!$B$40-12*('TCO TO BE- SW'!$D159-1))*((F$4+'TCO TO BE - HW'!F$4)/($E$4+'TCO TO BE - HW'!$E$4)*SUM(POZICIE_INTERNE!$I$40:$I$51))/POZICIE_INTERNE!$B$40)),0)+IFERROR(IF((AKTIVITY_POZICIE!$B$41-12*('TCO TO BE- SW'!$D159-1))&gt;12,((F$4+'TCO TO BE - HW'!F$4)/($E$4+'TCO TO BE - HW'!$E$4)*SUM(AKTIVITY_POZICIE!$M$41:$M$52)*1.2)/AKTIVITY_POZICIE!$B$41*12,IF((AKTIVITY_POZICIE!$B$41-12*('TCO TO BE- SW'!$D159-1))&lt;0,0,(AKTIVITY_POZICIE!$B$41-12*('TCO TO BE- SW'!$D159-1))*((F$4+'TCO TO BE - HW'!F$4)/($E$4+'TCO TO BE - HW'!$E$4)*SUM(AKTIVITY_POZICIE!$M$41:$M$52)*1.2)/AKTIVITY_POZICIE!$B$41)),0)</f>
        <v>0</v>
      </c>
      <c r="G159" s="576">
        <f>IFERROR(IF((POZICIE_INTERNE!$B$40-12*('TCO TO BE- SW'!$D159-1))&gt;12,((G$4+'TCO TO BE - HW'!G$4)/($E$4+'TCO TO BE - HW'!$E$4)*SUM(POZICIE_INTERNE!$I$40:$I$51))/POZICIE_INTERNE!$B$40*12,IF((POZICIE_INTERNE!$B$40-12*('TCO TO BE- SW'!$D159-1))&lt;0,0,(POZICIE_INTERNE!$B$40-12*('TCO TO BE- SW'!$D159-1))*((G$4+'TCO TO BE - HW'!G$4)/($E$4+'TCO TO BE - HW'!$E$4)*SUM(POZICIE_INTERNE!$I$40:$I$51))/POZICIE_INTERNE!$B$40)),0)+IFERROR(IF((AKTIVITY_POZICIE!$B$41-12*('TCO TO BE- SW'!$D159-1))&gt;12,((G$4+'TCO TO BE - HW'!G$4)/($E$4+'TCO TO BE - HW'!$E$4)*SUM(AKTIVITY_POZICIE!$M$41:$M$52)*1.2)/AKTIVITY_POZICIE!$B$41*12,IF((AKTIVITY_POZICIE!$B$41-12*('TCO TO BE- SW'!$D159-1))&lt;0,0,(AKTIVITY_POZICIE!$B$41-12*('TCO TO BE- SW'!$D159-1))*((G$4+'TCO TO BE - HW'!G$4)/($E$4+'TCO TO BE - HW'!$E$4)*SUM(AKTIVITY_POZICIE!$M$41:$M$52)*1.2)/AKTIVITY_POZICIE!$B$41)),0)</f>
        <v>0</v>
      </c>
      <c r="H159" s="576">
        <f>IFERROR(IF((POZICIE_INTERNE!$B$40-12*('TCO TO BE- SW'!$D159-1))&gt;12,((H$4+'TCO TO BE - HW'!H$4)/($E$4+'TCO TO BE - HW'!$E$4)*SUM(POZICIE_INTERNE!$I$40:$I$51))/POZICIE_INTERNE!$B$40*12,IF((POZICIE_INTERNE!$B$40-12*('TCO TO BE- SW'!$D159-1))&lt;0,0,(POZICIE_INTERNE!$B$40-12*('TCO TO BE- SW'!$D159-1))*((H$4+'TCO TO BE - HW'!H$4)/($E$4+'TCO TO BE - HW'!$E$4)*SUM(POZICIE_INTERNE!$I$40:$I$51))/POZICIE_INTERNE!$B$40)),0)+IFERROR(IF((AKTIVITY_POZICIE!$B$41-12*('TCO TO BE- SW'!$D159-1))&gt;12,((H$4+'TCO TO BE - HW'!H$4)/($E$4+'TCO TO BE - HW'!$E$4)*SUM(AKTIVITY_POZICIE!$M$41:$M$52)*1.2)/AKTIVITY_POZICIE!$B$41*12,IF((AKTIVITY_POZICIE!$B$41-12*('TCO TO BE- SW'!$D159-1))&lt;0,0,(AKTIVITY_POZICIE!$B$41-12*('TCO TO BE- SW'!$D159-1))*((H$4+'TCO TO BE - HW'!H$4)/($E$4+'TCO TO BE - HW'!$E$4)*SUM(AKTIVITY_POZICIE!$M$41:$M$52)*1.2)/AKTIVITY_POZICIE!$B$41)),0)</f>
        <v>0</v>
      </c>
      <c r="I159" s="576">
        <f>IFERROR(IF((POZICIE_INTERNE!$B$40-12*('TCO TO BE- SW'!$D159-1))&gt;12,((I$4+'TCO TO BE - HW'!I$4)/($E$4+'TCO TO BE - HW'!$E$4)*SUM(POZICIE_INTERNE!$I$40:$I$51))/POZICIE_INTERNE!$B$40*12,IF((POZICIE_INTERNE!$B$40-12*('TCO TO BE- SW'!$D159-1))&lt;0,0,(POZICIE_INTERNE!$B$40-12*('TCO TO BE- SW'!$D159-1))*((I$4+'TCO TO BE - HW'!I$4)/($E$4+'TCO TO BE - HW'!$E$4)*SUM(POZICIE_INTERNE!$I$40:$I$51))/POZICIE_INTERNE!$B$40)),0)+IFERROR(IF((AKTIVITY_POZICIE!$B$41-12*('TCO TO BE- SW'!$D159-1))&gt;12,((I$4+'TCO TO BE - HW'!I$4)/($E$4+'TCO TO BE - HW'!$E$4)*SUM(AKTIVITY_POZICIE!$M$41:$M$52)*1.2)/AKTIVITY_POZICIE!$B$41*12,IF((AKTIVITY_POZICIE!$B$41-12*('TCO TO BE- SW'!$D159-1))&lt;0,0,(AKTIVITY_POZICIE!$B$41-12*('TCO TO BE- SW'!$D159-1))*((I$4+'TCO TO BE - HW'!I$4)/($E$4+'TCO TO BE - HW'!$E$4)*SUM(AKTIVITY_POZICIE!$M$41:$M$52)*1.2)/AKTIVITY_POZICIE!$B$41)),0)</f>
        <v>0</v>
      </c>
      <c r="J159" s="576">
        <f>IFERROR(IF((POZICIE_INTERNE!$B$40-12*('TCO TO BE- SW'!$D159-1))&gt;12,((J$4+'TCO TO BE - HW'!J$4)/($E$4+'TCO TO BE - HW'!$E$4)*SUM(POZICIE_INTERNE!$I$40:$I$51))/POZICIE_INTERNE!$B$40*12,IF((POZICIE_INTERNE!$B$40-12*('TCO TO BE- SW'!$D159-1))&lt;0,0,(POZICIE_INTERNE!$B$40-12*('TCO TO BE- SW'!$D159-1))*((J$4+'TCO TO BE - HW'!J$4)/($E$4+'TCO TO BE - HW'!$E$4)*SUM(POZICIE_INTERNE!$I$40:$I$51))/POZICIE_INTERNE!$B$40)),0)+IFERROR(IF((AKTIVITY_POZICIE!$B$41-12*('TCO TO BE- SW'!$D159-1))&gt;12,((J$4+'TCO TO BE - HW'!J$4)/($E$4+'TCO TO BE - HW'!$E$4)*SUM(AKTIVITY_POZICIE!$M$41:$M$52)*1.2)/AKTIVITY_POZICIE!$B$41*12,IF((AKTIVITY_POZICIE!$B$41-12*('TCO TO BE- SW'!$D159-1))&lt;0,0,(AKTIVITY_POZICIE!$B$41-12*('TCO TO BE- SW'!$D159-1))*((J$4+'TCO TO BE - HW'!J$4)/($E$4+'TCO TO BE - HW'!$E$4)*SUM(AKTIVITY_POZICIE!$M$41:$M$52)*1.2)/AKTIVITY_POZICIE!$B$41)),0)</f>
        <v>0</v>
      </c>
      <c r="K159" s="576">
        <f>IFERROR(IF((POZICIE_INTERNE!$B$40-12*('TCO TO BE- SW'!$D159-1))&gt;12,((K$4+'TCO TO BE - HW'!K$4)/($E$4+'TCO TO BE - HW'!$E$4)*SUM(POZICIE_INTERNE!$I$40:$I$51))/POZICIE_INTERNE!$B$40*12,IF((POZICIE_INTERNE!$B$40-12*('TCO TO BE- SW'!$D159-1))&lt;0,0,(POZICIE_INTERNE!$B$40-12*('TCO TO BE- SW'!$D159-1))*((K$4+'TCO TO BE - HW'!K$4)/($E$4+'TCO TO BE - HW'!$E$4)*SUM(POZICIE_INTERNE!$I$40:$I$51))/POZICIE_INTERNE!$B$40)),0)+IFERROR(IF((AKTIVITY_POZICIE!$B$41-12*('TCO TO BE- SW'!$D159-1))&gt;12,((K$4+'TCO TO BE - HW'!K$4)/($E$4+'TCO TO BE - HW'!$E$4)*SUM(AKTIVITY_POZICIE!$M$41:$M$52)*1.2)/AKTIVITY_POZICIE!$B$41*12,IF((AKTIVITY_POZICIE!$B$41-12*('TCO TO BE- SW'!$D159-1))&lt;0,0,(AKTIVITY_POZICIE!$B$41-12*('TCO TO BE- SW'!$D159-1))*((K$4+'TCO TO BE - HW'!K$4)/($E$4+'TCO TO BE - HW'!$E$4)*SUM(AKTIVITY_POZICIE!$M$41:$M$52)*1.2)/AKTIVITY_POZICIE!$B$41)),0)</f>
        <v>0</v>
      </c>
      <c r="L159" s="576">
        <f>IFERROR(IF((POZICIE_INTERNE!$B$40-12*('TCO TO BE- SW'!$D159-1))&gt;12,((L$4+'TCO TO BE - HW'!L$4)/($E$4+'TCO TO BE - HW'!$E$4)*SUM(POZICIE_INTERNE!$I$40:$I$51))/POZICIE_INTERNE!$B$40*12,IF((POZICIE_INTERNE!$B$40-12*('TCO TO BE- SW'!$D159-1))&lt;0,0,(POZICIE_INTERNE!$B$40-12*('TCO TO BE- SW'!$D159-1))*((L$4+'TCO TO BE - HW'!L$4)/($E$4+'TCO TO BE - HW'!$E$4)*SUM(POZICIE_INTERNE!$I$40:$I$51))/POZICIE_INTERNE!$B$40)),0)+IFERROR(IF((AKTIVITY_POZICIE!$B$41-12*('TCO TO BE- SW'!$D159-1))&gt;12,((L$4+'TCO TO BE - HW'!L$4)/($E$4+'TCO TO BE - HW'!$E$4)*SUM(AKTIVITY_POZICIE!$M$41:$M$52)*1.2)/AKTIVITY_POZICIE!$B$41*12,IF((AKTIVITY_POZICIE!$B$41-12*('TCO TO BE- SW'!$D159-1))&lt;0,0,(AKTIVITY_POZICIE!$B$41-12*('TCO TO BE- SW'!$D159-1))*((L$4+'TCO TO BE - HW'!L$4)/($E$4+'TCO TO BE - HW'!$E$4)*SUM(AKTIVITY_POZICIE!$M$41:$M$52)*1.2)/AKTIVITY_POZICIE!$B$41)),0)</f>
        <v>0</v>
      </c>
      <c r="M159" s="576">
        <f>IFERROR(IF((POZICIE_INTERNE!$B$40-12*('TCO TO BE- SW'!$D159-1))&gt;12,((M$4+'TCO TO BE - HW'!M$4)/($E$4+'TCO TO BE - HW'!$E$4)*SUM(POZICIE_INTERNE!$I$40:$I$51))/POZICIE_INTERNE!$B$40*12,IF((POZICIE_INTERNE!$B$40-12*('TCO TO BE- SW'!$D159-1))&lt;0,0,(POZICIE_INTERNE!$B$40-12*('TCO TO BE- SW'!$D159-1))*((M$4+'TCO TO BE - HW'!M$4)/($E$4+'TCO TO BE - HW'!$E$4)*SUM(POZICIE_INTERNE!$I$40:$I$51))/POZICIE_INTERNE!$B$40)),0)+IFERROR(IF((AKTIVITY_POZICIE!$B$41-12*('TCO TO BE- SW'!$D159-1))&gt;12,((M$4+'TCO TO BE - HW'!M$4)/($E$4+'TCO TO BE - HW'!$E$4)*SUM(AKTIVITY_POZICIE!$M$41:$M$52)*1.2)/AKTIVITY_POZICIE!$B$41*12,IF((AKTIVITY_POZICIE!$B$41-12*('TCO TO BE- SW'!$D159-1))&lt;0,0,(AKTIVITY_POZICIE!$B$41-12*('TCO TO BE- SW'!$D159-1))*((M$4+'TCO TO BE - HW'!M$4)/($E$4+'TCO TO BE - HW'!$E$4)*SUM(AKTIVITY_POZICIE!$M$41:$M$52)*1.2)/AKTIVITY_POZICIE!$B$41)),0)</f>
        <v>0</v>
      </c>
      <c r="N159" s="576">
        <f>IFERROR(IF((POZICIE_INTERNE!$B$40-12*('TCO TO BE- SW'!$D159-1))&gt;12,((N$4+'TCO TO BE - HW'!N$4)/($E$4+'TCO TO BE - HW'!$E$4)*SUM(POZICIE_INTERNE!$I$40:$I$51))/POZICIE_INTERNE!$B$40*12,IF((POZICIE_INTERNE!$B$40-12*('TCO TO BE- SW'!$D159-1))&lt;0,0,(POZICIE_INTERNE!$B$40-12*('TCO TO BE- SW'!$D159-1))*((N$4+'TCO TO BE - HW'!N$4)/($E$4+'TCO TO BE - HW'!$E$4)*SUM(POZICIE_INTERNE!$I$40:$I$51))/POZICIE_INTERNE!$B$40)),0)+IFERROR(IF((AKTIVITY_POZICIE!$B$41-12*('TCO TO BE- SW'!$D159-1))&gt;12,((N$4+'TCO TO BE - HW'!N$4)/($E$4+'TCO TO BE - HW'!$E$4)*SUM(AKTIVITY_POZICIE!$M$41:$M$52)*1.2)/AKTIVITY_POZICIE!$B$41*12,IF((AKTIVITY_POZICIE!$B$41-12*('TCO TO BE- SW'!$D159-1))&lt;0,0,(AKTIVITY_POZICIE!$B$41-12*('TCO TO BE- SW'!$D159-1))*((N$4+'TCO TO BE - HW'!N$4)/($E$4+'TCO TO BE - HW'!$E$4)*SUM(AKTIVITY_POZICIE!$M$41:$M$52)*1.2)/AKTIVITY_POZICIE!$B$41)),0)</f>
        <v>0</v>
      </c>
      <c r="O159" s="576">
        <f>IFERROR(IF((POZICIE_INTERNE!$B$40-12*('TCO TO BE- SW'!$D159-1))&gt;12,((O$4+'TCO TO BE - HW'!O$4)/($E$4+'TCO TO BE - HW'!$E$4)*SUM(POZICIE_INTERNE!$I$40:$I$51))/POZICIE_INTERNE!$B$40*12,IF((POZICIE_INTERNE!$B$40-12*('TCO TO BE- SW'!$D159-1))&lt;0,0,(POZICIE_INTERNE!$B$40-12*('TCO TO BE- SW'!$D159-1))*((O$4+'TCO TO BE - HW'!O$4)/($E$4+'TCO TO BE - HW'!$E$4)*SUM(POZICIE_INTERNE!$I$40:$I$51))/POZICIE_INTERNE!$B$40)),0)+IFERROR(IF((AKTIVITY_POZICIE!$B$41-12*('TCO TO BE- SW'!$D159-1))&gt;12,((O$4+'TCO TO BE - HW'!O$4)/($E$4+'TCO TO BE - HW'!$E$4)*SUM(AKTIVITY_POZICIE!$M$41:$M$52)*1.2)/AKTIVITY_POZICIE!$B$41*12,IF((AKTIVITY_POZICIE!$B$41-12*('TCO TO BE- SW'!$D159-1))&lt;0,0,(AKTIVITY_POZICIE!$B$41-12*('TCO TO BE- SW'!$D159-1))*((O$4+'TCO TO BE - HW'!O$4)/($E$4+'TCO TO BE - HW'!$E$4)*SUM(AKTIVITY_POZICIE!$M$41:$M$52)*1.2)/AKTIVITY_POZICIE!$B$41)),0)</f>
        <v>0</v>
      </c>
      <c r="P159" s="576">
        <f>IFERROR(IF((POZICIE_INTERNE!$B$40-12*('TCO TO BE- SW'!$D159-1))&gt;12,((P$4+'TCO TO BE - HW'!P$4)/($E$4+'TCO TO BE - HW'!$E$4)*SUM(POZICIE_INTERNE!$I$40:$I$51))/POZICIE_INTERNE!$B$40*12,IF((POZICIE_INTERNE!$B$40-12*('TCO TO BE- SW'!$D159-1))&lt;0,0,(POZICIE_INTERNE!$B$40-12*('TCO TO BE- SW'!$D159-1))*((P$4+'TCO TO BE - HW'!P$4)/($E$4+'TCO TO BE - HW'!$E$4)*SUM(POZICIE_INTERNE!$I$40:$I$51))/POZICIE_INTERNE!$B$40)),0)+IFERROR(IF((AKTIVITY_POZICIE!$B$41-12*('TCO TO BE- SW'!$D159-1))&gt;12,((P$4+'TCO TO BE - HW'!P$4)/($E$4+'TCO TO BE - HW'!$E$4)*SUM(AKTIVITY_POZICIE!$M$41:$M$52)*1.2)/AKTIVITY_POZICIE!$B$41*12,IF((AKTIVITY_POZICIE!$B$41-12*('TCO TO BE- SW'!$D159-1))&lt;0,0,(AKTIVITY_POZICIE!$B$41-12*('TCO TO BE- SW'!$D159-1))*((P$4+'TCO TO BE - HW'!P$4)/($E$4+'TCO TO BE - HW'!$E$4)*SUM(AKTIVITY_POZICIE!$M$41:$M$52)*1.2)/AKTIVITY_POZICIE!$B$41)),0)</f>
        <v>0</v>
      </c>
      <c r="Q159" s="576">
        <f>IFERROR(IF((POZICIE_INTERNE!$B$40-12*('TCO TO BE- SW'!$D159-1))&gt;12,((Q$4+'TCO TO BE - HW'!Q$4)/($E$4+'TCO TO BE - HW'!$E$4)*SUM(POZICIE_INTERNE!$I$40:$I$51))/POZICIE_INTERNE!$B$40*12,IF((POZICIE_INTERNE!$B$40-12*('TCO TO BE- SW'!$D159-1))&lt;0,0,(POZICIE_INTERNE!$B$40-12*('TCO TO BE- SW'!$D159-1))*((Q$4+'TCO TO BE - HW'!Q$4)/($E$4+'TCO TO BE - HW'!$E$4)*SUM(POZICIE_INTERNE!$I$40:$I$51))/POZICIE_INTERNE!$B$40)),0)+IFERROR(IF((AKTIVITY_POZICIE!$B$41-12*('TCO TO BE- SW'!$D159-1))&gt;12,((Q$4+'TCO TO BE - HW'!Q$4)/($E$4+'TCO TO BE - HW'!$E$4)*SUM(AKTIVITY_POZICIE!$M$41:$M$52)*1.2)/AKTIVITY_POZICIE!$B$41*12,IF((AKTIVITY_POZICIE!$B$41-12*('TCO TO BE- SW'!$D159-1))&lt;0,0,(AKTIVITY_POZICIE!$B$41-12*('TCO TO BE- SW'!$D159-1))*((Q$4+'TCO TO BE - HW'!Q$4)/($E$4+'TCO TO BE - HW'!$E$4)*SUM(AKTIVITY_POZICIE!$M$41:$M$52)*1.2)/AKTIVITY_POZICIE!$B$41)),0)</f>
        <v>0</v>
      </c>
      <c r="R159" s="576">
        <f>IFERROR(IF((POZICIE_INTERNE!$B$40-12*('TCO TO BE- SW'!$D159-1))&gt;12,((R$4+'TCO TO BE - HW'!R$4)/($E$4+'TCO TO BE - HW'!$E$4)*SUM(POZICIE_INTERNE!$I$40:$I$51))/POZICIE_INTERNE!$B$40*12,IF((POZICIE_INTERNE!$B$40-12*('TCO TO BE- SW'!$D159-1))&lt;0,0,(POZICIE_INTERNE!$B$40-12*('TCO TO BE- SW'!$D159-1))*((R$4+'TCO TO BE - HW'!R$4)/($E$4+'TCO TO BE - HW'!$E$4)*SUM(POZICIE_INTERNE!$I$40:$I$51))/POZICIE_INTERNE!$B$40)),0)+IFERROR(IF((AKTIVITY_POZICIE!$B$41-12*('TCO TO BE- SW'!$D159-1))&gt;12,((R$4+'TCO TO BE - HW'!R$4)/($E$4+'TCO TO BE - HW'!$E$4)*SUM(AKTIVITY_POZICIE!$M$41:$M$52)*1.2)/AKTIVITY_POZICIE!$B$41*12,IF((AKTIVITY_POZICIE!$B$41-12*('TCO TO BE- SW'!$D159-1))&lt;0,0,(AKTIVITY_POZICIE!$B$41-12*('TCO TO BE- SW'!$D159-1))*((R$4+'TCO TO BE - HW'!R$4)/($E$4+'TCO TO BE - HW'!$E$4)*SUM(AKTIVITY_POZICIE!$M$41:$M$52)*1.2)/AKTIVITY_POZICIE!$B$41)),0)</f>
        <v>0</v>
      </c>
      <c r="S159" s="576">
        <f>IFERROR(IF((POZICIE_INTERNE!$B$40-12*('TCO TO BE- SW'!$D159-1))&gt;12,((S$4+'TCO TO BE - HW'!S$4)/($E$4+'TCO TO BE - HW'!$E$4)*SUM(POZICIE_INTERNE!$I$40:$I$51))/POZICIE_INTERNE!$B$40*12,IF((POZICIE_INTERNE!$B$40-12*('TCO TO BE- SW'!$D159-1))&lt;0,0,(POZICIE_INTERNE!$B$40-12*('TCO TO BE- SW'!$D159-1))*((S$4+'TCO TO BE - HW'!S$4)/($E$4+'TCO TO BE - HW'!$E$4)*SUM(POZICIE_INTERNE!$I$40:$I$51))/POZICIE_INTERNE!$B$40)),0)+IFERROR(IF((AKTIVITY_POZICIE!$B$41-12*('TCO TO BE- SW'!$D159-1))&gt;12,((S$4+'TCO TO BE - HW'!S$4)/($E$4+'TCO TO BE - HW'!$E$4)*SUM(AKTIVITY_POZICIE!$M$41:$M$52)*1.2)/AKTIVITY_POZICIE!$B$41*12,IF((AKTIVITY_POZICIE!$B$41-12*('TCO TO BE- SW'!$D159-1))&lt;0,0,(AKTIVITY_POZICIE!$B$41-12*('TCO TO BE- SW'!$D159-1))*((S$4+'TCO TO BE - HW'!S$4)/($E$4+'TCO TO BE - HW'!$E$4)*SUM(AKTIVITY_POZICIE!$M$41:$M$52)*1.2)/AKTIVITY_POZICIE!$B$41)),0)</f>
        <v>0</v>
      </c>
      <c r="T159" s="576">
        <f>IFERROR(IF((POZICIE_INTERNE!$B$40-12*('TCO TO BE- SW'!$D159-1))&gt;12,((T$4+'TCO TO BE - HW'!T$4)/($E$4+'TCO TO BE - HW'!$E$4)*SUM(POZICIE_INTERNE!$I$40:$I$51))/POZICIE_INTERNE!$B$40*12,IF((POZICIE_INTERNE!$B$40-12*('TCO TO BE- SW'!$D159-1))&lt;0,0,(POZICIE_INTERNE!$B$40-12*('TCO TO BE- SW'!$D159-1))*((T$4+'TCO TO BE - HW'!T$4)/($E$4+'TCO TO BE - HW'!$E$4)*SUM(POZICIE_INTERNE!$I$40:$I$51))/POZICIE_INTERNE!$B$40)),0)+IFERROR(IF((AKTIVITY_POZICIE!$B$41-12*('TCO TO BE- SW'!$D159-1))&gt;12,((T$4+'TCO TO BE - HW'!T$4)/($E$4+'TCO TO BE - HW'!$E$4)*SUM(AKTIVITY_POZICIE!$M$41:$M$52)*1.2)/AKTIVITY_POZICIE!$B$41*12,IF((AKTIVITY_POZICIE!$B$41-12*('TCO TO BE- SW'!$D159-1))&lt;0,0,(AKTIVITY_POZICIE!$B$41-12*('TCO TO BE- SW'!$D159-1))*((T$4+'TCO TO BE - HW'!T$4)/($E$4+'TCO TO BE - HW'!$E$4)*SUM(AKTIVITY_POZICIE!$M$41:$M$52)*1.2)/AKTIVITY_POZICIE!$B$41)),0)</f>
        <v>0</v>
      </c>
      <c r="U159" s="576">
        <f>IFERROR(IF((POZICIE_INTERNE!$B$40-12*('TCO TO BE- SW'!$D159-1))&gt;12,((U$4+'TCO TO BE - HW'!U$4)/($E$4+'TCO TO BE - HW'!$E$4)*SUM(POZICIE_INTERNE!$I$40:$I$51))/POZICIE_INTERNE!$B$40*12,IF((POZICIE_INTERNE!$B$40-12*('TCO TO BE- SW'!$D159-1))&lt;0,0,(POZICIE_INTERNE!$B$40-12*('TCO TO BE- SW'!$D159-1))*((U$4+'TCO TO BE - HW'!U$4)/($E$4+'TCO TO BE - HW'!$E$4)*SUM(POZICIE_INTERNE!$I$40:$I$51))/POZICIE_INTERNE!$B$40)),0)+IFERROR(IF((AKTIVITY_POZICIE!$B$41-12*('TCO TO BE- SW'!$D159-1))&gt;12,((U$4+'TCO TO BE - HW'!U$4)/($E$4+'TCO TO BE - HW'!$E$4)*SUM(AKTIVITY_POZICIE!$M$41:$M$52)*1.2)/AKTIVITY_POZICIE!$B$41*12,IF((AKTIVITY_POZICIE!$B$41-12*('TCO TO BE- SW'!$D159-1))&lt;0,0,(AKTIVITY_POZICIE!$B$41-12*('TCO TO BE- SW'!$D159-1))*((U$4+'TCO TO BE - HW'!U$4)/($E$4+'TCO TO BE - HW'!$E$4)*SUM(AKTIVITY_POZICIE!$M$41:$M$52)*1.2)/AKTIVITY_POZICIE!$B$41)),0)</f>
        <v>0</v>
      </c>
      <c r="V159" s="576">
        <f>IFERROR(IF((POZICIE_INTERNE!$B$40-12*('TCO TO BE- SW'!$D159-1))&gt;12,((V$4+'TCO TO BE - HW'!V$4)/($E$4+'TCO TO BE - HW'!$E$4)*SUM(POZICIE_INTERNE!$I$40:$I$51))/POZICIE_INTERNE!$B$40*12,IF((POZICIE_INTERNE!$B$40-12*('TCO TO BE- SW'!$D159-1))&lt;0,0,(POZICIE_INTERNE!$B$40-12*('TCO TO BE- SW'!$D159-1))*((V$4+'TCO TO BE - HW'!V$4)/($E$4+'TCO TO BE - HW'!$E$4)*SUM(POZICIE_INTERNE!$I$40:$I$51))/POZICIE_INTERNE!$B$40)),0)+IFERROR(IF((AKTIVITY_POZICIE!$B$41-12*('TCO TO BE- SW'!$D159-1))&gt;12,((V$4+'TCO TO BE - HW'!V$4)/($E$4+'TCO TO BE - HW'!$E$4)*SUM(AKTIVITY_POZICIE!$M$41:$M$52)*1.2)/AKTIVITY_POZICIE!$B$41*12,IF((AKTIVITY_POZICIE!$B$41-12*('TCO TO BE- SW'!$D159-1))&lt;0,0,(AKTIVITY_POZICIE!$B$41-12*('TCO TO BE- SW'!$D159-1))*((V$4+'TCO TO BE - HW'!V$4)/($E$4+'TCO TO BE - HW'!$E$4)*SUM(AKTIVITY_POZICIE!$M$41:$M$52)*1.2)/AKTIVITY_POZICIE!$B$41)),0)</f>
        <v>0</v>
      </c>
      <c r="W159" s="576">
        <f>IFERROR(IF((POZICIE_INTERNE!$B$40-12*('TCO TO BE- SW'!$D159-1))&gt;12,((W$4+'TCO TO BE - HW'!W$4)/($E$4+'TCO TO BE - HW'!$E$4)*SUM(POZICIE_INTERNE!$I$40:$I$51))/POZICIE_INTERNE!$B$40*12,IF((POZICIE_INTERNE!$B$40-12*('TCO TO BE- SW'!$D159-1))&lt;0,0,(POZICIE_INTERNE!$B$40-12*('TCO TO BE- SW'!$D159-1))*((W$4+'TCO TO BE - HW'!W$4)/($E$4+'TCO TO BE - HW'!$E$4)*SUM(POZICIE_INTERNE!$I$40:$I$51))/POZICIE_INTERNE!$B$40)),0)+IFERROR(IF((AKTIVITY_POZICIE!$B$41-12*('TCO TO BE- SW'!$D159-1))&gt;12,((W$4+'TCO TO BE - HW'!W$4)/($E$4+'TCO TO BE - HW'!$E$4)*SUM(AKTIVITY_POZICIE!$M$41:$M$52)*1.2)/AKTIVITY_POZICIE!$B$41*12,IF((AKTIVITY_POZICIE!$B$41-12*('TCO TO BE- SW'!$D159-1))&lt;0,0,(AKTIVITY_POZICIE!$B$41-12*('TCO TO BE- SW'!$D159-1))*((W$4+'TCO TO BE - HW'!W$4)/($E$4+'TCO TO BE - HW'!$E$4)*SUM(AKTIVITY_POZICIE!$M$41:$M$52)*1.2)/AKTIVITY_POZICIE!$B$41)),0)</f>
        <v>0</v>
      </c>
      <c r="X159" s="576">
        <f>IFERROR(IF((POZICIE_INTERNE!$B$40-12*('TCO TO BE- SW'!$D159-1))&gt;12,((X$4+'TCO TO BE - HW'!X$4)/($E$4+'TCO TO BE - HW'!$E$4)*SUM(POZICIE_INTERNE!$I$40:$I$51))/POZICIE_INTERNE!$B$40*12,IF((POZICIE_INTERNE!$B$40-12*('TCO TO BE- SW'!$D159-1))&lt;0,0,(POZICIE_INTERNE!$B$40-12*('TCO TO BE- SW'!$D159-1))*((X$4+'TCO TO BE - HW'!X$4)/($E$4+'TCO TO BE - HW'!$E$4)*SUM(POZICIE_INTERNE!$I$40:$I$51))/POZICIE_INTERNE!$B$40)),0)+IFERROR(IF((AKTIVITY_POZICIE!$B$41-12*('TCO TO BE- SW'!$D159-1))&gt;12,((X$4+'TCO TO BE - HW'!X$4)/($E$4+'TCO TO BE - HW'!$E$4)*SUM(AKTIVITY_POZICIE!$M$41:$M$52)*1.2)/AKTIVITY_POZICIE!$B$41*12,IF((AKTIVITY_POZICIE!$B$41-12*('TCO TO BE- SW'!$D159-1))&lt;0,0,(AKTIVITY_POZICIE!$B$41-12*('TCO TO BE- SW'!$D159-1))*((X$4+'TCO TO BE - HW'!X$4)/($E$4+'TCO TO BE - HW'!$E$4)*SUM(AKTIVITY_POZICIE!$M$41:$M$52)*1.2)/AKTIVITY_POZICIE!$B$41)),0)</f>
        <v>0</v>
      </c>
      <c r="Y159" s="576">
        <f>IFERROR(IF((POZICIE_INTERNE!$B$40-12*('TCO TO BE- SW'!$D159-1))&gt;12,((Y$4+'TCO TO BE - HW'!Y$4)/($E$4+'TCO TO BE - HW'!$E$4)*SUM(POZICIE_INTERNE!$I$40:$I$51))/POZICIE_INTERNE!$B$40*12,IF((POZICIE_INTERNE!$B$40-12*('TCO TO BE- SW'!$D159-1))&lt;0,0,(POZICIE_INTERNE!$B$40-12*('TCO TO BE- SW'!$D159-1))*((Y$4+'TCO TO BE - HW'!Y$4)/($E$4+'TCO TO BE - HW'!$E$4)*SUM(POZICIE_INTERNE!$I$40:$I$51))/POZICIE_INTERNE!$B$40)),0)+IFERROR(IF((AKTIVITY_POZICIE!$B$41-12*('TCO TO BE- SW'!$D159-1))&gt;12,((Y$4+'TCO TO BE - HW'!Y$4)/($E$4+'TCO TO BE - HW'!$E$4)*SUM(AKTIVITY_POZICIE!$M$41:$M$52)*1.2)/AKTIVITY_POZICIE!$B$41*12,IF((AKTIVITY_POZICIE!$B$41-12*('TCO TO BE- SW'!$D159-1))&lt;0,0,(AKTIVITY_POZICIE!$B$41-12*('TCO TO BE- SW'!$D159-1))*((Y$4+'TCO TO BE - HW'!Y$4)/($E$4+'TCO TO BE - HW'!$E$4)*SUM(AKTIVITY_POZICIE!$M$41:$M$52)*1.2)/AKTIVITY_POZICIE!$B$41)),0)</f>
        <v>0</v>
      </c>
      <c r="Z159" s="576">
        <f>IFERROR(IF((POZICIE_INTERNE!$B$40-12*('TCO TO BE- SW'!$D159-1))&gt;12,((Z$4+'TCO TO BE - HW'!Z$4)/($E$4+'TCO TO BE - HW'!$E$4)*SUM(POZICIE_INTERNE!$I$40:$I$51))/POZICIE_INTERNE!$B$40*12,IF((POZICIE_INTERNE!$B$40-12*('TCO TO BE- SW'!$D159-1))&lt;0,0,(POZICIE_INTERNE!$B$40-12*('TCO TO BE- SW'!$D159-1))*((Z$4+'TCO TO BE - HW'!Z$4)/($E$4+'TCO TO BE - HW'!$E$4)*SUM(POZICIE_INTERNE!$I$40:$I$51))/POZICIE_INTERNE!$B$40)),0)+IFERROR(IF((AKTIVITY_POZICIE!$B$41-12*('TCO TO BE- SW'!$D159-1))&gt;12,((Z$4+'TCO TO BE - HW'!Z$4)/($E$4+'TCO TO BE - HW'!$E$4)*SUM(AKTIVITY_POZICIE!$M$41:$M$52)*1.2)/AKTIVITY_POZICIE!$B$41*12,IF((AKTIVITY_POZICIE!$B$41-12*('TCO TO BE- SW'!$D159-1))&lt;0,0,(AKTIVITY_POZICIE!$B$41-12*('TCO TO BE- SW'!$D159-1))*((Z$4+'TCO TO BE - HW'!Z$4)/($E$4+'TCO TO BE - HW'!$E$4)*SUM(AKTIVITY_POZICIE!$M$41:$M$52)*1.2)/AKTIVITY_POZICIE!$B$41)),0)</f>
        <v>0</v>
      </c>
    </row>
    <row r="160" spans="1:26" ht="15.75" thickBot="1">
      <c r="A160" s="875"/>
      <c r="B160" s="876"/>
      <c r="C160" s="876"/>
      <c r="D160" s="65">
        <v>10</v>
      </c>
      <c r="E160" s="69">
        <f t="shared" si="16"/>
        <v>0</v>
      </c>
      <c r="F160" s="576">
        <f>IFERROR(IF((POZICIE_INTERNE!$B$40-12*('TCO TO BE- SW'!$D160-1))&gt;12,((F$4+'TCO TO BE - HW'!F$4)/($E$4+'TCO TO BE - HW'!$E$4)*SUM(POZICIE_INTERNE!$I$40:$I$51))/POZICIE_INTERNE!$B$40*12,IF((POZICIE_INTERNE!$B$40-12*('TCO TO BE- SW'!$D160-1))&lt;0,0,(POZICIE_INTERNE!$B$40-12*('TCO TO BE- SW'!$D160-1))*((F$4+'TCO TO BE - HW'!F$4)/($E$4+'TCO TO BE - HW'!$E$4)*SUM(POZICIE_INTERNE!$I$40:$I$51))/POZICIE_INTERNE!$B$40)),0)+IFERROR(IF((AKTIVITY_POZICIE!$B$41-12*('TCO TO BE- SW'!$D160-1))&gt;12,((F$4+'TCO TO BE - HW'!F$4)/($E$4+'TCO TO BE - HW'!$E$4)*SUM(AKTIVITY_POZICIE!$M$41:$M$52)*1.2)/AKTIVITY_POZICIE!$B$41*12,IF((AKTIVITY_POZICIE!$B$41-12*('TCO TO BE- SW'!$D160-1))&lt;0,0,(AKTIVITY_POZICIE!$B$41-12*('TCO TO BE- SW'!$D160-1))*((F$4+'TCO TO BE - HW'!F$4)/($E$4+'TCO TO BE - HW'!$E$4)*SUM(AKTIVITY_POZICIE!$M$41:$M$52)*1.2)/AKTIVITY_POZICIE!$B$41)),0)</f>
        <v>0</v>
      </c>
      <c r="G160" s="576">
        <f>IFERROR(IF((POZICIE_INTERNE!$B$40-12*('TCO TO BE- SW'!$D160-1))&gt;12,((G$4+'TCO TO BE - HW'!G$4)/($E$4+'TCO TO BE - HW'!$E$4)*SUM(POZICIE_INTERNE!$I$40:$I$51))/POZICIE_INTERNE!$B$40*12,IF((POZICIE_INTERNE!$B$40-12*('TCO TO BE- SW'!$D160-1))&lt;0,0,(POZICIE_INTERNE!$B$40-12*('TCO TO BE- SW'!$D160-1))*((G$4+'TCO TO BE - HW'!G$4)/($E$4+'TCO TO BE - HW'!$E$4)*SUM(POZICIE_INTERNE!$I$40:$I$51))/POZICIE_INTERNE!$B$40)),0)+IFERROR(IF((AKTIVITY_POZICIE!$B$41-12*('TCO TO BE- SW'!$D160-1))&gt;12,((G$4+'TCO TO BE - HW'!G$4)/($E$4+'TCO TO BE - HW'!$E$4)*SUM(AKTIVITY_POZICIE!$M$41:$M$52)*1.2)/AKTIVITY_POZICIE!$B$41*12,IF((AKTIVITY_POZICIE!$B$41-12*('TCO TO BE- SW'!$D160-1))&lt;0,0,(AKTIVITY_POZICIE!$B$41-12*('TCO TO BE- SW'!$D160-1))*((G$4+'TCO TO BE - HW'!G$4)/($E$4+'TCO TO BE - HW'!$E$4)*SUM(AKTIVITY_POZICIE!$M$41:$M$52)*1.2)/AKTIVITY_POZICIE!$B$41)),0)</f>
        <v>0</v>
      </c>
      <c r="H160" s="576">
        <f>IFERROR(IF((POZICIE_INTERNE!$B$40-12*('TCO TO BE- SW'!$D160-1))&gt;12,((H$4+'TCO TO BE - HW'!H$4)/($E$4+'TCO TO BE - HW'!$E$4)*SUM(POZICIE_INTERNE!$I$40:$I$51))/POZICIE_INTERNE!$B$40*12,IF((POZICIE_INTERNE!$B$40-12*('TCO TO BE- SW'!$D160-1))&lt;0,0,(POZICIE_INTERNE!$B$40-12*('TCO TO BE- SW'!$D160-1))*((H$4+'TCO TO BE - HW'!H$4)/($E$4+'TCO TO BE - HW'!$E$4)*SUM(POZICIE_INTERNE!$I$40:$I$51))/POZICIE_INTERNE!$B$40)),0)+IFERROR(IF((AKTIVITY_POZICIE!$B$41-12*('TCO TO BE- SW'!$D160-1))&gt;12,((H$4+'TCO TO BE - HW'!H$4)/($E$4+'TCO TO BE - HW'!$E$4)*SUM(AKTIVITY_POZICIE!$M$41:$M$52)*1.2)/AKTIVITY_POZICIE!$B$41*12,IF((AKTIVITY_POZICIE!$B$41-12*('TCO TO BE- SW'!$D160-1))&lt;0,0,(AKTIVITY_POZICIE!$B$41-12*('TCO TO BE- SW'!$D160-1))*((H$4+'TCO TO BE - HW'!H$4)/($E$4+'TCO TO BE - HW'!$E$4)*SUM(AKTIVITY_POZICIE!$M$41:$M$52)*1.2)/AKTIVITY_POZICIE!$B$41)),0)</f>
        <v>0</v>
      </c>
      <c r="I160" s="576">
        <f>IFERROR(IF((POZICIE_INTERNE!$B$40-12*('TCO TO BE- SW'!$D160-1))&gt;12,((I$4+'TCO TO BE - HW'!I$4)/($E$4+'TCO TO BE - HW'!$E$4)*SUM(POZICIE_INTERNE!$I$40:$I$51))/POZICIE_INTERNE!$B$40*12,IF((POZICIE_INTERNE!$B$40-12*('TCO TO BE- SW'!$D160-1))&lt;0,0,(POZICIE_INTERNE!$B$40-12*('TCO TO BE- SW'!$D160-1))*((I$4+'TCO TO BE - HW'!I$4)/($E$4+'TCO TO BE - HW'!$E$4)*SUM(POZICIE_INTERNE!$I$40:$I$51))/POZICIE_INTERNE!$B$40)),0)+IFERROR(IF((AKTIVITY_POZICIE!$B$41-12*('TCO TO BE- SW'!$D160-1))&gt;12,((I$4+'TCO TO BE - HW'!I$4)/($E$4+'TCO TO BE - HW'!$E$4)*SUM(AKTIVITY_POZICIE!$M$41:$M$52)*1.2)/AKTIVITY_POZICIE!$B$41*12,IF((AKTIVITY_POZICIE!$B$41-12*('TCO TO BE- SW'!$D160-1))&lt;0,0,(AKTIVITY_POZICIE!$B$41-12*('TCO TO BE- SW'!$D160-1))*((I$4+'TCO TO BE - HW'!I$4)/($E$4+'TCO TO BE - HW'!$E$4)*SUM(AKTIVITY_POZICIE!$M$41:$M$52)*1.2)/AKTIVITY_POZICIE!$B$41)),0)</f>
        <v>0</v>
      </c>
      <c r="J160" s="576">
        <f>IFERROR(IF((POZICIE_INTERNE!$B$40-12*('TCO TO BE- SW'!$D160-1))&gt;12,((J$4+'TCO TO BE - HW'!J$4)/($E$4+'TCO TO BE - HW'!$E$4)*SUM(POZICIE_INTERNE!$I$40:$I$51))/POZICIE_INTERNE!$B$40*12,IF((POZICIE_INTERNE!$B$40-12*('TCO TO BE- SW'!$D160-1))&lt;0,0,(POZICIE_INTERNE!$B$40-12*('TCO TO BE- SW'!$D160-1))*((J$4+'TCO TO BE - HW'!J$4)/($E$4+'TCO TO BE - HW'!$E$4)*SUM(POZICIE_INTERNE!$I$40:$I$51))/POZICIE_INTERNE!$B$40)),0)+IFERROR(IF((AKTIVITY_POZICIE!$B$41-12*('TCO TO BE- SW'!$D160-1))&gt;12,((J$4+'TCO TO BE - HW'!J$4)/($E$4+'TCO TO BE - HW'!$E$4)*SUM(AKTIVITY_POZICIE!$M$41:$M$52)*1.2)/AKTIVITY_POZICIE!$B$41*12,IF((AKTIVITY_POZICIE!$B$41-12*('TCO TO BE- SW'!$D160-1))&lt;0,0,(AKTIVITY_POZICIE!$B$41-12*('TCO TO BE- SW'!$D160-1))*((J$4+'TCO TO BE - HW'!J$4)/($E$4+'TCO TO BE - HW'!$E$4)*SUM(AKTIVITY_POZICIE!$M$41:$M$52)*1.2)/AKTIVITY_POZICIE!$B$41)),0)</f>
        <v>0</v>
      </c>
      <c r="K160" s="576">
        <f>IFERROR(IF((POZICIE_INTERNE!$B$40-12*('TCO TO BE- SW'!$D160-1))&gt;12,((K$4+'TCO TO BE - HW'!K$4)/($E$4+'TCO TO BE - HW'!$E$4)*SUM(POZICIE_INTERNE!$I$40:$I$51))/POZICIE_INTERNE!$B$40*12,IF((POZICIE_INTERNE!$B$40-12*('TCO TO BE- SW'!$D160-1))&lt;0,0,(POZICIE_INTERNE!$B$40-12*('TCO TO BE- SW'!$D160-1))*((K$4+'TCO TO BE - HW'!K$4)/($E$4+'TCO TO BE - HW'!$E$4)*SUM(POZICIE_INTERNE!$I$40:$I$51))/POZICIE_INTERNE!$B$40)),0)+IFERROR(IF((AKTIVITY_POZICIE!$B$41-12*('TCO TO BE- SW'!$D160-1))&gt;12,((K$4+'TCO TO BE - HW'!K$4)/($E$4+'TCO TO BE - HW'!$E$4)*SUM(AKTIVITY_POZICIE!$M$41:$M$52)*1.2)/AKTIVITY_POZICIE!$B$41*12,IF((AKTIVITY_POZICIE!$B$41-12*('TCO TO BE- SW'!$D160-1))&lt;0,0,(AKTIVITY_POZICIE!$B$41-12*('TCO TO BE- SW'!$D160-1))*((K$4+'TCO TO BE - HW'!K$4)/($E$4+'TCO TO BE - HW'!$E$4)*SUM(AKTIVITY_POZICIE!$M$41:$M$52)*1.2)/AKTIVITY_POZICIE!$B$41)),0)</f>
        <v>0</v>
      </c>
      <c r="L160" s="576">
        <f>IFERROR(IF((POZICIE_INTERNE!$B$40-12*('TCO TO BE- SW'!$D160-1))&gt;12,((L$4+'TCO TO BE - HW'!L$4)/($E$4+'TCO TO BE - HW'!$E$4)*SUM(POZICIE_INTERNE!$I$40:$I$51))/POZICIE_INTERNE!$B$40*12,IF((POZICIE_INTERNE!$B$40-12*('TCO TO BE- SW'!$D160-1))&lt;0,0,(POZICIE_INTERNE!$B$40-12*('TCO TO BE- SW'!$D160-1))*((L$4+'TCO TO BE - HW'!L$4)/($E$4+'TCO TO BE - HW'!$E$4)*SUM(POZICIE_INTERNE!$I$40:$I$51))/POZICIE_INTERNE!$B$40)),0)+IFERROR(IF((AKTIVITY_POZICIE!$B$41-12*('TCO TO BE- SW'!$D160-1))&gt;12,((L$4+'TCO TO BE - HW'!L$4)/($E$4+'TCO TO BE - HW'!$E$4)*SUM(AKTIVITY_POZICIE!$M$41:$M$52)*1.2)/AKTIVITY_POZICIE!$B$41*12,IF((AKTIVITY_POZICIE!$B$41-12*('TCO TO BE- SW'!$D160-1))&lt;0,0,(AKTIVITY_POZICIE!$B$41-12*('TCO TO BE- SW'!$D160-1))*((L$4+'TCO TO BE - HW'!L$4)/($E$4+'TCO TO BE - HW'!$E$4)*SUM(AKTIVITY_POZICIE!$M$41:$M$52)*1.2)/AKTIVITY_POZICIE!$B$41)),0)</f>
        <v>0</v>
      </c>
      <c r="M160" s="576">
        <f>IFERROR(IF((POZICIE_INTERNE!$B$40-12*('TCO TO BE- SW'!$D160-1))&gt;12,((M$4+'TCO TO BE - HW'!M$4)/($E$4+'TCO TO BE - HW'!$E$4)*SUM(POZICIE_INTERNE!$I$40:$I$51))/POZICIE_INTERNE!$B$40*12,IF((POZICIE_INTERNE!$B$40-12*('TCO TO BE- SW'!$D160-1))&lt;0,0,(POZICIE_INTERNE!$B$40-12*('TCO TO BE- SW'!$D160-1))*((M$4+'TCO TO BE - HW'!M$4)/($E$4+'TCO TO BE - HW'!$E$4)*SUM(POZICIE_INTERNE!$I$40:$I$51))/POZICIE_INTERNE!$B$40)),0)+IFERROR(IF((AKTIVITY_POZICIE!$B$41-12*('TCO TO BE- SW'!$D160-1))&gt;12,((M$4+'TCO TO BE - HW'!M$4)/($E$4+'TCO TO BE - HW'!$E$4)*SUM(AKTIVITY_POZICIE!$M$41:$M$52)*1.2)/AKTIVITY_POZICIE!$B$41*12,IF((AKTIVITY_POZICIE!$B$41-12*('TCO TO BE- SW'!$D160-1))&lt;0,0,(AKTIVITY_POZICIE!$B$41-12*('TCO TO BE- SW'!$D160-1))*((M$4+'TCO TO BE - HW'!M$4)/($E$4+'TCO TO BE - HW'!$E$4)*SUM(AKTIVITY_POZICIE!$M$41:$M$52)*1.2)/AKTIVITY_POZICIE!$B$41)),0)</f>
        <v>0</v>
      </c>
      <c r="N160" s="576">
        <f>IFERROR(IF((POZICIE_INTERNE!$B$40-12*('TCO TO BE- SW'!$D160-1))&gt;12,((N$4+'TCO TO BE - HW'!N$4)/($E$4+'TCO TO BE - HW'!$E$4)*SUM(POZICIE_INTERNE!$I$40:$I$51))/POZICIE_INTERNE!$B$40*12,IF((POZICIE_INTERNE!$B$40-12*('TCO TO BE- SW'!$D160-1))&lt;0,0,(POZICIE_INTERNE!$B$40-12*('TCO TO BE- SW'!$D160-1))*((N$4+'TCO TO BE - HW'!N$4)/($E$4+'TCO TO BE - HW'!$E$4)*SUM(POZICIE_INTERNE!$I$40:$I$51))/POZICIE_INTERNE!$B$40)),0)+IFERROR(IF((AKTIVITY_POZICIE!$B$41-12*('TCO TO BE- SW'!$D160-1))&gt;12,((N$4+'TCO TO BE - HW'!N$4)/($E$4+'TCO TO BE - HW'!$E$4)*SUM(AKTIVITY_POZICIE!$M$41:$M$52)*1.2)/AKTIVITY_POZICIE!$B$41*12,IF((AKTIVITY_POZICIE!$B$41-12*('TCO TO BE- SW'!$D160-1))&lt;0,0,(AKTIVITY_POZICIE!$B$41-12*('TCO TO BE- SW'!$D160-1))*((N$4+'TCO TO BE - HW'!N$4)/($E$4+'TCO TO BE - HW'!$E$4)*SUM(AKTIVITY_POZICIE!$M$41:$M$52)*1.2)/AKTIVITY_POZICIE!$B$41)),0)</f>
        <v>0</v>
      </c>
      <c r="O160" s="576">
        <f>IFERROR(IF((POZICIE_INTERNE!$B$40-12*('TCO TO BE- SW'!$D160-1))&gt;12,((O$4+'TCO TO BE - HW'!O$4)/($E$4+'TCO TO BE - HW'!$E$4)*SUM(POZICIE_INTERNE!$I$40:$I$51))/POZICIE_INTERNE!$B$40*12,IF((POZICIE_INTERNE!$B$40-12*('TCO TO BE- SW'!$D160-1))&lt;0,0,(POZICIE_INTERNE!$B$40-12*('TCO TO BE- SW'!$D160-1))*((O$4+'TCO TO BE - HW'!O$4)/($E$4+'TCO TO BE - HW'!$E$4)*SUM(POZICIE_INTERNE!$I$40:$I$51))/POZICIE_INTERNE!$B$40)),0)+IFERROR(IF((AKTIVITY_POZICIE!$B$41-12*('TCO TO BE- SW'!$D160-1))&gt;12,((O$4+'TCO TO BE - HW'!O$4)/($E$4+'TCO TO BE - HW'!$E$4)*SUM(AKTIVITY_POZICIE!$M$41:$M$52)*1.2)/AKTIVITY_POZICIE!$B$41*12,IF((AKTIVITY_POZICIE!$B$41-12*('TCO TO BE- SW'!$D160-1))&lt;0,0,(AKTIVITY_POZICIE!$B$41-12*('TCO TO BE- SW'!$D160-1))*((O$4+'TCO TO BE - HW'!O$4)/($E$4+'TCO TO BE - HW'!$E$4)*SUM(AKTIVITY_POZICIE!$M$41:$M$52)*1.2)/AKTIVITY_POZICIE!$B$41)),0)</f>
        <v>0</v>
      </c>
      <c r="P160" s="576">
        <f>IFERROR(IF((POZICIE_INTERNE!$B$40-12*('TCO TO BE- SW'!$D160-1))&gt;12,((P$4+'TCO TO BE - HW'!P$4)/($E$4+'TCO TO BE - HW'!$E$4)*SUM(POZICIE_INTERNE!$I$40:$I$51))/POZICIE_INTERNE!$B$40*12,IF((POZICIE_INTERNE!$B$40-12*('TCO TO BE- SW'!$D160-1))&lt;0,0,(POZICIE_INTERNE!$B$40-12*('TCO TO BE- SW'!$D160-1))*((P$4+'TCO TO BE - HW'!P$4)/($E$4+'TCO TO BE - HW'!$E$4)*SUM(POZICIE_INTERNE!$I$40:$I$51))/POZICIE_INTERNE!$B$40)),0)+IFERROR(IF((AKTIVITY_POZICIE!$B$41-12*('TCO TO BE- SW'!$D160-1))&gt;12,((P$4+'TCO TO BE - HW'!P$4)/($E$4+'TCO TO BE - HW'!$E$4)*SUM(AKTIVITY_POZICIE!$M$41:$M$52)*1.2)/AKTIVITY_POZICIE!$B$41*12,IF((AKTIVITY_POZICIE!$B$41-12*('TCO TO BE- SW'!$D160-1))&lt;0,0,(AKTIVITY_POZICIE!$B$41-12*('TCO TO BE- SW'!$D160-1))*((P$4+'TCO TO BE - HW'!P$4)/($E$4+'TCO TO BE - HW'!$E$4)*SUM(AKTIVITY_POZICIE!$M$41:$M$52)*1.2)/AKTIVITY_POZICIE!$B$41)),0)</f>
        <v>0</v>
      </c>
      <c r="Q160" s="576">
        <f>IFERROR(IF((POZICIE_INTERNE!$B$40-12*('TCO TO BE- SW'!$D160-1))&gt;12,((Q$4+'TCO TO BE - HW'!Q$4)/($E$4+'TCO TO BE - HW'!$E$4)*SUM(POZICIE_INTERNE!$I$40:$I$51))/POZICIE_INTERNE!$B$40*12,IF((POZICIE_INTERNE!$B$40-12*('TCO TO BE- SW'!$D160-1))&lt;0,0,(POZICIE_INTERNE!$B$40-12*('TCO TO BE- SW'!$D160-1))*((Q$4+'TCO TO BE - HW'!Q$4)/($E$4+'TCO TO BE - HW'!$E$4)*SUM(POZICIE_INTERNE!$I$40:$I$51))/POZICIE_INTERNE!$B$40)),0)+IFERROR(IF((AKTIVITY_POZICIE!$B$41-12*('TCO TO BE- SW'!$D160-1))&gt;12,((Q$4+'TCO TO BE - HW'!Q$4)/($E$4+'TCO TO BE - HW'!$E$4)*SUM(AKTIVITY_POZICIE!$M$41:$M$52)*1.2)/AKTIVITY_POZICIE!$B$41*12,IF((AKTIVITY_POZICIE!$B$41-12*('TCO TO BE- SW'!$D160-1))&lt;0,0,(AKTIVITY_POZICIE!$B$41-12*('TCO TO BE- SW'!$D160-1))*((Q$4+'TCO TO BE - HW'!Q$4)/($E$4+'TCO TO BE - HW'!$E$4)*SUM(AKTIVITY_POZICIE!$M$41:$M$52)*1.2)/AKTIVITY_POZICIE!$B$41)),0)</f>
        <v>0</v>
      </c>
      <c r="R160" s="576">
        <f>IFERROR(IF((POZICIE_INTERNE!$B$40-12*('TCO TO BE- SW'!$D160-1))&gt;12,((R$4+'TCO TO BE - HW'!R$4)/($E$4+'TCO TO BE - HW'!$E$4)*SUM(POZICIE_INTERNE!$I$40:$I$51))/POZICIE_INTERNE!$B$40*12,IF((POZICIE_INTERNE!$B$40-12*('TCO TO BE- SW'!$D160-1))&lt;0,0,(POZICIE_INTERNE!$B$40-12*('TCO TO BE- SW'!$D160-1))*((R$4+'TCO TO BE - HW'!R$4)/($E$4+'TCO TO BE - HW'!$E$4)*SUM(POZICIE_INTERNE!$I$40:$I$51))/POZICIE_INTERNE!$B$40)),0)+IFERROR(IF((AKTIVITY_POZICIE!$B$41-12*('TCO TO BE- SW'!$D160-1))&gt;12,((R$4+'TCO TO BE - HW'!R$4)/($E$4+'TCO TO BE - HW'!$E$4)*SUM(AKTIVITY_POZICIE!$M$41:$M$52)*1.2)/AKTIVITY_POZICIE!$B$41*12,IF((AKTIVITY_POZICIE!$B$41-12*('TCO TO BE- SW'!$D160-1))&lt;0,0,(AKTIVITY_POZICIE!$B$41-12*('TCO TO BE- SW'!$D160-1))*((R$4+'TCO TO BE - HW'!R$4)/($E$4+'TCO TO BE - HW'!$E$4)*SUM(AKTIVITY_POZICIE!$M$41:$M$52)*1.2)/AKTIVITY_POZICIE!$B$41)),0)</f>
        <v>0</v>
      </c>
      <c r="S160" s="576">
        <f>IFERROR(IF((POZICIE_INTERNE!$B$40-12*('TCO TO BE- SW'!$D160-1))&gt;12,((S$4+'TCO TO BE - HW'!S$4)/($E$4+'TCO TO BE - HW'!$E$4)*SUM(POZICIE_INTERNE!$I$40:$I$51))/POZICIE_INTERNE!$B$40*12,IF((POZICIE_INTERNE!$B$40-12*('TCO TO BE- SW'!$D160-1))&lt;0,0,(POZICIE_INTERNE!$B$40-12*('TCO TO BE- SW'!$D160-1))*((S$4+'TCO TO BE - HW'!S$4)/($E$4+'TCO TO BE - HW'!$E$4)*SUM(POZICIE_INTERNE!$I$40:$I$51))/POZICIE_INTERNE!$B$40)),0)+IFERROR(IF((AKTIVITY_POZICIE!$B$41-12*('TCO TO BE- SW'!$D160-1))&gt;12,((S$4+'TCO TO BE - HW'!S$4)/($E$4+'TCO TO BE - HW'!$E$4)*SUM(AKTIVITY_POZICIE!$M$41:$M$52)*1.2)/AKTIVITY_POZICIE!$B$41*12,IF((AKTIVITY_POZICIE!$B$41-12*('TCO TO BE- SW'!$D160-1))&lt;0,0,(AKTIVITY_POZICIE!$B$41-12*('TCO TO BE- SW'!$D160-1))*((S$4+'TCO TO BE - HW'!S$4)/($E$4+'TCO TO BE - HW'!$E$4)*SUM(AKTIVITY_POZICIE!$M$41:$M$52)*1.2)/AKTIVITY_POZICIE!$B$41)),0)</f>
        <v>0</v>
      </c>
      <c r="T160" s="576">
        <f>IFERROR(IF((POZICIE_INTERNE!$B$40-12*('TCO TO BE- SW'!$D160-1))&gt;12,((T$4+'TCO TO BE - HW'!T$4)/($E$4+'TCO TO BE - HW'!$E$4)*SUM(POZICIE_INTERNE!$I$40:$I$51))/POZICIE_INTERNE!$B$40*12,IF((POZICIE_INTERNE!$B$40-12*('TCO TO BE- SW'!$D160-1))&lt;0,0,(POZICIE_INTERNE!$B$40-12*('TCO TO BE- SW'!$D160-1))*((T$4+'TCO TO BE - HW'!T$4)/($E$4+'TCO TO BE - HW'!$E$4)*SUM(POZICIE_INTERNE!$I$40:$I$51))/POZICIE_INTERNE!$B$40)),0)+IFERROR(IF((AKTIVITY_POZICIE!$B$41-12*('TCO TO BE- SW'!$D160-1))&gt;12,((T$4+'TCO TO BE - HW'!T$4)/($E$4+'TCO TO BE - HW'!$E$4)*SUM(AKTIVITY_POZICIE!$M$41:$M$52)*1.2)/AKTIVITY_POZICIE!$B$41*12,IF((AKTIVITY_POZICIE!$B$41-12*('TCO TO BE- SW'!$D160-1))&lt;0,0,(AKTIVITY_POZICIE!$B$41-12*('TCO TO BE- SW'!$D160-1))*((T$4+'TCO TO BE - HW'!T$4)/($E$4+'TCO TO BE - HW'!$E$4)*SUM(AKTIVITY_POZICIE!$M$41:$M$52)*1.2)/AKTIVITY_POZICIE!$B$41)),0)</f>
        <v>0</v>
      </c>
      <c r="U160" s="576">
        <f>IFERROR(IF((POZICIE_INTERNE!$B$40-12*('TCO TO BE- SW'!$D160-1))&gt;12,((U$4+'TCO TO BE - HW'!U$4)/($E$4+'TCO TO BE - HW'!$E$4)*SUM(POZICIE_INTERNE!$I$40:$I$51))/POZICIE_INTERNE!$B$40*12,IF((POZICIE_INTERNE!$B$40-12*('TCO TO BE- SW'!$D160-1))&lt;0,0,(POZICIE_INTERNE!$B$40-12*('TCO TO BE- SW'!$D160-1))*((U$4+'TCO TO BE - HW'!U$4)/($E$4+'TCO TO BE - HW'!$E$4)*SUM(POZICIE_INTERNE!$I$40:$I$51))/POZICIE_INTERNE!$B$40)),0)+IFERROR(IF((AKTIVITY_POZICIE!$B$41-12*('TCO TO BE- SW'!$D160-1))&gt;12,((U$4+'TCO TO BE - HW'!U$4)/($E$4+'TCO TO BE - HW'!$E$4)*SUM(AKTIVITY_POZICIE!$M$41:$M$52)*1.2)/AKTIVITY_POZICIE!$B$41*12,IF((AKTIVITY_POZICIE!$B$41-12*('TCO TO BE- SW'!$D160-1))&lt;0,0,(AKTIVITY_POZICIE!$B$41-12*('TCO TO BE- SW'!$D160-1))*((U$4+'TCO TO BE - HW'!U$4)/($E$4+'TCO TO BE - HW'!$E$4)*SUM(AKTIVITY_POZICIE!$M$41:$M$52)*1.2)/AKTIVITY_POZICIE!$B$41)),0)</f>
        <v>0</v>
      </c>
      <c r="V160" s="576">
        <f>IFERROR(IF((POZICIE_INTERNE!$B$40-12*('TCO TO BE- SW'!$D160-1))&gt;12,((V$4+'TCO TO BE - HW'!V$4)/($E$4+'TCO TO BE - HW'!$E$4)*SUM(POZICIE_INTERNE!$I$40:$I$51))/POZICIE_INTERNE!$B$40*12,IF((POZICIE_INTERNE!$B$40-12*('TCO TO BE- SW'!$D160-1))&lt;0,0,(POZICIE_INTERNE!$B$40-12*('TCO TO BE- SW'!$D160-1))*((V$4+'TCO TO BE - HW'!V$4)/($E$4+'TCO TO BE - HW'!$E$4)*SUM(POZICIE_INTERNE!$I$40:$I$51))/POZICIE_INTERNE!$B$40)),0)+IFERROR(IF((AKTIVITY_POZICIE!$B$41-12*('TCO TO BE- SW'!$D160-1))&gt;12,((V$4+'TCO TO BE - HW'!V$4)/($E$4+'TCO TO BE - HW'!$E$4)*SUM(AKTIVITY_POZICIE!$M$41:$M$52)*1.2)/AKTIVITY_POZICIE!$B$41*12,IF((AKTIVITY_POZICIE!$B$41-12*('TCO TO BE- SW'!$D160-1))&lt;0,0,(AKTIVITY_POZICIE!$B$41-12*('TCO TO BE- SW'!$D160-1))*((V$4+'TCO TO BE - HW'!V$4)/($E$4+'TCO TO BE - HW'!$E$4)*SUM(AKTIVITY_POZICIE!$M$41:$M$52)*1.2)/AKTIVITY_POZICIE!$B$41)),0)</f>
        <v>0</v>
      </c>
      <c r="W160" s="576">
        <f>IFERROR(IF((POZICIE_INTERNE!$B$40-12*('TCO TO BE- SW'!$D160-1))&gt;12,((W$4+'TCO TO BE - HW'!W$4)/($E$4+'TCO TO BE - HW'!$E$4)*SUM(POZICIE_INTERNE!$I$40:$I$51))/POZICIE_INTERNE!$B$40*12,IF((POZICIE_INTERNE!$B$40-12*('TCO TO BE- SW'!$D160-1))&lt;0,0,(POZICIE_INTERNE!$B$40-12*('TCO TO BE- SW'!$D160-1))*((W$4+'TCO TO BE - HW'!W$4)/($E$4+'TCO TO BE - HW'!$E$4)*SUM(POZICIE_INTERNE!$I$40:$I$51))/POZICIE_INTERNE!$B$40)),0)+IFERROR(IF((AKTIVITY_POZICIE!$B$41-12*('TCO TO BE- SW'!$D160-1))&gt;12,((W$4+'TCO TO BE - HW'!W$4)/($E$4+'TCO TO BE - HW'!$E$4)*SUM(AKTIVITY_POZICIE!$M$41:$M$52)*1.2)/AKTIVITY_POZICIE!$B$41*12,IF((AKTIVITY_POZICIE!$B$41-12*('TCO TO BE- SW'!$D160-1))&lt;0,0,(AKTIVITY_POZICIE!$B$41-12*('TCO TO BE- SW'!$D160-1))*((W$4+'TCO TO BE - HW'!W$4)/($E$4+'TCO TO BE - HW'!$E$4)*SUM(AKTIVITY_POZICIE!$M$41:$M$52)*1.2)/AKTIVITY_POZICIE!$B$41)),0)</f>
        <v>0</v>
      </c>
      <c r="X160" s="576">
        <f>IFERROR(IF((POZICIE_INTERNE!$B$40-12*('TCO TO BE- SW'!$D160-1))&gt;12,((X$4+'TCO TO BE - HW'!X$4)/($E$4+'TCO TO BE - HW'!$E$4)*SUM(POZICIE_INTERNE!$I$40:$I$51))/POZICIE_INTERNE!$B$40*12,IF((POZICIE_INTERNE!$B$40-12*('TCO TO BE- SW'!$D160-1))&lt;0,0,(POZICIE_INTERNE!$B$40-12*('TCO TO BE- SW'!$D160-1))*((X$4+'TCO TO BE - HW'!X$4)/($E$4+'TCO TO BE - HW'!$E$4)*SUM(POZICIE_INTERNE!$I$40:$I$51))/POZICIE_INTERNE!$B$40)),0)+IFERROR(IF((AKTIVITY_POZICIE!$B$41-12*('TCO TO BE- SW'!$D160-1))&gt;12,((X$4+'TCO TO BE - HW'!X$4)/($E$4+'TCO TO BE - HW'!$E$4)*SUM(AKTIVITY_POZICIE!$M$41:$M$52)*1.2)/AKTIVITY_POZICIE!$B$41*12,IF((AKTIVITY_POZICIE!$B$41-12*('TCO TO BE- SW'!$D160-1))&lt;0,0,(AKTIVITY_POZICIE!$B$41-12*('TCO TO BE- SW'!$D160-1))*((X$4+'TCO TO BE - HW'!X$4)/($E$4+'TCO TO BE - HW'!$E$4)*SUM(AKTIVITY_POZICIE!$M$41:$M$52)*1.2)/AKTIVITY_POZICIE!$B$41)),0)</f>
        <v>0</v>
      </c>
      <c r="Y160" s="576">
        <f>IFERROR(IF((POZICIE_INTERNE!$B$40-12*('TCO TO BE- SW'!$D160-1))&gt;12,((Y$4+'TCO TO BE - HW'!Y$4)/($E$4+'TCO TO BE - HW'!$E$4)*SUM(POZICIE_INTERNE!$I$40:$I$51))/POZICIE_INTERNE!$B$40*12,IF((POZICIE_INTERNE!$B$40-12*('TCO TO BE- SW'!$D160-1))&lt;0,0,(POZICIE_INTERNE!$B$40-12*('TCO TO BE- SW'!$D160-1))*((Y$4+'TCO TO BE - HW'!Y$4)/($E$4+'TCO TO BE - HW'!$E$4)*SUM(POZICIE_INTERNE!$I$40:$I$51))/POZICIE_INTERNE!$B$40)),0)+IFERROR(IF((AKTIVITY_POZICIE!$B$41-12*('TCO TO BE- SW'!$D160-1))&gt;12,((Y$4+'TCO TO BE - HW'!Y$4)/($E$4+'TCO TO BE - HW'!$E$4)*SUM(AKTIVITY_POZICIE!$M$41:$M$52)*1.2)/AKTIVITY_POZICIE!$B$41*12,IF((AKTIVITY_POZICIE!$B$41-12*('TCO TO BE- SW'!$D160-1))&lt;0,0,(AKTIVITY_POZICIE!$B$41-12*('TCO TO BE- SW'!$D160-1))*((Y$4+'TCO TO BE - HW'!Y$4)/($E$4+'TCO TO BE - HW'!$E$4)*SUM(AKTIVITY_POZICIE!$M$41:$M$52)*1.2)/AKTIVITY_POZICIE!$B$41)),0)</f>
        <v>0</v>
      </c>
      <c r="Z160" s="576">
        <f>IFERROR(IF((POZICIE_INTERNE!$B$40-12*('TCO TO BE- SW'!$D160-1))&gt;12,((Z$4+'TCO TO BE - HW'!Z$4)/($E$4+'TCO TO BE - HW'!$E$4)*SUM(POZICIE_INTERNE!$I$40:$I$51))/POZICIE_INTERNE!$B$40*12,IF((POZICIE_INTERNE!$B$40-12*('TCO TO BE- SW'!$D160-1))&lt;0,0,(POZICIE_INTERNE!$B$40-12*('TCO TO BE- SW'!$D160-1))*((Z$4+'TCO TO BE - HW'!Z$4)/($E$4+'TCO TO BE - HW'!$E$4)*SUM(POZICIE_INTERNE!$I$40:$I$51))/POZICIE_INTERNE!$B$40)),0)+IFERROR(IF((AKTIVITY_POZICIE!$B$41-12*('TCO TO BE- SW'!$D160-1))&gt;12,((Z$4+'TCO TO BE - HW'!Z$4)/($E$4+'TCO TO BE - HW'!$E$4)*SUM(AKTIVITY_POZICIE!$M$41:$M$52)*1.2)/AKTIVITY_POZICIE!$B$41*12,IF((AKTIVITY_POZICIE!$B$41-12*('TCO TO BE- SW'!$D160-1))&lt;0,0,(AKTIVITY_POZICIE!$B$41-12*('TCO TO BE- SW'!$D160-1))*((Z$4+'TCO TO BE - HW'!Z$4)/($E$4+'TCO TO BE - HW'!$E$4)*SUM(AKTIVITY_POZICIE!$M$41:$M$52)*1.2)/AKTIVITY_POZICIE!$B$41)),0)</f>
        <v>0</v>
      </c>
    </row>
    <row r="161" spans="1:26">
      <c r="A161" s="875" t="s">
        <v>774</v>
      </c>
      <c r="B161" s="876">
        <v>907</v>
      </c>
      <c r="C161" s="876" t="s">
        <v>775</v>
      </c>
      <c r="D161" s="63">
        <v>1</v>
      </c>
      <c r="E161" s="68">
        <f t="shared" si="16"/>
        <v>210153.51130666665</v>
      </c>
      <c r="F161" s="575">
        <f>IFERROR(IF((POZICIE_INTERNE!$B$52-12*('TCO TO BE- SW'!$D151-1))&gt;12,((F$4+'TCO TO BE - HW'!F$4)/($E$4+'TCO TO BE - HW'!$E$4)*SUM(POZICIE_INTERNE!$I$52:$I$63))/POZICIE_INTERNE!$B$52*12,IF((POZICIE_INTERNE!$B$52-12*('TCO TO BE- SW'!$D151-1))&lt;0,0,(POZICIE_INTERNE!$B$52-12*('TCO TO BE- SW'!$D151-1))*((F$4+'TCO TO BE - HW'!F$4)/($E$4+'TCO TO BE - HW'!$E$4)*SUM(POZICIE_INTERNE!$I$52:$I$63))/POZICIE_INTERNE!$B$52)),0)+IFERROR(IF((AKTIVITY_POZICIE!$B$53-12*('TCO TO BE- SW'!$D151-1))&gt;12,((F$4+'TCO TO BE - HW'!F$4)/($E$4+'TCO TO BE - HW'!$E$4)*SUM(AKTIVITY_POZICIE!$M$53:$M$64)*1.2)/AKTIVITY_POZICIE!$B$41*12,IF((AKTIVITY_POZICIE!$B$53-12*('TCO TO BE- SW'!$D151-1))&lt;0,0,(AKTIVITY_POZICIE!$B$53-12*('TCO TO BE- SW'!$D151-1))*((F$4+'TCO TO BE - HW'!F$4)/($E$4+'TCO TO BE - HW'!$E$4)*SUM(AKTIVITY_POZICIE!$M$53:$M$64)*1.2)/AKTIVITY_POZICIE!$B$53)),0)+IFERROR(SUM(#REF!)*'TCO TO BE- SW'!F$4/'TCO TO BE- SW'!$E$4,0)</f>
        <v>12577.026437189086</v>
      </c>
      <c r="G161" s="575">
        <f>IFERROR(IF((POZICIE_INTERNE!$B$52-12*('TCO TO BE- SW'!$D151-1))&gt;12,((G$4+'TCO TO BE - HW'!G$4)/($E$4+'TCO TO BE - HW'!$E$4)*SUM(POZICIE_INTERNE!$I$52:$I$63))/POZICIE_INTERNE!$B$52*12,IF((POZICIE_INTERNE!$B$52-12*('TCO TO BE- SW'!$D151-1))&lt;0,0,(POZICIE_INTERNE!$B$52-12*('TCO TO BE- SW'!$D151-1))*((G$4+'TCO TO BE - HW'!G$4)/($E$4+'TCO TO BE - HW'!$E$4)*SUM(POZICIE_INTERNE!$I$52:$I$63))/POZICIE_INTERNE!$B$52)),0)+IFERROR(IF((AKTIVITY_POZICIE!$B$53-12*('TCO TO BE- SW'!$D151-1))&gt;12,((G$4+'TCO TO BE - HW'!G$4)/($E$4+'TCO TO BE - HW'!$E$4)*SUM(AKTIVITY_POZICIE!$M$53:$M$64)*1.2)/AKTIVITY_POZICIE!$B$41*12,IF((AKTIVITY_POZICIE!$B$53-12*('TCO TO BE- SW'!$D151-1))&lt;0,0,(AKTIVITY_POZICIE!$B$53-12*('TCO TO BE- SW'!$D151-1))*((G$4+'TCO TO BE - HW'!G$4)/($E$4+'TCO TO BE - HW'!$E$4)*SUM(AKTIVITY_POZICIE!$M$53:$M$64)*1.2)/AKTIVITY_POZICIE!$B$53)),0)+IFERROR(SUM(#REF!)*'TCO TO BE- SW'!G$4/'TCO TO BE- SW'!$E$4,0)</f>
        <v>42399.716796688066</v>
      </c>
      <c r="H161" s="575">
        <f>IFERROR(IF((POZICIE_INTERNE!$B$52-12*('TCO TO BE- SW'!$D151-1))&gt;12,((H$4+'TCO TO BE - HW'!H$4)/($E$4+'TCO TO BE - HW'!$E$4)*SUM(POZICIE_INTERNE!$I$52:$I$63))/POZICIE_INTERNE!$B$52*12,IF((POZICIE_INTERNE!$B$52-12*('TCO TO BE- SW'!$D151-1))&lt;0,0,(POZICIE_INTERNE!$B$52-12*('TCO TO BE- SW'!$D151-1))*((H$4+'TCO TO BE - HW'!H$4)/($E$4+'TCO TO BE - HW'!$E$4)*SUM(POZICIE_INTERNE!$I$52:$I$63))/POZICIE_INTERNE!$B$52)),0)+IFERROR(IF((AKTIVITY_POZICIE!$B$53-12*('TCO TO BE- SW'!$D151-1))&gt;12,((H$4+'TCO TO BE - HW'!H$4)/($E$4+'TCO TO BE - HW'!$E$4)*SUM(AKTIVITY_POZICIE!$M$53:$M$64)*1.2)/AKTIVITY_POZICIE!$B$41*12,IF((AKTIVITY_POZICIE!$B$53-12*('TCO TO BE- SW'!$D151-1))&lt;0,0,(AKTIVITY_POZICIE!$B$53-12*('TCO TO BE- SW'!$D151-1))*((H$4+'TCO TO BE - HW'!H$4)/($E$4+'TCO TO BE - HW'!$E$4)*SUM(AKTIVITY_POZICIE!$M$53:$M$64)*1.2)/AKTIVITY_POZICIE!$B$53)),0)+IFERROR(SUM(#REF!)*'TCO TO BE- SW'!H$4/'TCO TO BE- SW'!$E$4,0)</f>
        <v>55918.705661857435</v>
      </c>
      <c r="I161" s="575">
        <f>IFERROR(IF((POZICIE_INTERNE!$B$52-12*('TCO TO BE- SW'!$D151-1))&gt;12,((I$4+'TCO TO BE - HW'!I$4)/($E$4+'TCO TO BE - HW'!$E$4)*SUM(POZICIE_INTERNE!$I$52:$I$63))/POZICIE_INTERNE!$B$52*12,IF((POZICIE_INTERNE!$B$52-12*('TCO TO BE- SW'!$D151-1))&lt;0,0,(POZICIE_INTERNE!$B$52-12*('TCO TO BE- SW'!$D151-1))*((I$4+'TCO TO BE - HW'!I$4)/($E$4+'TCO TO BE - HW'!$E$4)*SUM(POZICIE_INTERNE!$I$52:$I$63))/POZICIE_INTERNE!$B$52)),0)+IFERROR(IF((AKTIVITY_POZICIE!$B$53-12*('TCO TO BE- SW'!$D151-1))&gt;12,((I$4+'TCO TO BE - HW'!I$4)/($E$4+'TCO TO BE - HW'!$E$4)*SUM(AKTIVITY_POZICIE!$M$53:$M$64)*1.2)/AKTIVITY_POZICIE!$B$41*12,IF((AKTIVITY_POZICIE!$B$53-12*('TCO TO BE- SW'!$D151-1))&lt;0,0,(AKTIVITY_POZICIE!$B$53-12*('TCO TO BE- SW'!$D151-1))*((I$4+'TCO TO BE - HW'!I$4)/($E$4+'TCO TO BE - HW'!$E$4)*SUM(AKTIVITY_POZICIE!$M$53:$M$64)*1.2)/AKTIVITY_POZICIE!$B$53)),0)+IFERROR(SUM(#REF!)*'TCO TO BE- SW'!I$4/'TCO TO BE- SW'!$E$4,0)</f>
        <v>8332.8105416247163</v>
      </c>
      <c r="J161" s="575">
        <f>IFERROR(IF((POZICIE_INTERNE!$B$52-12*('TCO TO BE- SW'!$D151-1))&gt;12,((J$4+'TCO TO BE - HW'!J$4)/($E$4+'TCO TO BE - HW'!$E$4)*SUM(POZICIE_INTERNE!$I$52:$I$63))/POZICIE_INTERNE!$B$52*12,IF((POZICIE_INTERNE!$B$52-12*('TCO TO BE- SW'!$D151-1))&lt;0,0,(POZICIE_INTERNE!$B$52-12*('TCO TO BE- SW'!$D151-1))*((J$4+'TCO TO BE - HW'!J$4)/($E$4+'TCO TO BE - HW'!$E$4)*SUM(POZICIE_INTERNE!$I$52:$I$63))/POZICIE_INTERNE!$B$52)),0)+IFERROR(IF((AKTIVITY_POZICIE!$B$53-12*('TCO TO BE- SW'!$D151-1))&gt;12,((J$4+'TCO TO BE - HW'!J$4)/($E$4+'TCO TO BE - HW'!$E$4)*SUM(AKTIVITY_POZICIE!$M$53:$M$64)*1.2)/AKTIVITY_POZICIE!$B$41*12,IF((AKTIVITY_POZICIE!$B$53-12*('TCO TO BE- SW'!$D151-1))&lt;0,0,(AKTIVITY_POZICIE!$B$53-12*('TCO TO BE- SW'!$D151-1))*((J$4+'TCO TO BE - HW'!J$4)/($E$4+'TCO TO BE - HW'!$E$4)*SUM(AKTIVITY_POZICIE!$M$53:$M$64)*1.2)/AKTIVITY_POZICIE!$B$53)),0)+IFERROR(SUM(#REF!)*'TCO TO BE- SW'!J$4/'TCO TO BE- SW'!$E$4,0)</f>
        <v>25012.579011192694</v>
      </c>
      <c r="K161" s="575">
        <f>IFERROR(IF((POZICIE_INTERNE!$B$52-12*('TCO TO BE- SW'!$D151-1))&gt;12,((K$4+'TCO TO BE - HW'!K$4)/($E$4+'TCO TO BE - HW'!$E$4)*SUM(POZICIE_INTERNE!$I$52:$I$63))/POZICIE_INTERNE!$B$52*12,IF((POZICIE_INTERNE!$B$52-12*('TCO TO BE- SW'!$D151-1))&lt;0,0,(POZICIE_INTERNE!$B$52-12*('TCO TO BE- SW'!$D151-1))*((K$4+'TCO TO BE - HW'!K$4)/($E$4+'TCO TO BE - HW'!$E$4)*SUM(POZICIE_INTERNE!$I$52:$I$63))/POZICIE_INTERNE!$B$52)),0)+IFERROR(IF((AKTIVITY_POZICIE!$B$53-12*('TCO TO BE- SW'!$D151-1))&gt;12,((K$4+'TCO TO BE - HW'!K$4)/($E$4+'TCO TO BE - HW'!$E$4)*SUM(AKTIVITY_POZICIE!$M$53:$M$64)*1.2)/AKTIVITY_POZICIE!$B$41*12,IF((AKTIVITY_POZICIE!$B$53-12*('TCO TO BE- SW'!$D151-1))&lt;0,0,(AKTIVITY_POZICIE!$B$53-12*('TCO TO BE- SW'!$D151-1))*((K$4+'TCO TO BE - HW'!K$4)/($E$4+'TCO TO BE - HW'!$E$4)*SUM(AKTIVITY_POZICIE!$M$53:$M$64)*1.2)/AKTIVITY_POZICIE!$B$53)),0)+IFERROR(SUM(#REF!)*'TCO TO BE- SW'!K$4/'TCO TO BE- SW'!$E$4,0)</f>
        <v>7017.1036139997595</v>
      </c>
      <c r="L161" s="575">
        <f>IFERROR(IF((POZICIE_INTERNE!$B$52-12*('TCO TO BE- SW'!$D151-1))&gt;12,((L$4+'TCO TO BE - HW'!L$4)/($E$4+'TCO TO BE - HW'!$E$4)*SUM(POZICIE_INTERNE!$I$52:$I$63))/POZICIE_INTERNE!$B$52*12,IF((POZICIE_INTERNE!$B$52-12*('TCO TO BE- SW'!$D151-1))&lt;0,0,(POZICIE_INTERNE!$B$52-12*('TCO TO BE- SW'!$D151-1))*((L$4+'TCO TO BE - HW'!L$4)/($E$4+'TCO TO BE - HW'!$E$4)*SUM(POZICIE_INTERNE!$I$52:$I$63))/POZICIE_INTERNE!$B$52)),0)+IFERROR(IF((AKTIVITY_POZICIE!$B$53-12*('TCO TO BE- SW'!$D151-1))&gt;12,((L$4+'TCO TO BE - HW'!L$4)/($E$4+'TCO TO BE - HW'!$E$4)*SUM(AKTIVITY_POZICIE!$M$53:$M$64)*1.2)/AKTIVITY_POZICIE!$B$41*12,IF((AKTIVITY_POZICIE!$B$53-12*('TCO TO BE- SW'!$D151-1))&lt;0,0,(AKTIVITY_POZICIE!$B$53-12*('TCO TO BE- SW'!$D151-1))*((L$4+'TCO TO BE - HW'!L$4)/($E$4+'TCO TO BE - HW'!$E$4)*SUM(AKTIVITY_POZICIE!$M$53:$M$64)*1.2)/AKTIVITY_POZICIE!$B$53)),0)+IFERROR(SUM(#REF!)*'TCO TO BE- SW'!L$4/'TCO TO BE- SW'!$E$4,0)</f>
        <v>2320.1713562418563</v>
      </c>
      <c r="M161" s="575">
        <f>IFERROR(IF((POZICIE_INTERNE!$B$52-12*('TCO TO BE- SW'!$D151-1))&gt;12,((M$4+'TCO TO BE - HW'!M$4)/($E$4+'TCO TO BE - HW'!$E$4)*SUM(POZICIE_INTERNE!$I$52:$I$63))/POZICIE_INTERNE!$B$52*12,IF((POZICIE_INTERNE!$B$52-12*('TCO TO BE- SW'!$D151-1))&lt;0,0,(POZICIE_INTERNE!$B$52-12*('TCO TO BE- SW'!$D151-1))*((M$4+'TCO TO BE - HW'!M$4)/($E$4+'TCO TO BE - HW'!$E$4)*SUM(POZICIE_INTERNE!$I$52:$I$63))/POZICIE_INTERNE!$B$52)),0)+IFERROR(IF((AKTIVITY_POZICIE!$B$53-12*('TCO TO BE- SW'!$D151-1))&gt;12,((M$4+'TCO TO BE - HW'!M$4)/($E$4+'TCO TO BE - HW'!$E$4)*SUM(AKTIVITY_POZICIE!$M$53:$M$64)*1.2)/AKTIVITY_POZICIE!$B$41*12,IF((AKTIVITY_POZICIE!$B$53-12*('TCO TO BE- SW'!$D151-1))&lt;0,0,(AKTIVITY_POZICIE!$B$53-12*('TCO TO BE- SW'!$D151-1))*((M$4+'TCO TO BE - HW'!M$4)/($E$4+'TCO TO BE - HW'!$E$4)*SUM(AKTIVITY_POZICIE!$M$53:$M$64)*1.2)/AKTIVITY_POZICIE!$B$53)),0)+IFERROR(SUM(#REF!)*'TCO TO BE- SW'!M$4/'TCO TO BE- SW'!$E$4,0)</f>
        <v>1980.6340845967065</v>
      </c>
      <c r="N161" s="575">
        <f>IFERROR(IF((POZICIE_INTERNE!$B$52-12*('TCO TO BE- SW'!$D151-1))&gt;12,((N$4+'TCO TO BE - HW'!N$4)/($E$4+'TCO TO BE - HW'!$E$4)*SUM(POZICIE_INTERNE!$I$52:$I$63))/POZICIE_INTERNE!$B$52*12,IF((POZICIE_INTERNE!$B$52-12*('TCO TO BE- SW'!$D151-1))&lt;0,0,(POZICIE_INTERNE!$B$52-12*('TCO TO BE- SW'!$D151-1))*((N$4+'TCO TO BE - HW'!N$4)/($E$4+'TCO TO BE - HW'!$E$4)*SUM(POZICIE_INTERNE!$I$52:$I$63))/POZICIE_INTERNE!$B$52)),0)+IFERROR(IF((AKTIVITY_POZICIE!$B$53-12*('TCO TO BE- SW'!$D151-1))&gt;12,((N$4+'TCO TO BE - HW'!N$4)/($E$4+'TCO TO BE - HW'!$E$4)*SUM(AKTIVITY_POZICIE!$M$53:$M$64)*1.2)/AKTIVITY_POZICIE!$B$41*12,IF((AKTIVITY_POZICIE!$B$53-12*('TCO TO BE- SW'!$D151-1))&lt;0,0,(AKTIVITY_POZICIE!$B$53-12*('TCO TO BE- SW'!$D151-1))*((N$4+'TCO TO BE - HW'!N$4)/($E$4+'TCO TO BE - HW'!$E$4)*SUM(AKTIVITY_POZICIE!$M$53:$M$64)*1.2)/AKTIVITY_POZICIE!$B$53)),0)+IFERROR(SUM(#REF!)*'TCO TO BE- SW'!N$4/'TCO TO BE- SW'!$E$4,0)</f>
        <v>5786.2810042860929</v>
      </c>
      <c r="O161" s="575">
        <f>IFERROR(IF((POZICIE_INTERNE!$B$52-12*('TCO TO BE- SW'!$D151-1))&gt;12,((O$4+'TCO TO BE - HW'!O$4)/($E$4+'TCO TO BE - HW'!$E$4)*SUM(POZICIE_INTERNE!$I$52:$I$63))/POZICIE_INTERNE!$B$52*12,IF((POZICIE_INTERNE!$B$52-12*('TCO TO BE- SW'!$D151-1))&lt;0,0,(POZICIE_INTERNE!$B$52-12*('TCO TO BE- SW'!$D151-1))*((O$4+'TCO TO BE - HW'!O$4)/($E$4+'TCO TO BE - HW'!$E$4)*SUM(POZICIE_INTERNE!$I$52:$I$63))/POZICIE_INTERNE!$B$52)),0)+IFERROR(IF((AKTIVITY_POZICIE!$B$53-12*('TCO TO BE- SW'!$D151-1))&gt;12,((O$4+'TCO TO BE - HW'!O$4)/($E$4+'TCO TO BE - HW'!$E$4)*SUM(AKTIVITY_POZICIE!$M$53:$M$64)*1.2)/AKTIVITY_POZICIE!$B$41*12,IF((AKTIVITY_POZICIE!$B$53-12*('TCO TO BE- SW'!$D151-1))&lt;0,0,(AKTIVITY_POZICIE!$B$53-12*('TCO TO BE- SW'!$D151-1))*((O$4+'TCO TO BE - HW'!O$4)/($E$4+'TCO TO BE - HW'!$E$4)*SUM(AKTIVITY_POZICIE!$M$53:$M$64)*1.2)/AKTIVITY_POZICIE!$B$53)),0)+IFERROR(SUM(#REF!)*'TCO TO BE- SW'!O$4/'TCO TO BE- SW'!$E$4,0)</f>
        <v>6889.7771371328299</v>
      </c>
      <c r="P161" s="575">
        <f>IFERROR(IF((POZICIE_INTERNE!$B$52-12*('TCO TO BE- SW'!$D151-1))&gt;12,((P$4+'TCO TO BE - HW'!P$4)/($E$4+'TCO TO BE - HW'!$E$4)*SUM(POZICIE_INTERNE!$I$52:$I$63))/POZICIE_INTERNE!$B$52*12,IF((POZICIE_INTERNE!$B$52-12*('TCO TO BE- SW'!$D151-1))&lt;0,0,(POZICIE_INTERNE!$B$52-12*('TCO TO BE- SW'!$D151-1))*((P$4+'TCO TO BE - HW'!P$4)/($E$4+'TCO TO BE - HW'!$E$4)*SUM(POZICIE_INTERNE!$I$52:$I$63))/POZICIE_INTERNE!$B$52)),0)+IFERROR(IF((AKTIVITY_POZICIE!$B$53-12*('TCO TO BE- SW'!$D151-1))&gt;12,((P$4+'TCO TO BE - HW'!P$4)/($E$4+'TCO TO BE - HW'!$E$4)*SUM(AKTIVITY_POZICIE!$M$53:$M$64)*1.2)/AKTIVITY_POZICIE!$B$41*12,IF((AKTIVITY_POZICIE!$B$53-12*('TCO TO BE- SW'!$D151-1))&lt;0,0,(AKTIVITY_POZICIE!$B$53-12*('TCO TO BE- SW'!$D151-1))*((P$4+'TCO TO BE - HW'!P$4)/($E$4+'TCO TO BE - HW'!$E$4)*SUM(AKTIVITY_POZICIE!$M$53:$M$64)*1.2)/AKTIVITY_POZICIE!$B$53)),0)+IFERROR(SUM(#REF!)*'TCO TO BE- SW'!P$4/'TCO TO BE- SW'!$E$4,0)</f>
        <v>1570.3598813588176</v>
      </c>
      <c r="Q161" s="575">
        <f>IFERROR(IF((POZICIE_INTERNE!$B$52-12*('TCO TO BE- SW'!$D151-1))&gt;12,((Q$4+'TCO TO BE - HW'!Q$4)/($E$4+'TCO TO BE - HW'!$E$4)*SUM(POZICIE_INTERNE!$I$52:$I$63))/POZICIE_INTERNE!$B$52*12,IF((POZICIE_INTERNE!$B$52-12*('TCO TO BE- SW'!$D151-1))&lt;0,0,(POZICIE_INTERNE!$B$52-12*('TCO TO BE- SW'!$D151-1))*((Q$4+'TCO TO BE - HW'!Q$4)/($E$4+'TCO TO BE - HW'!$E$4)*SUM(POZICIE_INTERNE!$I$52:$I$63))/POZICIE_INTERNE!$B$52)),0)+IFERROR(IF((AKTIVITY_POZICIE!$B$53-12*('TCO TO BE- SW'!$D151-1))&gt;12,((Q$4+'TCO TO BE - HW'!Q$4)/($E$4+'TCO TO BE - HW'!$E$4)*SUM(AKTIVITY_POZICIE!$M$53:$M$64)*1.2)/AKTIVITY_POZICIE!$B$41*12,IF((AKTIVITY_POZICIE!$B$53-12*('TCO TO BE- SW'!$D151-1))&lt;0,0,(AKTIVITY_POZICIE!$B$53-12*('TCO TO BE- SW'!$D151-1))*((Q$4+'TCO TO BE - HW'!Q$4)/($E$4+'TCO TO BE - HW'!$E$4)*SUM(AKTIVITY_POZICIE!$M$53:$M$64)*1.2)/AKTIVITY_POZICIE!$B$53)),0)+IFERROR(SUM(#REF!)*'TCO TO BE- SW'!Q$4/'TCO TO BE- SW'!$E$4,0)</f>
        <v>353.68465796369765</v>
      </c>
      <c r="R161" s="575">
        <f>IFERROR(IF((POZICIE_INTERNE!$B$52-12*('TCO TO BE- SW'!$D151-1))&gt;12,((R$4+'TCO TO BE - HW'!R$4)/($E$4+'TCO TO BE - HW'!$E$4)*SUM(POZICIE_INTERNE!$I$52:$I$63))/POZICIE_INTERNE!$B$52*12,IF((POZICIE_INTERNE!$B$52-12*('TCO TO BE- SW'!$D151-1))&lt;0,0,(POZICIE_INTERNE!$B$52-12*('TCO TO BE- SW'!$D151-1))*((R$4+'TCO TO BE - HW'!R$4)/($E$4+'TCO TO BE - HW'!$E$4)*SUM(POZICIE_INTERNE!$I$52:$I$63))/POZICIE_INTERNE!$B$52)),0)+IFERROR(IF((AKTIVITY_POZICIE!$B$53-12*('TCO TO BE- SW'!$D151-1))&gt;12,((R$4+'TCO TO BE - HW'!R$4)/($E$4+'TCO TO BE - HW'!$E$4)*SUM(AKTIVITY_POZICIE!$M$53:$M$64)*1.2)/AKTIVITY_POZICIE!$B$41*12,IF((AKTIVITY_POZICIE!$B$53-12*('TCO TO BE- SW'!$D151-1))&lt;0,0,(AKTIVITY_POZICIE!$B$53-12*('TCO TO BE- SW'!$D151-1))*((R$4+'TCO TO BE - HW'!R$4)/($E$4+'TCO TO BE - HW'!$E$4)*SUM(AKTIVITY_POZICIE!$M$53:$M$64)*1.2)/AKTIVITY_POZICIE!$B$53)),0)+IFERROR(SUM(#REF!)*'TCO TO BE- SW'!R$4/'TCO TO BE- SW'!$E$4,0)</f>
        <v>2787.035104753937</v>
      </c>
      <c r="S161" s="575">
        <f>IFERROR(IF((POZICIE_INTERNE!$B$52-12*('TCO TO BE- SW'!$D151-1))&gt;12,((S$4+'TCO TO BE - HW'!S$4)/($E$4+'TCO TO BE - HW'!$E$4)*SUM(POZICIE_INTERNE!$I$52:$I$63))/POZICIE_INTERNE!$B$52*12,IF((POZICIE_INTERNE!$B$52-12*('TCO TO BE- SW'!$D151-1))&lt;0,0,(POZICIE_INTERNE!$B$52-12*('TCO TO BE- SW'!$D151-1))*((S$4+'TCO TO BE - HW'!S$4)/($E$4+'TCO TO BE - HW'!$E$4)*SUM(POZICIE_INTERNE!$I$52:$I$63))/POZICIE_INTERNE!$B$52)),0)+IFERROR(IF((AKTIVITY_POZICIE!$B$53-12*('TCO TO BE- SW'!$D151-1))&gt;12,((S$4+'TCO TO BE - HW'!S$4)/($E$4+'TCO TO BE - HW'!$E$4)*SUM(AKTIVITY_POZICIE!$M$53:$M$64)*1.2)/AKTIVITY_POZICIE!$B$41*12,IF((AKTIVITY_POZICIE!$B$53-12*('TCO TO BE- SW'!$D151-1))&lt;0,0,(AKTIVITY_POZICIE!$B$53-12*('TCO TO BE- SW'!$D151-1))*((S$4+'TCO TO BE - HW'!S$4)/($E$4+'TCO TO BE - HW'!$E$4)*SUM(AKTIVITY_POZICIE!$M$53:$M$64)*1.2)/AKTIVITY_POZICIE!$B$53)),0)+IFERROR(SUM(#REF!)*'TCO TO BE- SW'!S$4/'TCO TO BE- SW'!$E$4,0)</f>
        <v>1909.8971530039671</v>
      </c>
      <c r="T161" s="575">
        <f>IFERROR(IF((POZICIE_INTERNE!$B$52-12*('TCO TO BE- SW'!$D151-1))&gt;12,((T$4+'TCO TO BE - HW'!T$4)/($E$4+'TCO TO BE - HW'!$E$4)*SUM(POZICIE_INTERNE!$I$52:$I$63))/POZICIE_INTERNE!$B$52*12,IF((POZICIE_INTERNE!$B$52-12*('TCO TO BE- SW'!$D151-1))&lt;0,0,(POZICIE_INTERNE!$B$52-12*('TCO TO BE- SW'!$D151-1))*((T$4+'TCO TO BE - HW'!T$4)/($E$4+'TCO TO BE - HW'!$E$4)*SUM(POZICIE_INTERNE!$I$52:$I$63))/POZICIE_INTERNE!$B$52)),0)+IFERROR(IF((AKTIVITY_POZICIE!$B$53-12*('TCO TO BE- SW'!$D151-1))&gt;12,((T$4+'TCO TO BE - HW'!T$4)/($E$4+'TCO TO BE - HW'!$E$4)*SUM(AKTIVITY_POZICIE!$M$53:$M$64)*1.2)/AKTIVITY_POZICIE!$B$41*12,IF((AKTIVITY_POZICIE!$B$53-12*('TCO TO BE- SW'!$D151-1))&lt;0,0,(AKTIVITY_POZICIE!$B$53-12*('TCO TO BE- SW'!$D151-1))*((T$4+'TCO TO BE - HW'!T$4)/($E$4+'TCO TO BE - HW'!$E$4)*SUM(AKTIVITY_POZICIE!$M$53:$M$64)*1.2)/AKTIVITY_POZICIE!$B$53)),0)+IFERROR(SUM(#REF!)*'TCO TO BE- SW'!T$4/'TCO TO BE- SW'!$E$4,0)</f>
        <v>5715.544072693353</v>
      </c>
      <c r="U161" s="575">
        <f>IFERROR(IF((POZICIE_INTERNE!$B$52-12*('TCO TO BE- SW'!$D151-1))&gt;12,((U$4+'TCO TO BE - HW'!U$4)/($E$4+'TCO TO BE - HW'!$E$4)*SUM(POZICIE_INTERNE!$I$52:$I$63))/POZICIE_INTERNE!$B$52*12,IF((POZICIE_INTERNE!$B$52-12*('TCO TO BE- SW'!$D151-1))&lt;0,0,(POZICIE_INTERNE!$B$52-12*('TCO TO BE- SW'!$D151-1))*((U$4+'TCO TO BE - HW'!U$4)/($E$4+'TCO TO BE - HW'!$E$4)*SUM(POZICIE_INTERNE!$I$52:$I$63))/POZICIE_INTERNE!$B$52)),0)+IFERROR(IF((AKTIVITY_POZICIE!$B$53-12*('TCO TO BE- SW'!$D151-1))&gt;12,((U$4+'TCO TO BE - HW'!U$4)/($E$4+'TCO TO BE - HW'!$E$4)*SUM(AKTIVITY_POZICIE!$M$53:$M$64)*1.2)/AKTIVITY_POZICIE!$B$41*12,IF((AKTIVITY_POZICIE!$B$53-12*('TCO TO BE- SW'!$D151-1))&lt;0,0,(AKTIVITY_POZICIE!$B$53-12*('TCO TO BE- SW'!$D151-1))*((U$4+'TCO TO BE - HW'!U$4)/($E$4+'TCO TO BE - HW'!$E$4)*SUM(AKTIVITY_POZICIE!$M$53:$M$64)*1.2)/AKTIVITY_POZICIE!$B$53)),0)+IFERROR(SUM(#REF!)*'TCO TO BE- SW'!U$4/'TCO TO BE- SW'!$E$4,0)</f>
        <v>4456.4266903425905</v>
      </c>
      <c r="V161" s="575">
        <f>IFERROR(IF((POZICIE_INTERNE!$B$52-12*('TCO TO BE- SW'!$D151-1))&gt;12,((V$4+'TCO TO BE - HW'!V$4)/($E$4+'TCO TO BE - HW'!$E$4)*SUM(POZICIE_INTERNE!$I$52:$I$63))/POZICIE_INTERNE!$B$52*12,IF((POZICIE_INTERNE!$B$52-12*('TCO TO BE- SW'!$D151-1))&lt;0,0,(POZICIE_INTERNE!$B$52-12*('TCO TO BE- SW'!$D151-1))*((V$4+'TCO TO BE - HW'!V$4)/($E$4+'TCO TO BE - HW'!$E$4)*SUM(POZICIE_INTERNE!$I$52:$I$63))/POZICIE_INTERNE!$B$52)),0)+IFERROR(IF((AKTIVITY_POZICIE!$B$53-12*('TCO TO BE- SW'!$D151-1))&gt;12,((V$4+'TCO TO BE - HW'!V$4)/($E$4+'TCO TO BE - HW'!$E$4)*SUM(AKTIVITY_POZICIE!$M$53:$M$64)*1.2)/AKTIVITY_POZICIE!$B$41*12,IF((AKTIVITY_POZICIE!$B$53-12*('TCO TO BE- SW'!$D151-1))&lt;0,0,(AKTIVITY_POZICIE!$B$53-12*('TCO TO BE- SW'!$D151-1))*((V$4+'TCO TO BE - HW'!V$4)/($E$4+'TCO TO BE - HW'!$E$4)*SUM(AKTIVITY_POZICIE!$M$53:$M$64)*1.2)/AKTIVITY_POZICIE!$B$53)),0)+IFERROR(SUM(#REF!)*'TCO TO BE- SW'!V$4/'TCO TO BE- SW'!$E$4,0)</f>
        <v>3848.08907864503</v>
      </c>
      <c r="W161" s="575">
        <f>IFERROR(IF((POZICIE_INTERNE!$B$52-12*('TCO TO BE- SW'!$D151-1))&gt;12,((W$4+'TCO TO BE - HW'!W$4)/($E$4+'TCO TO BE - HW'!$E$4)*SUM(POZICIE_INTERNE!$I$52:$I$63))/POZICIE_INTERNE!$B$52*12,IF((POZICIE_INTERNE!$B$52-12*('TCO TO BE- SW'!$D151-1))&lt;0,0,(POZICIE_INTERNE!$B$52-12*('TCO TO BE- SW'!$D151-1))*((W$4+'TCO TO BE - HW'!W$4)/($E$4+'TCO TO BE - HW'!$E$4)*SUM(POZICIE_INTERNE!$I$52:$I$63))/POZICIE_INTERNE!$B$52)),0)+IFERROR(IF((AKTIVITY_POZICIE!$B$53-12*('TCO TO BE- SW'!$D151-1))&gt;12,((W$4+'TCO TO BE - HW'!W$4)/($E$4+'TCO TO BE - HW'!$E$4)*SUM(AKTIVITY_POZICIE!$M$53:$M$64)*1.2)/AKTIVITY_POZICIE!$B$41*12,IF((AKTIVITY_POZICIE!$B$53-12*('TCO TO BE- SW'!$D151-1))&lt;0,0,(AKTIVITY_POZICIE!$B$53-12*('TCO TO BE- SW'!$D151-1))*((W$4+'TCO TO BE - HW'!W$4)/($E$4+'TCO TO BE - HW'!$E$4)*SUM(AKTIVITY_POZICIE!$M$53:$M$64)*1.2)/AKTIVITY_POZICIE!$B$53)),0)+IFERROR(SUM(#REF!)*'TCO TO BE- SW'!W$4/'TCO TO BE- SW'!$E$4,0)</f>
        <v>8488.4317911287399</v>
      </c>
      <c r="X161" s="575">
        <f>IFERROR(IF((POZICIE_INTERNE!$B$52-12*('TCO TO BE- SW'!$D151-1))&gt;12,((X$4+'TCO TO BE - HW'!X$4)/($E$4+'TCO TO BE - HW'!$E$4)*SUM(POZICIE_INTERNE!$I$52:$I$63))/POZICIE_INTERNE!$B$52*12,IF((POZICIE_INTERNE!$B$52-12*('TCO TO BE- SW'!$D151-1))&lt;0,0,(POZICIE_INTERNE!$B$52-12*('TCO TO BE- SW'!$D151-1))*((X$4+'TCO TO BE - HW'!X$4)/($E$4+'TCO TO BE - HW'!$E$4)*SUM(POZICIE_INTERNE!$I$52:$I$63))/POZICIE_INTERNE!$B$52)),0)+IFERROR(IF((AKTIVITY_POZICIE!$B$53-12*('TCO TO BE- SW'!$D151-1))&gt;12,((X$4+'TCO TO BE - HW'!X$4)/($E$4+'TCO TO BE - HW'!$E$4)*SUM(AKTIVITY_POZICIE!$M$53:$M$64)*1.2)/AKTIVITY_POZICIE!$B$41*12,IF((AKTIVITY_POZICIE!$B$53-12*('TCO TO BE- SW'!$D151-1))&lt;0,0,(AKTIVITY_POZICIE!$B$53-12*('TCO TO BE- SW'!$D151-1))*((X$4+'TCO TO BE - HW'!X$4)/($E$4+'TCO TO BE - HW'!$E$4)*SUM(AKTIVITY_POZICIE!$M$53:$M$64)*1.2)/AKTIVITY_POZICIE!$B$53)),0)+IFERROR(SUM(#REF!)*'TCO TO BE- SW'!X$4/'TCO TO BE- SW'!$E$4,0)</f>
        <v>12789.237231967303</v>
      </c>
      <c r="Y161" s="575">
        <f>IFERROR(IF((POZICIE_INTERNE!$B$52-12*('TCO TO BE- SW'!$D151-1))&gt;12,((Y$4+'TCO TO BE - HW'!Y$4)/($E$4+'TCO TO BE - HW'!$E$4)*SUM(POZICIE_INTERNE!$I$52:$I$63))/POZICIE_INTERNE!$B$52*12,IF((POZICIE_INTERNE!$B$52-12*('TCO TO BE- SW'!$D151-1))&lt;0,0,(POZICIE_INTERNE!$B$52-12*('TCO TO BE- SW'!$D151-1))*((Y$4+'TCO TO BE - HW'!Y$4)/($E$4+'TCO TO BE - HW'!$E$4)*SUM(POZICIE_INTERNE!$I$52:$I$63))/POZICIE_INTERNE!$B$52)),0)+IFERROR(IF((AKTIVITY_POZICIE!$B$53-12*('TCO TO BE- SW'!$D151-1))&gt;12,((Y$4+'TCO TO BE - HW'!Y$4)/($E$4+'TCO TO BE - HW'!$E$4)*SUM(AKTIVITY_POZICIE!$M$53:$M$64)*1.2)/AKTIVITY_POZICIE!$B$41*12,IF((AKTIVITY_POZICIE!$B$53-12*('TCO TO BE- SW'!$D151-1))&lt;0,0,(AKTIVITY_POZICIE!$B$53-12*('TCO TO BE- SW'!$D151-1))*((Y$4+'TCO TO BE - HW'!Y$4)/($E$4+'TCO TO BE - HW'!$E$4)*SUM(AKTIVITY_POZICIE!$M$53:$M$64)*1.2)/AKTIVITY_POZICIE!$B$53)),0)+IFERROR(SUM(#REF!)*'TCO TO BE- SW'!Y$4/'TCO TO BE- SW'!$E$4,0)</f>
        <v>0</v>
      </c>
      <c r="Z161" s="575">
        <f>IFERROR(IF((POZICIE_INTERNE!$B$52-12*('TCO TO BE- SW'!$D151-1))&gt;12,((Z$4+'TCO TO BE - HW'!Z$4)/($E$4+'TCO TO BE - HW'!$E$4)*SUM(POZICIE_INTERNE!$I$52:$I$63))/POZICIE_INTERNE!$B$52*12,IF((POZICIE_INTERNE!$B$52-12*('TCO TO BE- SW'!$D151-1))&lt;0,0,(POZICIE_INTERNE!$B$52-12*('TCO TO BE- SW'!$D151-1))*((Z$4+'TCO TO BE - HW'!Z$4)/($E$4+'TCO TO BE - HW'!$E$4)*SUM(POZICIE_INTERNE!$I$52:$I$63))/POZICIE_INTERNE!$B$52)),0)+IFERROR(IF((AKTIVITY_POZICIE!$B$53-12*('TCO TO BE- SW'!$D151-1))&gt;12,((Z$4+'TCO TO BE - HW'!Z$4)/($E$4+'TCO TO BE - HW'!$E$4)*SUM(AKTIVITY_POZICIE!$M$53:$M$64)*1.2)/AKTIVITY_POZICIE!$B$41*12,IF((AKTIVITY_POZICIE!$B$53-12*('TCO TO BE- SW'!$D151-1))&lt;0,0,(AKTIVITY_POZICIE!$B$53-12*('TCO TO BE- SW'!$D151-1))*((Z$4+'TCO TO BE - HW'!Z$4)/($E$4+'TCO TO BE - HW'!$E$4)*SUM(AKTIVITY_POZICIE!$M$53:$M$64)*1.2)/AKTIVITY_POZICIE!$B$53)),0)+IFERROR(SUM(#REF!)*'TCO TO BE- SW'!Z$4/'TCO TO BE- SW'!$E$4,0)</f>
        <v>0</v>
      </c>
    </row>
    <row r="162" spans="1:26">
      <c r="A162" s="875"/>
      <c r="B162" s="876"/>
      <c r="C162" s="876"/>
      <c r="D162" s="64">
        <v>2</v>
      </c>
      <c r="E162" s="68">
        <f t="shared" si="16"/>
        <v>210153.51130666665</v>
      </c>
      <c r="F162" s="576">
        <f>IFERROR(IF((POZICIE_INTERNE!$B$52-12*('TCO TO BE- SW'!$D152-1))&gt;12,((F$4+'TCO TO BE - HW'!F$4)/($E$4+'TCO TO BE - HW'!$E$4)*SUM(POZICIE_INTERNE!$I$52:$I$63))/POZICIE_INTERNE!$B$52*12,IF((POZICIE_INTERNE!$B$52-12*('TCO TO BE- SW'!$D152-1))&lt;0,0,(POZICIE_INTERNE!$B$52-12*('TCO TO BE- SW'!$D152-1))*((F$4+'TCO TO BE - HW'!F$4)/($E$4+'TCO TO BE - HW'!$E$4)*SUM(POZICIE_INTERNE!$I$52:$I$63))/POZICIE_INTERNE!$B$52)),0)+IFERROR(IF((AKTIVITY_POZICIE!$B$53-12*('TCO TO BE- SW'!$D152-1))&gt;12,((F$4+'TCO TO BE - HW'!F$4)/($E$4+'TCO TO BE - HW'!$E$4)*SUM(AKTIVITY_POZICIE!$M$53:$M$64)*1.2)/AKTIVITY_POZICIE!$B$41*12,IF((AKTIVITY_POZICIE!$B$53-12*('TCO TO BE- SW'!$D152-1))&lt;0,0,(AKTIVITY_POZICIE!$B$53-12*('TCO TO BE- SW'!$D152-1))*((F$4+'TCO TO BE - HW'!F$4)/($E$4+'TCO TO BE - HW'!$E$4)*SUM(AKTIVITY_POZICIE!$M$53:$M$64)*1.2)/AKTIVITY_POZICIE!$B$53)),0)</f>
        <v>12577.026437189086</v>
      </c>
      <c r="G162" s="576">
        <f>IFERROR(IF((POZICIE_INTERNE!$B$52-12*('TCO TO BE- SW'!$D152-1))&gt;12,((G$4+'TCO TO BE - HW'!G$4)/($E$4+'TCO TO BE - HW'!$E$4)*SUM(POZICIE_INTERNE!$I$52:$I$63))/POZICIE_INTERNE!$B$52*12,IF((POZICIE_INTERNE!$B$52-12*('TCO TO BE- SW'!$D152-1))&lt;0,0,(POZICIE_INTERNE!$B$52-12*('TCO TO BE- SW'!$D152-1))*((G$4+'TCO TO BE - HW'!G$4)/($E$4+'TCO TO BE - HW'!$E$4)*SUM(POZICIE_INTERNE!$I$52:$I$63))/POZICIE_INTERNE!$B$52)),0)+IFERROR(IF((AKTIVITY_POZICIE!$B$53-12*('TCO TO BE- SW'!$D152-1))&gt;12,((G$4+'TCO TO BE - HW'!G$4)/($E$4+'TCO TO BE - HW'!$E$4)*SUM(AKTIVITY_POZICIE!$M$53:$M$64))/AKTIVITY_POZICIE!$B$41*12,IF((AKTIVITY_POZICIE!$B$53-12*('TCO TO BE- SW'!$D152-1))&lt;0,0,(AKTIVITY_POZICIE!$B$53-12*('TCO TO BE- SW'!$D152-1))*((G$4+'TCO TO BE - HW'!G$4)/($E$4+'TCO TO BE - HW'!$E$4)*SUM(AKTIVITY_POZICIE!$M$53:$M$64))/AKTIVITY_POZICIE!$B$53)),0)</f>
        <v>42399.716796688066</v>
      </c>
      <c r="H162" s="576">
        <f>IFERROR(IF((POZICIE_INTERNE!$B$52-12*('TCO TO BE- SW'!$D152-1))&gt;12,((H$4+'TCO TO BE - HW'!H$4)/($E$4+'TCO TO BE - HW'!$E$4)*SUM(POZICIE_INTERNE!$I$52:$I$63))/POZICIE_INTERNE!$B$52*12,IF((POZICIE_INTERNE!$B$52-12*('TCO TO BE- SW'!$D152-1))&lt;0,0,(POZICIE_INTERNE!$B$52-12*('TCO TO BE- SW'!$D152-1))*((H$4+'TCO TO BE - HW'!H$4)/($E$4+'TCO TO BE - HW'!$E$4)*SUM(POZICIE_INTERNE!$I$52:$I$63))/POZICIE_INTERNE!$B$52)),0)+IFERROR(IF((AKTIVITY_POZICIE!$B$53-12*('TCO TO BE- SW'!$D152-1))&gt;12,((H$4+'TCO TO BE - HW'!H$4)/($E$4+'TCO TO BE - HW'!$E$4)*SUM(AKTIVITY_POZICIE!$M$53:$M$64))/AKTIVITY_POZICIE!$B$41*12,IF((AKTIVITY_POZICIE!$B$53-12*('TCO TO BE- SW'!$D152-1))&lt;0,0,(AKTIVITY_POZICIE!$B$53-12*('TCO TO BE- SW'!$D152-1))*((H$4+'TCO TO BE - HW'!H$4)/($E$4+'TCO TO BE - HW'!$E$4)*SUM(AKTIVITY_POZICIE!$M$53:$M$64))/AKTIVITY_POZICIE!$B$53)),0)</f>
        <v>55918.705661857435</v>
      </c>
      <c r="I162" s="576">
        <f>IFERROR(IF((POZICIE_INTERNE!$B$52-12*('TCO TO BE- SW'!$D152-1))&gt;12,((I$4+'TCO TO BE - HW'!I$4)/($E$4+'TCO TO BE - HW'!$E$4)*SUM(POZICIE_INTERNE!$I$52:$I$63))/POZICIE_INTERNE!$B$52*12,IF((POZICIE_INTERNE!$B$52-12*('TCO TO BE- SW'!$D152-1))&lt;0,0,(POZICIE_INTERNE!$B$52-12*('TCO TO BE- SW'!$D152-1))*((I$4+'TCO TO BE - HW'!I$4)/($E$4+'TCO TO BE - HW'!$E$4)*SUM(POZICIE_INTERNE!$I$52:$I$63))/POZICIE_INTERNE!$B$52)),0)+IFERROR(IF((AKTIVITY_POZICIE!$B$53-12*('TCO TO BE- SW'!$D152-1))&gt;12,((I$4+'TCO TO BE - HW'!I$4)/($E$4+'TCO TO BE - HW'!$E$4)*SUM(AKTIVITY_POZICIE!$M$53:$M$64))/AKTIVITY_POZICIE!$B$41*12,IF((AKTIVITY_POZICIE!$B$53-12*('TCO TO BE- SW'!$D152-1))&lt;0,0,(AKTIVITY_POZICIE!$B$53-12*('TCO TO BE- SW'!$D152-1))*((I$4+'TCO TO BE - HW'!I$4)/($E$4+'TCO TO BE - HW'!$E$4)*SUM(AKTIVITY_POZICIE!$M$53:$M$64))/AKTIVITY_POZICIE!$B$53)),0)</f>
        <v>8332.8105416247163</v>
      </c>
      <c r="J162" s="576">
        <f>IFERROR(IF((POZICIE_INTERNE!$B$52-12*('TCO TO BE- SW'!$D152-1))&gt;12,((J$4+'TCO TO BE - HW'!J$4)/($E$4+'TCO TO BE - HW'!$E$4)*SUM(POZICIE_INTERNE!$I$52:$I$63))/POZICIE_INTERNE!$B$52*12,IF((POZICIE_INTERNE!$B$52-12*('TCO TO BE- SW'!$D152-1))&lt;0,0,(POZICIE_INTERNE!$B$52-12*('TCO TO BE- SW'!$D152-1))*((J$4+'TCO TO BE - HW'!J$4)/($E$4+'TCO TO BE - HW'!$E$4)*SUM(POZICIE_INTERNE!$I$52:$I$63))/POZICIE_INTERNE!$B$52)),0)+IFERROR(IF((AKTIVITY_POZICIE!$B$53-12*('TCO TO BE- SW'!$D152-1))&gt;12,((J$4+'TCO TO BE - HW'!J$4)/($E$4+'TCO TO BE - HW'!$E$4)*SUM(AKTIVITY_POZICIE!$M$53:$M$64))/AKTIVITY_POZICIE!$B$41*12,IF((AKTIVITY_POZICIE!$B$53-12*('TCO TO BE- SW'!$D152-1))&lt;0,0,(AKTIVITY_POZICIE!$B$53-12*('TCO TO BE- SW'!$D152-1))*((J$4+'TCO TO BE - HW'!J$4)/($E$4+'TCO TO BE - HW'!$E$4)*SUM(AKTIVITY_POZICIE!$M$53:$M$64))/AKTIVITY_POZICIE!$B$53)),0)</f>
        <v>25012.579011192694</v>
      </c>
      <c r="K162" s="576">
        <f>IFERROR(IF((POZICIE_INTERNE!$B$52-12*('TCO TO BE- SW'!$D152-1))&gt;12,((K$4+'TCO TO BE - HW'!K$4)/($E$4+'TCO TO BE - HW'!$E$4)*SUM(POZICIE_INTERNE!$I$52:$I$63))/POZICIE_INTERNE!$B$52*12,IF((POZICIE_INTERNE!$B$52-12*('TCO TO BE- SW'!$D152-1))&lt;0,0,(POZICIE_INTERNE!$B$52-12*('TCO TO BE- SW'!$D152-1))*((K$4+'TCO TO BE - HW'!K$4)/($E$4+'TCO TO BE - HW'!$E$4)*SUM(POZICIE_INTERNE!$I$52:$I$63))/POZICIE_INTERNE!$B$52)),0)+IFERROR(IF((AKTIVITY_POZICIE!$B$53-12*('TCO TO BE- SW'!$D152-1))&gt;12,((K$4+'TCO TO BE - HW'!K$4)/($E$4+'TCO TO BE - HW'!$E$4)*SUM(AKTIVITY_POZICIE!$M$53:$M$64))/AKTIVITY_POZICIE!$B$41*12,IF((AKTIVITY_POZICIE!$B$53-12*('TCO TO BE- SW'!$D152-1))&lt;0,0,(AKTIVITY_POZICIE!$B$53-12*('TCO TO BE- SW'!$D152-1))*((K$4+'TCO TO BE - HW'!K$4)/($E$4+'TCO TO BE - HW'!$E$4)*SUM(AKTIVITY_POZICIE!$M$53:$M$64))/AKTIVITY_POZICIE!$B$53)),0)</f>
        <v>7017.1036139997595</v>
      </c>
      <c r="L162" s="576">
        <f>IFERROR(IF((POZICIE_INTERNE!$B$52-12*('TCO TO BE- SW'!$D152-1))&gt;12,((L$4+'TCO TO BE - HW'!L$4)/($E$4+'TCO TO BE - HW'!$E$4)*SUM(POZICIE_INTERNE!$I$52:$I$63))/POZICIE_INTERNE!$B$52*12,IF((POZICIE_INTERNE!$B$52-12*('TCO TO BE- SW'!$D152-1))&lt;0,0,(POZICIE_INTERNE!$B$52-12*('TCO TO BE- SW'!$D152-1))*((L$4+'TCO TO BE - HW'!L$4)/($E$4+'TCO TO BE - HW'!$E$4)*SUM(POZICIE_INTERNE!$I$52:$I$63))/POZICIE_INTERNE!$B$52)),0)+IFERROR(IF((AKTIVITY_POZICIE!$B$53-12*('TCO TO BE- SW'!$D152-1))&gt;12,((L$4+'TCO TO BE - HW'!L$4)/($E$4+'TCO TO BE - HW'!$E$4)*SUM(AKTIVITY_POZICIE!$M$53:$M$64))/AKTIVITY_POZICIE!$B$41*12,IF((AKTIVITY_POZICIE!$B$53-12*('TCO TO BE- SW'!$D152-1))&lt;0,0,(AKTIVITY_POZICIE!$B$53-12*('TCO TO BE- SW'!$D152-1))*((L$4+'TCO TO BE - HW'!L$4)/($E$4+'TCO TO BE - HW'!$E$4)*SUM(AKTIVITY_POZICIE!$M$53:$M$64))/AKTIVITY_POZICIE!$B$53)),0)</f>
        <v>2320.1713562418563</v>
      </c>
      <c r="M162" s="576">
        <f>IFERROR(IF((POZICIE_INTERNE!$B$52-12*('TCO TO BE- SW'!$D152-1))&gt;12,((M$4+'TCO TO BE - HW'!M$4)/($E$4+'TCO TO BE - HW'!$E$4)*SUM(POZICIE_INTERNE!$I$52:$I$63))/POZICIE_INTERNE!$B$52*12,IF((POZICIE_INTERNE!$B$52-12*('TCO TO BE- SW'!$D152-1))&lt;0,0,(POZICIE_INTERNE!$B$52-12*('TCO TO BE- SW'!$D152-1))*((M$4+'TCO TO BE - HW'!M$4)/($E$4+'TCO TO BE - HW'!$E$4)*SUM(POZICIE_INTERNE!$I$52:$I$63))/POZICIE_INTERNE!$B$52)),0)+IFERROR(IF((AKTIVITY_POZICIE!$B$53-12*('TCO TO BE- SW'!$D152-1))&gt;12,((M$4+'TCO TO BE - HW'!M$4)/($E$4+'TCO TO BE - HW'!$E$4)*SUM(AKTIVITY_POZICIE!$M$53:$M$64))/AKTIVITY_POZICIE!$B$41*12,IF((AKTIVITY_POZICIE!$B$53-12*('TCO TO BE- SW'!$D152-1))&lt;0,0,(AKTIVITY_POZICIE!$B$53-12*('TCO TO BE- SW'!$D152-1))*((M$4+'TCO TO BE - HW'!M$4)/($E$4+'TCO TO BE - HW'!$E$4)*SUM(AKTIVITY_POZICIE!$M$53:$M$64))/AKTIVITY_POZICIE!$B$53)),0)</f>
        <v>1980.6340845967065</v>
      </c>
      <c r="N162" s="576">
        <f>IFERROR(IF((POZICIE_INTERNE!$B$52-12*('TCO TO BE- SW'!$D152-1))&gt;12,((N$4+'TCO TO BE - HW'!N$4)/($E$4+'TCO TO BE - HW'!$E$4)*SUM(POZICIE_INTERNE!$I$52:$I$63))/POZICIE_INTERNE!$B$52*12,IF((POZICIE_INTERNE!$B$52-12*('TCO TO BE- SW'!$D152-1))&lt;0,0,(POZICIE_INTERNE!$B$52-12*('TCO TO BE- SW'!$D152-1))*((N$4+'TCO TO BE - HW'!N$4)/($E$4+'TCO TO BE - HW'!$E$4)*SUM(POZICIE_INTERNE!$I$52:$I$63))/POZICIE_INTERNE!$B$52)),0)+IFERROR(IF((AKTIVITY_POZICIE!$B$53-12*('TCO TO BE- SW'!$D152-1))&gt;12,((N$4+'TCO TO BE - HW'!N$4)/($E$4+'TCO TO BE - HW'!$E$4)*SUM(AKTIVITY_POZICIE!$M$53:$M$64))/AKTIVITY_POZICIE!$B$41*12,IF((AKTIVITY_POZICIE!$B$53-12*('TCO TO BE- SW'!$D152-1))&lt;0,0,(AKTIVITY_POZICIE!$B$53-12*('TCO TO BE- SW'!$D152-1))*((N$4+'TCO TO BE - HW'!N$4)/($E$4+'TCO TO BE - HW'!$E$4)*SUM(AKTIVITY_POZICIE!$M$53:$M$64))/AKTIVITY_POZICIE!$B$53)),0)</f>
        <v>5786.2810042860929</v>
      </c>
      <c r="O162" s="576">
        <f>IFERROR(IF((POZICIE_INTERNE!$B$52-12*('TCO TO BE- SW'!$D152-1))&gt;12,((O$4+'TCO TO BE - HW'!O$4)/($E$4+'TCO TO BE - HW'!$E$4)*SUM(POZICIE_INTERNE!$I$52:$I$63))/POZICIE_INTERNE!$B$52*12,IF((POZICIE_INTERNE!$B$52-12*('TCO TO BE- SW'!$D152-1))&lt;0,0,(POZICIE_INTERNE!$B$52-12*('TCO TO BE- SW'!$D152-1))*((O$4+'TCO TO BE - HW'!O$4)/($E$4+'TCO TO BE - HW'!$E$4)*SUM(POZICIE_INTERNE!$I$52:$I$63))/POZICIE_INTERNE!$B$52)),0)+IFERROR(IF((AKTIVITY_POZICIE!$B$53-12*('TCO TO BE- SW'!$D152-1))&gt;12,((O$4+'TCO TO BE - HW'!O$4)/($E$4+'TCO TO BE - HW'!$E$4)*SUM(AKTIVITY_POZICIE!$M$53:$M$64))/AKTIVITY_POZICIE!$B$41*12,IF((AKTIVITY_POZICIE!$B$53-12*('TCO TO BE- SW'!$D152-1))&lt;0,0,(AKTIVITY_POZICIE!$B$53-12*('TCO TO BE- SW'!$D152-1))*((O$4+'TCO TO BE - HW'!O$4)/($E$4+'TCO TO BE - HW'!$E$4)*SUM(AKTIVITY_POZICIE!$M$53:$M$64))/AKTIVITY_POZICIE!$B$53)),0)</f>
        <v>6889.7771371328299</v>
      </c>
      <c r="P162" s="576">
        <f>IFERROR(IF((POZICIE_INTERNE!$B$52-12*('TCO TO BE- SW'!$D152-1))&gt;12,((P$4+'TCO TO BE - HW'!P$4)/($E$4+'TCO TO BE - HW'!$E$4)*SUM(POZICIE_INTERNE!$I$52:$I$63))/POZICIE_INTERNE!$B$52*12,IF((POZICIE_INTERNE!$B$52-12*('TCO TO BE- SW'!$D152-1))&lt;0,0,(POZICIE_INTERNE!$B$52-12*('TCO TO BE- SW'!$D152-1))*((P$4+'TCO TO BE - HW'!P$4)/($E$4+'TCO TO BE - HW'!$E$4)*SUM(POZICIE_INTERNE!$I$52:$I$63))/POZICIE_INTERNE!$B$52)),0)+IFERROR(IF((AKTIVITY_POZICIE!$B$53-12*('TCO TO BE- SW'!$D152-1))&gt;12,((P$4+'TCO TO BE - HW'!P$4)/($E$4+'TCO TO BE - HW'!$E$4)*SUM(AKTIVITY_POZICIE!$M$53:$M$64))/AKTIVITY_POZICIE!$B$41*12,IF((AKTIVITY_POZICIE!$B$53-12*('TCO TO BE- SW'!$D152-1))&lt;0,0,(AKTIVITY_POZICIE!$B$53-12*('TCO TO BE- SW'!$D152-1))*((P$4+'TCO TO BE - HW'!P$4)/($E$4+'TCO TO BE - HW'!$E$4)*SUM(AKTIVITY_POZICIE!$M$53:$M$64))/AKTIVITY_POZICIE!$B$53)),0)</f>
        <v>1570.3598813588176</v>
      </c>
      <c r="Q162" s="576">
        <f>IFERROR(IF((POZICIE_INTERNE!$B$52-12*('TCO TO BE- SW'!$D152-1))&gt;12,((Q$4+'TCO TO BE - HW'!Q$4)/($E$4+'TCO TO BE - HW'!$E$4)*SUM(POZICIE_INTERNE!$I$52:$I$63))/POZICIE_INTERNE!$B$52*12,IF((POZICIE_INTERNE!$B$52-12*('TCO TO BE- SW'!$D152-1))&lt;0,0,(POZICIE_INTERNE!$B$52-12*('TCO TO BE- SW'!$D152-1))*((Q$4+'TCO TO BE - HW'!Q$4)/($E$4+'TCO TO BE - HW'!$E$4)*SUM(POZICIE_INTERNE!$I$52:$I$63))/POZICIE_INTERNE!$B$52)),0)+IFERROR(IF((AKTIVITY_POZICIE!$B$53-12*('TCO TO BE- SW'!$D152-1))&gt;12,((Q$4+'TCO TO BE - HW'!Q$4)/($E$4+'TCO TO BE - HW'!$E$4)*SUM(AKTIVITY_POZICIE!$M$53:$M$64))/AKTIVITY_POZICIE!$B$41*12,IF((AKTIVITY_POZICIE!$B$53-12*('TCO TO BE- SW'!$D152-1))&lt;0,0,(AKTIVITY_POZICIE!$B$53-12*('TCO TO BE- SW'!$D152-1))*((Q$4+'TCO TO BE - HW'!Q$4)/($E$4+'TCO TO BE - HW'!$E$4)*SUM(AKTIVITY_POZICIE!$M$53:$M$64))/AKTIVITY_POZICIE!$B$53)),0)</f>
        <v>353.68465796369765</v>
      </c>
      <c r="R162" s="576">
        <f>IFERROR(IF((POZICIE_INTERNE!$B$52-12*('TCO TO BE- SW'!$D152-1))&gt;12,((R$4+'TCO TO BE - HW'!R$4)/($E$4+'TCO TO BE - HW'!$E$4)*SUM(POZICIE_INTERNE!$I$52:$I$63))/POZICIE_INTERNE!$B$52*12,IF((POZICIE_INTERNE!$B$52-12*('TCO TO BE- SW'!$D152-1))&lt;0,0,(POZICIE_INTERNE!$B$52-12*('TCO TO BE- SW'!$D152-1))*((R$4+'TCO TO BE - HW'!R$4)/($E$4+'TCO TO BE - HW'!$E$4)*SUM(POZICIE_INTERNE!$I$52:$I$63))/POZICIE_INTERNE!$B$52)),0)+IFERROR(IF((AKTIVITY_POZICIE!$B$53-12*('TCO TO BE- SW'!$D152-1))&gt;12,((R$4+'TCO TO BE - HW'!R$4)/($E$4+'TCO TO BE - HW'!$E$4)*SUM(AKTIVITY_POZICIE!$M$53:$M$64))/AKTIVITY_POZICIE!$B$41*12,IF((AKTIVITY_POZICIE!$B$53-12*('TCO TO BE- SW'!$D152-1))&lt;0,0,(AKTIVITY_POZICIE!$B$53-12*('TCO TO BE- SW'!$D152-1))*((R$4+'TCO TO BE - HW'!R$4)/($E$4+'TCO TO BE - HW'!$E$4)*SUM(AKTIVITY_POZICIE!$M$53:$M$64))/AKTIVITY_POZICIE!$B$53)),0)</f>
        <v>2787.035104753937</v>
      </c>
      <c r="S162" s="576">
        <f>IFERROR(IF((POZICIE_INTERNE!$B$52-12*('TCO TO BE- SW'!$D152-1))&gt;12,((S$4+'TCO TO BE - HW'!S$4)/($E$4+'TCO TO BE - HW'!$E$4)*SUM(POZICIE_INTERNE!$I$52:$I$63))/POZICIE_INTERNE!$B$52*12,IF((POZICIE_INTERNE!$B$52-12*('TCO TO BE- SW'!$D152-1))&lt;0,0,(POZICIE_INTERNE!$B$52-12*('TCO TO BE- SW'!$D152-1))*((S$4+'TCO TO BE - HW'!S$4)/($E$4+'TCO TO BE - HW'!$E$4)*SUM(POZICIE_INTERNE!$I$52:$I$63))/POZICIE_INTERNE!$B$52)),0)+IFERROR(IF((AKTIVITY_POZICIE!$B$53-12*('TCO TO BE- SW'!$D152-1))&gt;12,((S$4+'TCO TO BE - HW'!S$4)/($E$4+'TCO TO BE - HW'!$E$4)*SUM(AKTIVITY_POZICIE!$M$53:$M$64))/AKTIVITY_POZICIE!$B$41*12,IF((AKTIVITY_POZICIE!$B$53-12*('TCO TO BE- SW'!$D152-1))&lt;0,0,(AKTIVITY_POZICIE!$B$53-12*('TCO TO BE- SW'!$D152-1))*((S$4+'TCO TO BE - HW'!S$4)/($E$4+'TCO TO BE - HW'!$E$4)*SUM(AKTIVITY_POZICIE!$M$53:$M$64))/AKTIVITY_POZICIE!$B$53)),0)</f>
        <v>1909.8971530039671</v>
      </c>
      <c r="T162" s="576">
        <f>IFERROR(IF((POZICIE_INTERNE!$B$52-12*('TCO TO BE- SW'!$D152-1))&gt;12,((T$4+'TCO TO BE - HW'!T$4)/($E$4+'TCO TO BE - HW'!$E$4)*SUM(POZICIE_INTERNE!$I$52:$I$63))/POZICIE_INTERNE!$B$52*12,IF((POZICIE_INTERNE!$B$52-12*('TCO TO BE- SW'!$D152-1))&lt;0,0,(POZICIE_INTERNE!$B$52-12*('TCO TO BE- SW'!$D152-1))*((T$4+'TCO TO BE - HW'!T$4)/($E$4+'TCO TO BE - HW'!$E$4)*SUM(POZICIE_INTERNE!$I$52:$I$63))/POZICIE_INTERNE!$B$52)),0)+IFERROR(IF((AKTIVITY_POZICIE!$B$53-12*('TCO TO BE- SW'!$D152-1))&gt;12,((T$4+'TCO TO BE - HW'!T$4)/($E$4+'TCO TO BE - HW'!$E$4)*SUM(AKTIVITY_POZICIE!$M$53:$M$64))/AKTIVITY_POZICIE!$B$41*12,IF((AKTIVITY_POZICIE!$B$53-12*('TCO TO BE- SW'!$D152-1))&lt;0,0,(AKTIVITY_POZICIE!$B$53-12*('TCO TO BE- SW'!$D152-1))*((T$4+'TCO TO BE - HW'!T$4)/($E$4+'TCO TO BE - HW'!$E$4)*SUM(AKTIVITY_POZICIE!$M$53:$M$64))/AKTIVITY_POZICIE!$B$53)),0)</f>
        <v>5715.544072693353</v>
      </c>
      <c r="U162" s="576">
        <f>IFERROR(IF((POZICIE_INTERNE!$B$52-12*('TCO TO BE- SW'!$D152-1))&gt;12,((U$4+'TCO TO BE - HW'!U$4)/($E$4+'TCO TO BE - HW'!$E$4)*SUM(POZICIE_INTERNE!$I$52:$I$63))/POZICIE_INTERNE!$B$52*12,IF((POZICIE_INTERNE!$B$52-12*('TCO TO BE- SW'!$D152-1))&lt;0,0,(POZICIE_INTERNE!$B$52-12*('TCO TO BE- SW'!$D152-1))*((U$4+'TCO TO BE - HW'!U$4)/($E$4+'TCO TO BE - HW'!$E$4)*SUM(POZICIE_INTERNE!$I$52:$I$63))/POZICIE_INTERNE!$B$52)),0)+IFERROR(IF((AKTIVITY_POZICIE!$B$53-12*('TCO TO BE- SW'!$D152-1))&gt;12,((U$4+'TCO TO BE - HW'!U$4)/($E$4+'TCO TO BE - HW'!$E$4)*SUM(AKTIVITY_POZICIE!$M$53:$M$64))/AKTIVITY_POZICIE!$B$41*12,IF((AKTIVITY_POZICIE!$B$53-12*('TCO TO BE- SW'!$D152-1))&lt;0,0,(AKTIVITY_POZICIE!$B$53-12*('TCO TO BE- SW'!$D152-1))*((U$4+'TCO TO BE - HW'!U$4)/($E$4+'TCO TO BE - HW'!$E$4)*SUM(AKTIVITY_POZICIE!$M$53:$M$64))/AKTIVITY_POZICIE!$B$53)),0)</f>
        <v>4456.4266903425905</v>
      </c>
      <c r="V162" s="576">
        <f>IFERROR(IF((POZICIE_INTERNE!$B$52-12*('TCO TO BE- SW'!$D152-1))&gt;12,((V$4+'TCO TO BE - HW'!V$4)/($E$4+'TCO TO BE - HW'!$E$4)*SUM(POZICIE_INTERNE!$I$52:$I$63))/POZICIE_INTERNE!$B$52*12,IF((POZICIE_INTERNE!$B$52-12*('TCO TO BE- SW'!$D152-1))&lt;0,0,(POZICIE_INTERNE!$B$52-12*('TCO TO BE- SW'!$D152-1))*((V$4+'TCO TO BE - HW'!V$4)/($E$4+'TCO TO BE - HW'!$E$4)*SUM(POZICIE_INTERNE!$I$52:$I$63))/POZICIE_INTERNE!$B$52)),0)+IFERROR(IF((AKTIVITY_POZICIE!$B$53-12*('TCO TO BE- SW'!$D152-1))&gt;12,((V$4+'TCO TO BE - HW'!V$4)/($E$4+'TCO TO BE - HW'!$E$4)*SUM(AKTIVITY_POZICIE!$M$53:$M$64))/AKTIVITY_POZICIE!$B$41*12,IF((AKTIVITY_POZICIE!$B$53-12*('TCO TO BE- SW'!$D152-1))&lt;0,0,(AKTIVITY_POZICIE!$B$53-12*('TCO TO BE- SW'!$D152-1))*((V$4+'TCO TO BE - HW'!V$4)/($E$4+'TCO TO BE - HW'!$E$4)*SUM(AKTIVITY_POZICIE!$M$53:$M$64))/AKTIVITY_POZICIE!$B$53)),0)</f>
        <v>3848.08907864503</v>
      </c>
      <c r="W162" s="576">
        <f>IFERROR(IF((POZICIE_INTERNE!$B$52-12*('TCO TO BE- SW'!$D152-1))&gt;12,((W$4+'TCO TO BE - HW'!W$4)/($E$4+'TCO TO BE - HW'!$E$4)*SUM(POZICIE_INTERNE!$I$52:$I$63))/POZICIE_INTERNE!$B$52*12,IF((POZICIE_INTERNE!$B$52-12*('TCO TO BE- SW'!$D152-1))&lt;0,0,(POZICIE_INTERNE!$B$52-12*('TCO TO BE- SW'!$D152-1))*((W$4+'TCO TO BE - HW'!W$4)/($E$4+'TCO TO BE - HW'!$E$4)*SUM(POZICIE_INTERNE!$I$52:$I$63))/POZICIE_INTERNE!$B$52)),0)+IFERROR(IF((AKTIVITY_POZICIE!$B$53-12*('TCO TO BE- SW'!$D152-1))&gt;12,((W$4+'TCO TO BE - HW'!W$4)/($E$4+'TCO TO BE - HW'!$E$4)*SUM(AKTIVITY_POZICIE!$M$53:$M$64))/AKTIVITY_POZICIE!$B$41*12,IF((AKTIVITY_POZICIE!$B$53-12*('TCO TO BE- SW'!$D152-1))&lt;0,0,(AKTIVITY_POZICIE!$B$53-12*('TCO TO BE- SW'!$D152-1))*((W$4+'TCO TO BE - HW'!W$4)/($E$4+'TCO TO BE - HW'!$E$4)*SUM(AKTIVITY_POZICIE!$M$53:$M$64))/AKTIVITY_POZICIE!$B$53)),0)</f>
        <v>8488.4317911287399</v>
      </c>
      <c r="X162" s="576">
        <f>IFERROR(IF((POZICIE_INTERNE!$B$52-12*('TCO TO BE- SW'!$D152-1))&gt;12,((X$4+'TCO TO BE - HW'!X$4)/($E$4+'TCO TO BE - HW'!$E$4)*SUM(POZICIE_INTERNE!$I$52:$I$63))/POZICIE_INTERNE!$B$52*12,IF((POZICIE_INTERNE!$B$52-12*('TCO TO BE- SW'!$D152-1))&lt;0,0,(POZICIE_INTERNE!$B$52-12*('TCO TO BE- SW'!$D152-1))*((X$4+'TCO TO BE - HW'!X$4)/($E$4+'TCO TO BE - HW'!$E$4)*SUM(POZICIE_INTERNE!$I$52:$I$63))/POZICIE_INTERNE!$B$52)),0)+IFERROR(IF((AKTIVITY_POZICIE!$B$53-12*('TCO TO BE- SW'!$D152-1))&gt;12,((X$4+'TCO TO BE - HW'!X$4)/($E$4+'TCO TO BE - HW'!$E$4)*SUM(AKTIVITY_POZICIE!$M$53:$M$64))/AKTIVITY_POZICIE!$B$41*12,IF((AKTIVITY_POZICIE!$B$53-12*('TCO TO BE- SW'!$D152-1))&lt;0,0,(AKTIVITY_POZICIE!$B$53-12*('TCO TO BE- SW'!$D152-1))*((X$4+'TCO TO BE - HW'!X$4)/($E$4+'TCO TO BE - HW'!$E$4)*SUM(AKTIVITY_POZICIE!$M$53:$M$64))/AKTIVITY_POZICIE!$B$53)),0)</f>
        <v>12789.237231967303</v>
      </c>
      <c r="Y162" s="576">
        <f>IFERROR(IF((POZICIE_INTERNE!$B$52-12*('TCO TO BE- SW'!$D152-1))&gt;12,((Y$4+'TCO TO BE - HW'!Y$4)/($E$4+'TCO TO BE - HW'!$E$4)*SUM(POZICIE_INTERNE!$I$52:$I$63))/POZICIE_INTERNE!$B$52*12,IF((POZICIE_INTERNE!$B$52-12*('TCO TO BE- SW'!$D152-1))&lt;0,0,(POZICIE_INTERNE!$B$52-12*('TCO TO BE- SW'!$D152-1))*((Y$4+'TCO TO BE - HW'!Y$4)/($E$4+'TCO TO BE - HW'!$E$4)*SUM(POZICIE_INTERNE!$I$52:$I$63))/POZICIE_INTERNE!$B$52)),0)+IFERROR(IF((AKTIVITY_POZICIE!$B$53-12*('TCO TO BE- SW'!$D152-1))&gt;12,((Y$4+'TCO TO BE - HW'!Y$4)/($E$4+'TCO TO BE - HW'!$E$4)*SUM(AKTIVITY_POZICIE!$M$53:$M$64))/AKTIVITY_POZICIE!$B$41*12,IF((AKTIVITY_POZICIE!$B$53-12*('TCO TO BE- SW'!$D152-1))&lt;0,0,(AKTIVITY_POZICIE!$B$53-12*('TCO TO BE- SW'!$D152-1))*((Y$4+'TCO TO BE - HW'!Y$4)/($E$4+'TCO TO BE - HW'!$E$4)*SUM(AKTIVITY_POZICIE!$M$53:$M$64))/AKTIVITY_POZICIE!$B$53)),0)</f>
        <v>0</v>
      </c>
      <c r="Z162" s="576">
        <f>IFERROR(IF((POZICIE_INTERNE!$B$52-12*('TCO TO BE- SW'!$D152-1))&gt;12,((Z$4+'TCO TO BE - HW'!Z$4)/($E$4+'TCO TO BE - HW'!$E$4)*SUM(POZICIE_INTERNE!$I$52:$I$63))/POZICIE_INTERNE!$B$52*12,IF((POZICIE_INTERNE!$B$52-12*('TCO TO BE- SW'!$D152-1))&lt;0,0,(POZICIE_INTERNE!$B$52-12*('TCO TO BE- SW'!$D152-1))*((Z$4+'TCO TO BE - HW'!Z$4)/($E$4+'TCO TO BE - HW'!$E$4)*SUM(POZICIE_INTERNE!$I$52:$I$63))/POZICIE_INTERNE!$B$52)),0)+IFERROR(IF((AKTIVITY_POZICIE!$B$53-12*('TCO TO BE- SW'!$D152-1))&gt;12,((Z$4+'TCO TO BE - HW'!Z$4)/($E$4+'TCO TO BE - HW'!$E$4)*SUM(AKTIVITY_POZICIE!$M$53:$M$64))/AKTIVITY_POZICIE!$B$41*12,IF((AKTIVITY_POZICIE!$B$53-12*('TCO TO BE- SW'!$D152-1))&lt;0,0,(AKTIVITY_POZICIE!$B$53-12*('TCO TO BE- SW'!$D152-1))*((Z$4+'TCO TO BE - HW'!Z$4)/($E$4+'TCO TO BE - HW'!$E$4)*SUM(AKTIVITY_POZICIE!$M$53:$M$64))/AKTIVITY_POZICIE!$B$53)),0)</f>
        <v>0</v>
      </c>
    </row>
    <row r="163" spans="1:26">
      <c r="A163" s="875"/>
      <c r="B163" s="876"/>
      <c r="C163" s="876"/>
      <c r="D163" s="64">
        <v>3</v>
      </c>
      <c r="E163" s="68">
        <f t="shared" si="16"/>
        <v>210153.51130666665</v>
      </c>
      <c r="F163" s="576">
        <f>IFERROR(IF((POZICIE_INTERNE!$B$52-12*('TCO TO BE- SW'!$D153-1))&gt;12,((F$4+'TCO TO BE - HW'!F$4)/($E$4+'TCO TO BE - HW'!$E$4)*SUM(POZICIE_INTERNE!$I$52:$I$63))/POZICIE_INTERNE!$B$52*12,IF((POZICIE_INTERNE!$B$52-12*('TCO TO BE- SW'!$D153-1))&lt;0,0,(POZICIE_INTERNE!$B$52-12*('TCO TO BE- SW'!$D153-1))*((F$4+'TCO TO BE - HW'!F$4)/($E$4+'TCO TO BE - HW'!$E$4)*SUM(POZICIE_INTERNE!$I$52:$I$63))/POZICIE_INTERNE!$B$52)),0)+IFERROR(IF((AKTIVITY_POZICIE!$B$53-12*('TCO TO BE- SW'!$D153-1))&gt;12,((F$4+'TCO TO BE - HW'!F$4)/($E$4+'TCO TO BE - HW'!$E$4)*SUM(AKTIVITY_POZICIE!$M$53:$M$64))/AKTIVITY_POZICIE!$B$41*12,IF((AKTIVITY_POZICIE!$B$53-12*('TCO TO BE- SW'!$D153-1))&lt;0,0,(AKTIVITY_POZICIE!$B$53-12*('TCO TO BE- SW'!$D153-1))*((F$4+'TCO TO BE - HW'!F$4)/($E$4+'TCO TO BE - HW'!$E$4)*SUM(AKTIVITY_POZICIE!$M$53:$M$64))/AKTIVITY_POZICIE!$B$53)),0)</f>
        <v>12577.026437189086</v>
      </c>
      <c r="G163" s="576">
        <f>IFERROR(IF((POZICIE_INTERNE!$B$52-12*('TCO TO BE- SW'!$D153-1))&gt;12,((G$4+'TCO TO BE - HW'!G$4)/($E$4+'TCO TO BE - HW'!$E$4)*SUM(POZICIE_INTERNE!$I$52:$I$63))/POZICIE_INTERNE!$B$52*12,IF((POZICIE_INTERNE!$B$52-12*('TCO TO BE- SW'!$D153-1))&lt;0,0,(POZICIE_INTERNE!$B$52-12*('TCO TO BE- SW'!$D153-1))*((G$4+'TCO TO BE - HW'!G$4)/($E$4+'TCO TO BE - HW'!$E$4)*SUM(POZICIE_INTERNE!$I$52:$I$63))/POZICIE_INTERNE!$B$52)),0)+IFERROR(IF((AKTIVITY_POZICIE!$B$53-12*('TCO TO BE- SW'!$D153-1))&gt;12,((G$4+'TCO TO BE - HW'!G$4)/($E$4+'TCO TO BE - HW'!$E$4)*SUM(AKTIVITY_POZICIE!$M$53:$M$64))/AKTIVITY_POZICIE!$B$41*12,IF((AKTIVITY_POZICIE!$B$53-12*('TCO TO BE- SW'!$D153-1))&lt;0,0,(AKTIVITY_POZICIE!$B$53-12*('TCO TO BE- SW'!$D153-1))*((G$4+'TCO TO BE - HW'!G$4)/($E$4+'TCO TO BE - HW'!$E$4)*SUM(AKTIVITY_POZICIE!$M$53:$M$64))/AKTIVITY_POZICIE!$B$53)),0)</f>
        <v>42399.716796688066</v>
      </c>
      <c r="H163" s="576">
        <f>IFERROR(IF((POZICIE_INTERNE!$B$52-12*('TCO TO BE- SW'!$D153-1))&gt;12,((H$4+'TCO TO BE - HW'!H$4)/($E$4+'TCO TO BE - HW'!$E$4)*SUM(POZICIE_INTERNE!$I$52:$I$63))/POZICIE_INTERNE!$B$52*12,IF((POZICIE_INTERNE!$B$52-12*('TCO TO BE- SW'!$D153-1))&lt;0,0,(POZICIE_INTERNE!$B$52-12*('TCO TO BE- SW'!$D153-1))*((H$4+'TCO TO BE - HW'!H$4)/($E$4+'TCO TO BE - HW'!$E$4)*SUM(POZICIE_INTERNE!$I$52:$I$63))/POZICIE_INTERNE!$B$52)),0)+IFERROR(IF((AKTIVITY_POZICIE!$B$53-12*('TCO TO BE- SW'!$D153-1))&gt;12,((H$4+'TCO TO BE - HW'!H$4)/($E$4+'TCO TO BE - HW'!$E$4)*SUM(AKTIVITY_POZICIE!$M$53:$M$64))/AKTIVITY_POZICIE!$B$41*12,IF((AKTIVITY_POZICIE!$B$53-12*('TCO TO BE- SW'!$D153-1))&lt;0,0,(AKTIVITY_POZICIE!$B$53-12*('TCO TO BE- SW'!$D153-1))*((H$4+'TCO TO BE - HW'!H$4)/($E$4+'TCO TO BE - HW'!$E$4)*SUM(AKTIVITY_POZICIE!$M$53:$M$64))/AKTIVITY_POZICIE!$B$53)),0)</f>
        <v>55918.705661857435</v>
      </c>
      <c r="I163" s="576">
        <f>IFERROR(IF((POZICIE_INTERNE!$B$52-12*('TCO TO BE- SW'!$D153-1))&gt;12,((I$4+'TCO TO BE - HW'!I$4)/($E$4+'TCO TO BE - HW'!$E$4)*SUM(POZICIE_INTERNE!$I$52:$I$63))/POZICIE_INTERNE!$B$52*12,IF((POZICIE_INTERNE!$B$52-12*('TCO TO BE- SW'!$D153-1))&lt;0,0,(POZICIE_INTERNE!$B$52-12*('TCO TO BE- SW'!$D153-1))*((I$4+'TCO TO BE - HW'!I$4)/($E$4+'TCO TO BE - HW'!$E$4)*SUM(POZICIE_INTERNE!$I$52:$I$63))/POZICIE_INTERNE!$B$52)),0)+IFERROR(IF((AKTIVITY_POZICIE!$B$53-12*('TCO TO BE- SW'!$D153-1))&gt;12,((I$4+'TCO TO BE - HW'!I$4)/($E$4+'TCO TO BE - HW'!$E$4)*SUM(AKTIVITY_POZICIE!$M$53:$M$64))/AKTIVITY_POZICIE!$B$41*12,IF((AKTIVITY_POZICIE!$B$53-12*('TCO TO BE- SW'!$D153-1))&lt;0,0,(AKTIVITY_POZICIE!$B$53-12*('TCO TO BE- SW'!$D153-1))*((I$4+'TCO TO BE - HW'!I$4)/($E$4+'TCO TO BE - HW'!$E$4)*SUM(AKTIVITY_POZICIE!$M$53:$M$64))/AKTIVITY_POZICIE!$B$53)),0)</f>
        <v>8332.8105416247163</v>
      </c>
      <c r="J163" s="576">
        <f>IFERROR(IF((POZICIE_INTERNE!$B$52-12*('TCO TO BE- SW'!$D153-1))&gt;12,((J$4+'TCO TO BE - HW'!J$4)/($E$4+'TCO TO BE - HW'!$E$4)*SUM(POZICIE_INTERNE!$I$52:$I$63))/POZICIE_INTERNE!$B$52*12,IF((POZICIE_INTERNE!$B$52-12*('TCO TO BE- SW'!$D153-1))&lt;0,0,(POZICIE_INTERNE!$B$52-12*('TCO TO BE- SW'!$D153-1))*((J$4+'TCO TO BE - HW'!J$4)/($E$4+'TCO TO BE - HW'!$E$4)*SUM(POZICIE_INTERNE!$I$52:$I$63))/POZICIE_INTERNE!$B$52)),0)+IFERROR(IF((AKTIVITY_POZICIE!$B$53-12*('TCO TO BE- SW'!$D153-1))&gt;12,((J$4+'TCO TO BE - HW'!J$4)/($E$4+'TCO TO BE - HW'!$E$4)*SUM(AKTIVITY_POZICIE!$M$53:$M$64))/AKTIVITY_POZICIE!$B$41*12,IF((AKTIVITY_POZICIE!$B$53-12*('TCO TO BE- SW'!$D153-1))&lt;0,0,(AKTIVITY_POZICIE!$B$53-12*('TCO TO BE- SW'!$D153-1))*((J$4+'TCO TO BE - HW'!J$4)/($E$4+'TCO TO BE - HW'!$E$4)*SUM(AKTIVITY_POZICIE!$M$53:$M$64))/AKTIVITY_POZICIE!$B$53)),0)</f>
        <v>25012.579011192694</v>
      </c>
      <c r="K163" s="576">
        <f>IFERROR(IF((POZICIE_INTERNE!$B$52-12*('TCO TO BE- SW'!$D153-1))&gt;12,((K$4+'TCO TO BE - HW'!K$4)/($E$4+'TCO TO BE - HW'!$E$4)*SUM(POZICIE_INTERNE!$I$52:$I$63))/POZICIE_INTERNE!$B$52*12,IF((POZICIE_INTERNE!$B$52-12*('TCO TO BE- SW'!$D153-1))&lt;0,0,(POZICIE_INTERNE!$B$52-12*('TCO TO BE- SW'!$D153-1))*((K$4+'TCO TO BE - HW'!K$4)/($E$4+'TCO TO BE - HW'!$E$4)*SUM(POZICIE_INTERNE!$I$52:$I$63))/POZICIE_INTERNE!$B$52)),0)+IFERROR(IF((AKTIVITY_POZICIE!$B$53-12*('TCO TO BE- SW'!$D153-1))&gt;12,((K$4+'TCO TO BE - HW'!K$4)/($E$4+'TCO TO BE - HW'!$E$4)*SUM(AKTIVITY_POZICIE!$M$53:$M$64))/AKTIVITY_POZICIE!$B$41*12,IF((AKTIVITY_POZICIE!$B$53-12*('TCO TO BE- SW'!$D153-1))&lt;0,0,(AKTIVITY_POZICIE!$B$53-12*('TCO TO BE- SW'!$D153-1))*((K$4+'TCO TO BE - HW'!K$4)/($E$4+'TCO TO BE - HW'!$E$4)*SUM(AKTIVITY_POZICIE!$M$53:$M$64))/AKTIVITY_POZICIE!$B$53)),0)</f>
        <v>7017.1036139997595</v>
      </c>
      <c r="L163" s="576">
        <f>IFERROR(IF((POZICIE_INTERNE!$B$52-12*('TCO TO BE- SW'!$D153-1))&gt;12,((L$4+'TCO TO BE - HW'!L$4)/($E$4+'TCO TO BE - HW'!$E$4)*SUM(POZICIE_INTERNE!$I$52:$I$63))/POZICIE_INTERNE!$B$52*12,IF((POZICIE_INTERNE!$B$52-12*('TCO TO BE- SW'!$D153-1))&lt;0,0,(POZICIE_INTERNE!$B$52-12*('TCO TO BE- SW'!$D153-1))*((L$4+'TCO TO BE - HW'!L$4)/($E$4+'TCO TO BE - HW'!$E$4)*SUM(POZICIE_INTERNE!$I$52:$I$63))/POZICIE_INTERNE!$B$52)),0)+IFERROR(IF((AKTIVITY_POZICIE!$B$53-12*('TCO TO BE- SW'!$D153-1))&gt;12,((L$4+'TCO TO BE - HW'!L$4)/($E$4+'TCO TO BE - HW'!$E$4)*SUM(AKTIVITY_POZICIE!$M$53:$M$64))/AKTIVITY_POZICIE!$B$41*12,IF((AKTIVITY_POZICIE!$B$53-12*('TCO TO BE- SW'!$D153-1))&lt;0,0,(AKTIVITY_POZICIE!$B$53-12*('TCO TO BE- SW'!$D153-1))*((L$4+'TCO TO BE - HW'!L$4)/($E$4+'TCO TO BE - HW'!$E$4)*SUM(AKTIVITY_POZICIE!$M$53:$M$64))/AKTIVITY_POZICIE!$B$53)),0)</f>
        <v>2320.1713562418563</v>
      </c>
      <c r="M163" s="576">
        <f>IFERROR(IF((POZICIE_INTERNE!$B$52-12*('TCO TO BE- SW'!$D153-1))&gt;12,((M$4+'TCO TO BE - HW'!M$4)/($E$4+'TCO TO BE - HW'!$E$4)*SUM(POZICIE_INTERNE!$I$52:$I$63))/POZICIE_INTERNE!$B$52*12,IF((POZICIE_INTERNE!$B$52-12*('TCO TO BE- SW'!$D153-1))&lt;0,0,(POZICIE_INTERNE!$B$52-12*('TCO TO BE- SW'!$D153-1))*((M$4+'TCO TO BE - HW'!M$4)/($E$4+'TCO TO BE - HW'!$E$4)*SUM(POZICIE_INTERNE!$I$52:$I$63))/POZICIE_INTERNE!$B$52)),0)+IFERROR(IF((AKTIVITY_POZICIE!$B$53-12*('TCO TO BE- SW'!$D153-1))&gt;12,((M$4+'TCO TO BE - HW'!M$4)/($E$4+'TCO TO BE - HW'!$E$4)*SUM(AKTIVITY_POZICIE!$M$53:$M$64))/AKTIVITY_POZICIE!$B$41*12,IF((AKTIVITY_POZICIE!$B$53-12*('TCO TO BE- SW'!$D153-1))&lt;0,0,(AKTIVITY_POZICIE!$B$53-12*('TCO TO BE- SW'!$D153-1))*((M$4+'TCO TO BE - HW'!M$4)/($E$4+'TCO TO BE - HW'!$E$4)*SUM(AKTIVITY_POZICIE!$M$53:$M$64))/AKTIVITY_POZICIE!$B$53)),0)</f>
        <v>1980.634084596707</v>
      </c>
      <c r="N163" s="576">
        <f>IFERROR(IF((POZICIE_INTERNE!$B$52-12*('TCO TO BE- SW'!$D153-1))&gt;12,((N$4+'TCO TO BE - HW'!N$4)/($E$4+'TCO TO BE - HW'!$E$4)*SUM(POZICIE_INTERNE!$I$52:$I$63))/POZICIE_INTERNE!$B$52*12,IF((POZICIE_INTERNE!$B$52-12*('TCO TO BE- SW'!$D153-1))&lt;0,0,(POZICIE_INTERNE!$B$52-12*('TCO TO BE- SW'!$D153-1))*((N$4+'TCO TO BE - HW'!N$4)/($E$4+'TCO TO BE - HW'!$E$4)*SUM(POZICIE_INTERNE!$I$52:$I$63))/POZICIE_INTERNE!$B$52)),0)+IFERROR(IF((AKTIVITY_POZICIE!$B$53-12*('TCO TO BE- SW'!$D153-1))&gt;12,((N$4+'TCO TO BE - HW'!N$4)/($E$4+'TCO TO BE - HW'!$E$4)*SUM(AKTIVITY_POZICIE!$M$53:$M$64))/AKTIVITY_POZICIE!$B$41*12,IF((AKTIVITY_POZICIE!$B$53-12*('TCO TO BE- SW'!$D153-1))&lt;0,0,(AKTIVITY_POZICIE!$B$53-12*('TCO TO BE- SW'!$D153-1))*((N$4+'TCO TO BE - HW'!N$4)/($E$4+'TCO TO BE - HW'!$E$4)*SUM(AKTIVITY_POZICIE!$M$53:$M$64))/AKTIVITY_POZICIE!$B$53)),0)</f>
        <v>5786.2810042860929</v>
      </c>
      <c r="O163" s="576">
        <f>IFERROR(IF((POZICIE_INTERNE!$B$52-12*('TCO TO BE- SW'!$D153-1))&gt;12,((O$4+'TCO TO BE - HW'!O$4)/($E$4+'TCO TO BE - HW'!$E$4)*SUM(POZICIE_INTERNE!$I$52:$I$63))/POZICIE_INTERNE!$B$52*12,IF((POZICIE_INTERNE!$B$52-12*('TCO TO BE- SW'!$D153-1))&lt;0,0,(POZICIE_INTERNE!$B$52-12*('TCO TO BE- SW'!$D153-1))*((O$4+'TCO TO BE - HW'!O$4)/($E$4+'TCO TO BE - HW'!$E$4)*SUM(POZICIE_INTERNE!$I$52:$I$63))/POZICIE_INTERNE!$B$52)),0)+IFERROR(IF((AKTIVITY_POZICIE!$B$53-12*('TCO TO BE- SW'!$D153-1))&gt;12,((O$4+'TCO TO BE - HW'!O$4)/($E$4+'TCO TO BE - HW'!$E$4)*SUM(AKTIVITY_POZICIE!$M$53:$M$64))/AKTIVITY_POZICIE!$B$41*12,IF((AKTIVITY_POZICIE!$B$53-12*('TCO TO BE- SW'!$D153-1))&lt;0,0,(AKTIVITY_POZICIE!$B$53-12*('TCO TO BE- SW'!$D153-1))*((O$4+'TCO TO BE - HW'!O$4)/($E$4+'TCO TO BE - HW'!$E$4)*SUM(AKTIVITY_POZICIE!$M$53:$M$64))/AKTIVITY_POZICIE!$B$53)),0)</f>
        <v>6889.7771371328299</v>
      </c>
      <c r="P163" s="576">
        <f>IFERROR(IF((POZICIE_INTERNE!$B$52-12*('TCO TO BE- SW'!$D153-1))&gt;12,((P$4+'TCO TO BE - HW'!P$4)/($E$4+'TCO TO BE - HW'!$E$4)*SUM(POZICIE_INTERNE!$I$52:$I$63))/POZICIE_INTERNE!$B$52*12,IF((POZICIE_INTERNE!$B$52-12*('TCO TO BE- SW'!$D153-1))&lt;0,0,(POZICIE_INTERNE!$B$52-12*('TCO TO BE- SW'!$D153-1))*((P$4+'TCO TO BE - HW'!P$4)/($E$4+'TCO TO BE - HW'!$E$4)*SUM(POZICIE_INTERNE!$I$52:$I$63))/POZICIE_INTERNE!$B$52)),0)+IFERROR(IF((AKTIVITY_POZICIE!$B$53-12*('TCO TO BE- SW'!$D153-1))&gt;12,((P$4+'TCO TO BE - HW'!P$4)/($E$4+'TCO TO BE - HW'!$E$4)*SUM(AKTIVITY_POZICIE!$M$53:$M$64))/AKTIVITY_POZICIE!$B$41*12,IF((AKTIVITY_POZICIE!$B$53-12*('TCO TO BE- SW'!$D153-1))&lt;0,0,(AKTIVITY_POZICIE!$B$53-12*('TCO TO BE- SW'!$D153-1))*((P$4+'TCO TO BE - HW'!P$4)/($E$4+'TCO TO BE - HW'!$E$4)*SUM(AKTIVITY_POZICIE!$M$53:$M$64))/AKTIVITY_POZICIE!$B$53)),0)</f>
        <v>1570.3598813588173</v>
      </c>
      <c r="Q163" s="576">
        <f>IFERROR(IF((POZICIE_INTERNE!$B$52-12*('TCO TO BE- SW'!$D153-1))&gt;12,((Q$4+'TCO TO BE - HW'!Q$4)/($E$4+'TCO TO BE - HW'!$E$4)*SUM(POZICIE_INTERNE!$I$52:$I$63))/POZICIE_INTERNE!$B$52*12,IF((POZICIE_INTERNE!$B$52-12*('TCO TO BE- SW'!$D153-1))&lt;0,0,(POZICIE_INTERNE!$B$52-12*('TCO TO BE- SW'!$D153-1))*((Q$4+'TCO TO BE - HW'!Q$4)/($E$4+'TCO TO BE - HW'!$E$4)*SUM(POZICIE_INTERNE!$I$52:$I$63))/POZICIE_INTERNE!$B$52)),0)+IFERROR(IF((AKTIVITY_POZICIE!$B$53-12*('TCO TO BE- SW'!$D153-1))&gt;12,((Q$4+'TCO TO BE - HW'!Q$4)/($E$4+'TCO TO BE - HW'!$E$4)*SUM(AKTIVITY_POZICIE!$M$53:$M$64))/AKTIVITY_POZICIE!$B$41*12,IF((AKTIVITY_POZICIE!$B$53-12*('TCO TO BE- SW'!$D153-1))&lt;0,0,(AKTIVITY_POZICIE!$B$53-12*('TCO TO BE- SW'!$D153-1))*((Q$4+'TCO TO BE - HW'!Q$4)/($E$4+'TCO TO BE - HW'!$E$4)*SUM(AKTIVITY_POZICIE!$M$53:$M$64))/AKTIVITY_POZICIE!$B$53)),0)</f>
        <v>353.68465796369765</v>
      </c>
      <c r="R163" s="576">
        <f>IFERROR(IF((POZICIE_INTERNE!$B$52-12*('TCO TO BE- SW'!$D153-1))&gt;12,((R$4+'TCO TO BE - HW'!R$4)/($E$4+'TCO TO BE - HW'!$E$4)*SUM(POZICIE_INTERNE!$I$52:$I$63))/POZICIE_INTERNE!$B$52*12,IF((POZICIE_INTERNE!$B$52-12*('TCO TO BE- SW'!$D153-1))&lt;0,0,(POZICIE_INTERNE!$B$52-12*('TCO TO BE- SW'!$D153-1))*((R$4+'TCO TO BE - HW'!R$4)/($E$4+'TCO TO BE - HW'!$E$4)*SUM(POZICIE_INTERNE!$I$52:$I$63))/POZICIE_INTERNE!$B$52)),0)+IFERROR(IF((AKTIVITY_POZICIE!$B$53-12*('TCO TO BE- SW'!$D153-1))&gt;12,((R$4+'TCO TO BE - HW'!R$4)/($E$4+'TCO TO BE - HW'!$E$4)*SUM(AKTIVITY_POZICIE!$M$53:$M$64))/AKTIVITY_POZICIE!$B$41*12,IF((AKTIVITY_POZICIE!$B$53-12*('TCO TO BE- SW'!$D153-1))&lt;0,0,(AKTIVITY_POZICIE!$B$53-12*('TCO TO BE- SW'!$D153-1))*((R$4+'TCO TO BE - HW'!R$4)/($E$4+'TCO TO BE - HW'!$E$4)*SUM(AKTIVITY_POZICIE!$M$53:$M$64))/AKTIVITY_POZICIE!$B$53)),0)</f>
        <v>2787.035104753937</v>
      </c>
      <c r="S163" s="576">
        <f>IFERROR(IF((POZICIE_INTERNE!$B$52-12*('TCO TO BE- SW'!$D153-1))&gt;12,((S$4+'TCO TO BE - HW'!S$4)/($E$4+'TCO TO BE - HW'!$E$4)*SUM(POZICIE_INTERNE!$I$52:$I$63))/POZICIE_INTERNE!$B$52*12,IF((POZICIE_INTERNE!$B$52-12*('TCO TO BE- SW'!$D153-1))&lt;0,0,(POZICIE_INTERNE!$B$52-12*('TCO TO BE- SW'!$D153-1))*((S$4+'TCO TO BE - HW'!S$4)/($E$4+'TCO TO BE - HW'!$E$4)*SUM(POZICIE_INTERNE!$I$52:$I$63))/POZICIE_INTERNE!$B$52)),0)+IFERROR(IF((AKTIVITY_POZICIE!$B$53-12*('TCO TO BE- SW'!$D153-1))&gt;12,((S$4+'TCO TO BE - HW'!S$4)/($E$4+'TCO TO BE - HW'!$E$4)*SUM(AKTIVITY_POZICIE!$M$53:$M$64))/AKTIVITY_POZICIE!$B$41*12,IF((AKTIVITY_POZICIE!$B$53-12*('TCO TO BE- SW'!$D153-1))&lt;0,0,(AKTIVITY_POZICIE!$B$53-12*('TCO TO BE- SW'!$D153-1))*((S$4+'TCO TO BE - HW'!S$4)/($E$4+'TCO TO BE - HW'!$E$4)*SUM(AKTIVITY_POZICIE!$M$53:$M$64))/AKTIVITY_POZICIE!$B$53)),0)</f>
        <v>1909.8971530039671</v>
      </c>
      <c r="T163" s="576">
        <f>IFERROR(IF((POZICIE_INTERNE!$B$52-12*('TCO TO BE- SW'!$D153-1))&gt;12,((T$4+'TCO TO BE - HW'!T$4)/($E$4+'TCO TO BE - HW'!$E$4)*SUM(POZICIE_INTERNE!$I$52:$I$63))/POZICIE_INTERNE!$B$52*12,IF((POZICIE_INTERNE!$B$52-12*('TCO TO BE- SW'!$D153-1))&lt;0,0,(POZICIE_INTERNE!$B$52-12*('TCO TO BE- SW'!$D153-1))*((T$4+'TCO TO BE - HW'!T$4)/($E$4+'TCO TO BE - HW'!$E$4)*SUM(POZICIE_INTERNE!$I$52:$I$63))/POZICIE_INTERNE!$B$52)),0)+IFERROR(IF((AKTIVITY_POZICIE!$B$53-12*('TCO TO BE- SW'!$D153-1))&gt;12,((T$4+'TCO TO BE - HW'!T$4)/($E$4+'TCO TO BE - HW'!$E$4)*SUM(AKTIVITY_POZICIE!$M$53:$M$64))/AKTIVITY_POZICIE!$B$41*12,IF((AKTIVITY_POZICIE!$B$53-12*('TCO TO BE- SW'!$D153-1))&lt;0,0,(AKTIVITY_POZICIE!$B$53-12*('TCO TO BE- SW'!$D153-1))*((T$4+'TCO TO BE - HW'!T$4)/($E$4+'TCO TO BE - HW'!$E$4)*SUM(AKTIVITY_POZICIE!$M$53:$M$64))/AKTIVITY_POZICIE!$B$53)),0)</f>
        <v>5715.544072693353</v>
      </c>
      <c r="U163" s="576">
        <f>IFERROR(IF((POZICIE_INTERNE!$B$52-12*('TCO TO BE- SW'!$D153-1))&gt;12,((U$4+'TCO TO BE - HW'!U$4)/($E$4+'TCO TO BE - HW'!$E$4)*SUM(POZICIE_INTERNE!$I$52:$I$63))/POZICIE_INTERNE!$B$52*12,IF((POZICIE_INTERNE!$B$52-12*('TCO TO BE- SW'!$D153-1))&lt;0,0,(POZICIE_INTERNE!$B$52-12*('TCO TO BE- SW'!$D153-1))*((U$4+'TCO TO BE - HW'!U$4)/($E$4+'TCO TO BE - HW'!$E$4)*SUM(POZICIE_INTERNE!$I$52:$I$63))/POZICIE_INTERNE!$B$52)),0)+IFERROR(IF((AKTIVITY_POZICIE!$B$53-12*('TCO TO BE- SW'!$D153-1))&gt;12,((U$4+'TCO TO BE - HW'!U$4)/($E$4+'TCO TO BE - HW'!$E$4)*SUM(AKTIVITY_POZICIE!$M$53:$M$64))/AKTIVITY_POZICIE!$B$41*12,IF((AKTIVITY_POZICIE!$B$53-12*('TCO TO BE- SW'!$D153-1))&lt;0,0,(AKTIVITY_POZICIE!$B$53-12*('TCO TO BE- SW'!$D153-1))*((U$4+'TCO TO BE - HW'!U$4)/($E$4+'TCO TO BE - HW'!$E$4)*SUM(AKTIVITY_POZICIE!$M$53:$M$64))/AKTIVITY_POZICIE!$B$53)),0)</f>
        <v>4456.4266903425905</v>
      </c>
      <c r="V163" s="576">
        <f>IFERROR(IF((POZICIE_INTERNE!$B$52-12*('TCO TO BE- SW'!$D153-1))&gt;12,((V$4+'TCO TO BE - HW'!V$4)/($E$4+'TCO TO BE - HW'!$E$4)*SUM(POZICIE_INTERNE!$I$52:$I$63))/POZICIE_INTERNE!$B$52*12,IF((POZICIE_INTERNE!$B$52-12*('TCO TO BE- SW'!$D153-1))&lt;0,0,(POZICIE_INTERNE!$B$52-12*('TCO TO BE- SW'!$D153-1))*((V$4+'TCO TO BE - HW'!V$4)/($E$4+'TCO TO BE - HW'!$E$4)*SUM(POZICIE_INTERNE!$I$52:$I$63))/POZICIE_INTERNE!$B$52)),0)+IFERROR(IF((AKTIVITY_POZICIE!$B$53-12*('TCO TO BE- SW'!$D153-1))&gt;12,((V$4+'TCO TO BE - HW'!V$4)/($E$4+'TCO TO BE - HW'!$E$4)*SUM(AKTIVITY_POZICIE!$M$53:$M$64))/AKTIVITY_POZICIE!$B$41*12,IF((AKTIVITY_POZICIE!$B$53-12*('TCO TO BE- SW'!$D153-1))&lt;0,0,(AKTIVITY_POZICIE!$B$53-12*('TCO TO BE- SW'!$D153-1))*((V$4+'TCO TO BE - HW'!V$4)/($E$4+'TCO TO BE - HW'!$E$4)*SUM(AKTIVITY_POZICIE!$M$53:$M$64))/AKTIVITY_POZICIE!$B$53)),0)</f>
        <v>3848.0890786450295</v>
      </c>
      <c r="W163" s="576">
        <f>IFERROR(IF((POZICIE_INTERNE!$B$52-12*('TCO TO BE- SW'!$D153-1))&gt;12,((W$4+'TCO TO BE - HW'!W$4)/($E$4+'TCO TO BE - HW'!$E$4)*SUM(POZICIE_INTERNE!$I$52:$I$63))/POZICIE_INTERNE!$B$52*12,IF((POZICIE_INTERNE!$B$52-12*('TCO TO BE- SW'!$D153-1))&lt;0,0,(POZICIE_INTERNE!$B$52-12*('TCO TO BE- SW'!$D153-1))*((W$4+'TCO TO BE - HW'!W$4)/($E$4+'TCO TO BE - HW'!$E$4)*SUM(POZICIE_INTERNE!$I$52:$I$63))/POZICIE_INTERNE!$B$52)),0)+IFERROR(IF((AKTIVITY_POZICIE!$B$53-12*('TCO TO BE- SW'!$D153-1))&gt;12,((W$4+'TCO TO BE - HW'!W$4)/($E$4+'TCO TO BE - HW'!$E$4)*SUM(AKTIVITY_POZICIE!$M$53:$M$64))/AKTIVITY_POZICIE!$B$41*12,IF((AKTIVITY_POZICIE!$B$53-12*('TCO TO BE- SW'!$D153-1))&lt;0,0,(AKTIVITY_POZICIE!$B$53-12*('TCO TO BE- SW'!$D153-1))*((W$4+'TCO TO BE - HW'!W$4)/($E$4+'TCO TO BE - HW'!$E$4)*SUM(AKTIVITY_POZICIE!$M$53:$M$64))/AKTIVITY_POZICIE!$B$53)),0)</f>
        <v>8488.4317911287417</v>
      </c>
      <c r="X163" s="576">
        <f>IFERROR(IF((POZICIE_INTERNE!$B$52-12*('TCO TO BE- SW'!$D153-1))&gt;12,((X$4+'TCO TO BE - HW'!X$4)/($E$4+'TCO TO BE - HW'!$E$4)*SUM(POZICIE_INTERNE!$I$52:$I$63))/POZICIE_INTERNE!$B$52*12,IF((POZICIE_INTERNE!$B$52-12*('TCO TO BE- SW'!$D153-1))&lt;0,0,(POZICIE_INTERNE!$B$52-12*('TCO TO BE- SW'!$D153-1))*((X$4+'TCO TO BE - HW'!X$4)/($E$4+'TCO TO BE - HW'!$E$4)*SUM(POZICIE_INTERNE!$I$52:$I$63))/POZICIE_INTERNE!$B$52)),0)+IFERROR(IF((AKTIVITY_POZICIE!$B$53-12*('TCO TO BE- SW'!$D153-1))&gt;12,((X$4+'TCO TO BE - HW'!X$4)/($E$4+'TCO TO BE - HW'!$E$4)*SUM(AKTIVITY_POZICIE!$M$53:$M$64))/AKTIVITY_POZICIE!$B$41*12,IF((AKTIVITY_POZICIE!$B$53-12*('TCO TO BE- SW'!$D153-1))&lt;0,0,(AKTIVITY_POZICIE!$B$53-12*('TCO TO BE- SW'!$D153-1))*((X$4+'TCO TO BE - HW'!X$4)/($E$4+'TCO TO BE - HW'!$E$4)*SUM(AKTIVITY_POZICIE!$M$53:$M$64))/AKTIVITY_POZICIE!$B$53)),0)</f>
        <v>12789.237231967305</v>
      </c>
      <c r="Y163" s="576">
        <f>IFERROR(IF((POZICIE_INTERNE!$B$52-12*('TCO TO BE- SW'!$D153-1))&gt;12,((Y$4+'TCO TO BE - HW'!Y$4)/($E$4+'TCO TO BE - HW'!$E$4)*SUM(POZICIE_INTERNE!$I$52:$I$63))/POZICIE_INTERNE!$B$52*12,IF((POZICIE_INTERNE!$B$52-12*('TCO TO BE- SW'!$D153-1))&lt;0,0,(POZICIE_INTERNE!$B$52-12*('TCO TO BE- SW'!$D153-1))*((Y$4+'TCO TO BE - HW'!Y$4)/($E$4+'TCO TO BE - HW'!$E$4)*SUM(POZICIE_INTERNE!$I$52:$I$63))/POZICIE_INTERNE!$B$52)),0)+IFERROR(IF((AKTIVITY_POZICIE!$B$53-12*('TCO TO BE- SW'!$D153-1))&gt;12,((Y$4+'TCO TO BE - HW'!Y$4)/($E$4+'TCO TO BE - HW'!$E$4)*SUM(AKTIVITY_POZICIE!$M$53:$M$64))/AKTIVITY_POZICIE!$B$41*12,IF((AKTIVITY_POZICIE!$B$53-12*('TCO TO BE- SW'!$D153-1))&lt;0,0,(AKTIVITY_POZICIE!$B$53-12*('TCO TO BE- SW'!$D153-1))*((Y$4+'TCO TO BE - HW'!Y$4)/($E$4+'TCO TO BE - HW'!$E$4)*SUM(AKTIVITY_POZICIE!$M$53:$M$64))/AKTIVITY_POZICIE!$B$53)),0)</f>
        <v>0</v>
      </c>
      <c r="Z163" s="576">
        <f>IFERROR(IF((POZICIE_INTERNE!$B$52-12*('TCO TO BE- SW'!$D153-1))&gt;12,((Z$4+'TCO TO BE - HW'!Z$4)/($E$4+'TCO TO BE - HW'!$E$4)*SUM(POZICIE_INTERNE!$I$52:$I$63))/POZICIE_INTERNE!$B$52*12,IF((POZICIE_INTERNE!$B$52-12*('TCO TO BE- SW'!$D153-1))&lt;0,0,(POZICIE_INTERNE!$B$52-12*('TCO TO BE- SW'!$D153-1))*((Z$4+'TCO TO BE - HW'!Z$4)/($E$4+'TCO TO BE - HW'!$E$4)*SUM(POZICIE_INTERNE!$I$52:$I$63))/POZICIE_INTERNE!$B$52)),0)+IFERROR(IF((AKTIVITY_POZICIE!$B$53-12*('TCO TO BE- SW'!$D153-1))&gt;12,((Z$4+'TCO TO BE - HW'!Z$4)/($E$4+'TCO TO BE - HW'!$E$4)*SUM(AKTIVITY_POZICIE!$M$53:$M$64))/AKTIVITY_POZICIE!$B$41*12,IF((AKTIVITY_POZICIE!$B$53-12*('TCO TO BE- SW'!$D153-1))&lt;0,0,(AKTIVITY_POZICIE!$B$53-12*('TCO TO BE- SW'!$D153-1))*((Z$4+'TCO TO BE - HW'!Z$4)/($E$4+'TCO TO BE - HW'!$E$4)*SUM(AKTIVITY_POZICIE!$M$53:$M$64))/AKTIVITY_POZICIE!$B$53)),0)</f>
        <v>0</v>
      </c>
    </row>
    <row r="164" spans="1:26">
      <c r="A164" s="875"/>
      <c r="B164" s="876"/>
      <c r="C164" s="876"/>
      <c r="D164" s="64">
        <v>4</v>
      </c>
      <c r="E164" s="68">
        <f t="shared" si="16"/>
        <v>0</v>
      </c>
      <c r="F164" s="576">
        <f>IFERROR(IF((POZICIE_INTERNE!$B$52-12*('TCO TO BE- SW'!$D154-1))&gt;12,((F$4+'TCO TO BE - HW'!F$4)/($E$4+'TCO TO BE - HW'!$E$4)*SUM(POZICIE_INTERNE!$I$52:$I$63))/POZICIE_INTERNE!$B$52*12,IF((POZICIE_INTERNE!$B$52-12*('TCO TO BE- SW'!$D154-1))&lt;0,0,(POZICIE_INTERNE!$B$52-12*('TCO TO BE- SW'!$D154-1))*((F$4+'TCO TO BE - HW'!F$4)/($E$4+'TCO TO BE - HW'!$E$4)*SUM(POZICIE_INTERNE!$I$52:$I$63))/POZICIE_INTERNE!$B$52)),0)+IFERROR(IF((AKTIVITY_POZICIE!$B$53-12*('TCO TO BE- SW'!$D154-1))&gt;12,((F$4+'TCO TO BE - HW'!F$4)/($E$4+'TCO TO BE - HW'!$E$4)*SUM(AKTIVITY_POZICIE!$M$53:$M$64))/AKTIVITY_POZICIE!$B$41*12,IF((AKTIVITY_POZICIE!$B$53-12*('TCO TO BE- SW'!$D154-1))&lt;0,0,(AKTIVITY_POZICIE!$B$53-12*('TCO TO BE- SW'!$D154-1))*((F$4+'TCO TO BE - HW'!F$4)/($E$4+'TCO TO BE - HW'!$E$4)*SUM(AKTIVITY_POZICIE!$M$53:$M$64))/AKTIVITY_POZICIE!$B$53)),0)</f>
        <v>0</v>
      </c>
      <c r="G164" s="576">
        <f>IFERROR(IF((POZICIE_INTERNE!$B$52-12*('TCO TO BE- SW'!$D154-1))&gt;12,((G$4+'TCO TO BE - HW'!G$4)/($E$4+'TCO TO BE - HW'!$E$4)*SUM(POZICIE_INTERNE!$I$52:$I$63))/POZICIE_INTERNE!$B$52*12,IF((POZICIE_INTERNE!$B$52-12*('TCO TO BE- SW'!$D154-1))&lt;0,0,(POZICIE_INTERNE!$B$52-12*('TCO TO BE- SW'!$D154-1))*((G$4+'TCO TO BE - HW'!G$4)/($E$4+'TCO TO BE - HW'!$E$4)*SUM(POZICIE_INTERNE!$I$52:$I$63))/POZICIE_INTERNE!$B$52)),0)+IFERROR(IF((AKTIVITY_POZICIE!$B$53-12*('TCO TO BE- SW'!$D154-1))&gt;12,((G$4+'TCO TO BE - HW'!G$4)/($E$4+'TCO TO BE - HW'!$E$4)*SUM(AKTIVITY_POZICIE!$M$53:$M$64))/AKTIVITY_POZICIE!$B$41*12,IF((AKTIVITY_POZICIE!$B$53-12*('TCO TO BE- SW'!$D154-1))&lt;0,0,(AKTIVITY_POZICIE!$B$53-12*('TCO TO BE- SW'!$D154-1))*((G$4+'TCO TO BE - HW'!G$4)/($E$4+'TCO TO BE - HW'!$E$4)*SUM(AKTIVITY_POZICIE!$M$53:$M$64))/AKTIVITY_POZICIE!$B$53)),0)</f>
        <v>0</v>
      </c>
      <c r="H164" s="576">
        <f>IFERROR(IF((POZICIE_INTERNE!$B$52-12*('TCO TO BE- SW'!$D154-1))&gt;12,((H$4+'TCO TO BE - HW'!H$4)/($E$4+'TCO TO BE - HW'!$E$4)*SUM(POZICIE_INTERNE!$I$52:$I$63))/POZICIE_INTERNE!$B$52*12,IF((POZICIE_INTERNE!$B$52-12*('TCO TO BE- SW'!$D154-1))&lt;0,0,(POZICIE_INTERNE!$B$52-12*('TCO TO BE- SW'!$D154-1))*((H$4+'TCO TO BE - HW'!H$4)/($E$4+'TCO TO BE - HW'!$E$4)*SUM(POZICIE_INTERNE!$I$52:$I$63))/POZICIE_INTERNE!$B$52)),0)+IFERROR(IF((AKTIVITY_POZICIE!$B$53-12*('TCO TO BE- SW'!$D154-1))&gt;12,((H$4+'TCO TO BE - HW'!H$4)/($E$4+'TCO TO BE - HW'!$E$4)*SUM(AKTIVITY_POZICIE!$M$53:$M$64))/AKTIVITY_POZICIE!$B$41*12,IF((AKTIVITY_POZICIE!$B$53-12*('TCO TO BE- SW'!$D154-1))&lt;0,0,(AKTIVITY_POZICIE!$B$53-12*('TCO TO BE- SW'!$D154-1))*((H$4+'TCO TO BE - HW'!H$4)/($E$4+'TCO TO BE - HW'!$E$4)*SUM(AKTIVITY_POZICIE!$M$53:$M$64))/AKTIVITY_POZICIE!$B$53)),0)</f>
        <v>0</v>
      </c>
      <c r="I164" s="576">
        <f>IFERROR(IF((POZICIE_INTERNE!$B$52-12*('TCO TO BE- SW'!$D154-1))&gt;12,((I$4+'TCO TO BE - HW'!I$4)/($E$4+'TCO TO BE - HW'!$E$4)*SUM(POZICIE_INTERNE!$I$52:$I$63))/POZICIE_INTERNE!$B$52*12,IF((POZICIE_INTERNE!$B$52-12*('TCO TO BE- SW'!$D154-1))&lt;0,0,(POZICIE_INTERNE!$B$52-12*('TCO TO BE- SW'!$D154-1))*((I$4+'TCO TO BE - HW'!I$4)/($E$4+'TCO TO BE - HW'!$E$4)*SUM(POZICIE_INTERNE!$I$52:$I$63))/POZICIE_INTERNE!$B$52)),0)+IFERROR(IF((AKTIVITY_POZICIE!$B$53-12*('TCO TO BE- SW'!$D154-1))&gt;12,((I$4+'TCO TO BE - HW'!I$4)/($E$4+'TCO TO BE - HW'!$E$4)*SUM(AKTIVITY_POZICIE!$M$53:$M$64))/AKTIVITY_POZICIE!$B$41*12,IF((AKTIVITY_POZICIE!$B$53-12*('TCO TO BE- SW'!$D154-1))&lt;0,0,(AKTIVITY_POZICIE!$B$53-12*('TCO TO BE- SW'!$D154-1))*((I$4+'TCO TO BE - HW'!I$4)/($E$4+'TCO TO BE - HW'!$E$4)*SUM(AKTIVITY_POZICIE!$M$53:$M$64))/AKTIVITY_POZICIE!$B$53)),0)</f>
        <v>0</v>
      </c>
      <c r="J164" s="576">
        <f>IFERROR(IF((POZICIE_INTERNE!$B$52-12*('TCO TO BE- SW'!$D154-1))&gt;12,((J$4+'TCO TO BE - HW'!J$4)/($E$4+'TCO TO BE - HW'!$E$4)*SUM(POZICIE_INTERNE!$I$52:$I$63))/POZICIE_INTERNE!$B$52*12,IF((POZICIE_INTERNE!$B$52-12*('TCO TO BE- SW'!$D154-1))&lt;0,0,(POZICIE_INTERNE!$B$52-12*('TCO TO BE- SW'!$D154-1))*((J$4+'TCO TO BE - HW'!J$4)/($E$4+'TCO TO BE - HW'!$E$4)*SUM(POZICIE_INTERNE!$I$52:$I$63))/POZICIE_INTERNE!$B$52)),0)+IFERROR(IF((AKTIVITY_POZICIE!$B$53-12*('TCO TO BE- SW'!$D154-1))&gt;12,((J$4+'TCO TO BE - HW'!J$4)/($E$4+'TCO TO BE - HW'!$E$4)*SUM(AKTIVITY_POZICIE!$M$53:$M$64))/AKTIVITY_POZICIE!$B$41*12,IF((AKTIVITY_POZICIE!$B$53-12*('TCO TO BE- SW'!$D154-1))&lt;0,0,(AKTIVITY_POZICIE!$B$53-12*('TCO TO BE- SW'!$D154-1))*((J$4+'TCO TO BE - HW'!J$4)/($E$4+'TCO TO BE - HW'!$E$4)*SUM(AKTIVITY_POZICIE!$M$53:$M$64))/AKTIVITY_POZICIE!$B$53)),0)</f>
        <v>0</v>
      </c>
      <c r="K164" s="576">
        <f>IFERROR(IF((POZICIE_INTERNE!$B$52-12*('TCO TO BE- SW'!$D154-1))&gt;12,((K$4+'TCO TO BE - HW'!K$4)/($E$4+'TCO TO BE - HW'!$E$4)*SUM(POZICIE_INTERNE!$I$52:$I$63))/POZICIE_INTERNE!$B$52*12,IF((POZICIE_INTERNE!$B$52-12*('TCO TO BE- SW'!$D154-1))&lt;0,0,(POZICIE_INTERNE!$B$52-12*('TCO TO BE- SW'!$D154-1))*((K$4+'TCO TO BE - HW'!K$4)/($E$4+'TCO TO BE - HW'!$E$4)*SUM(POZICIE_INTERNE!$I$52:$I$63))/POZICIE_INTERNE!$B$52)),0)+IFERROR(IF((AKTIVITY_POZICIE!$B$53-12*('TCO TO BE- SW'!$D154-1))&gt;12,((K$4+'TCO TO BE - HW'!K$4)/($E$4+'TCO TO BE - HW'!$E$4)*SUM(AKTIVITY_POZICIE!$M$53:$M$64))/AKTIVITY_POZICIE!$B$41*12,IF((AKTIVITY_POZICIE!$B$53-12*('TCO TO BE- SW'!$D154-1))&lt;0,0,(AKTIVITY_POZICIE!$B$53-12*('TCO TO BE- SW'!$D154-1))*((K$4+'TCO TO BE - HW'!K$4)/($E$4+'TCO TO BE - HW'!$E$4)*SUM(AKTIVITY_POZICIE!$M$53:$M$64))/AKTIVITY_POZICIE!$B$53)),0)</f>
        <v>0</v>
      </c>
      <c r="L164" s="576">
        <f>IFERROR(IF((POZICIE_INTERNE!$B$52-12*('TCO TO BE- SW'!$D154-1))&gt;12,((L$4+'TCO TO BE - HW'!L$4)/($E$4+'TCO TO BE - HW'!$E$4)*SUM(POZICIE_INTERNE!$I$52:$I$63))/POZICIE_INTERNE!$B$52*12,IF((POZICIE_INTERNE!$B$52-12*('TCO TO BE- SW'!$D154-1))&lt;0,0,(POZICIE_INTERNE!$B$52-12*('TCO TO BE- SW'!$D154-1))*((L$4+'TCO TO BE - HW'!L$4)/($E$4+'TCO TO BE - HW'!$E$4)*SUM(POZICIE_INTERNE!$I$52:$I$63))/POZICIE_INTERNE!$B$52)),0)+IFERROR(IF((AKTIVITY_POZICIE!$B$53-12*('TCO TO BE- SW'!$D154-1))&gt;12,((L$4+'TCO TO BE - HW'!L$4)/($E$4+'TCO TO BE - HW'!$E$4)*SUM(AKTIVITY_POZICIE!$M$53:$M$64))/AKTIVITY_POZICIE!$B$41*12,IF((AKTIVITY_POZICIE!$B$53-12*('TCO TO BE- SW'!$D154-1))&lt;0,0,(AKTIVITY_POZICIE!$B$53-12*('TCO TO BE- SW'!$D154-1))*((L$4+'TCO TO BE - HW'!L$4)/($E$4+'TCO TO BE - HW'!$E$4)*SUM(AKTIVITY_POZICIE!$M$53:$M$64))/AKTIVITY_POZICIE!$B$53)),0)</f>
        <v>0</v>
      </c>
      <c r="M164" s="576">
        <f>IFERROR(IF((POZICIE_INTERNE!$B$52-12*('TCO TO BE- SW'!$D154-1))&gt;12,((M$4+'TCO TO BE - HW'!M$4)/($E$4+'TCO TO BE - HW'!$E$4)*SUM(POZICIE_INTERNE!$I$52:$I$63))/POZICIE_INTERNE!$B$52*12,IF((POZICIE_INTERNE!$B$52-12*('TCO TO BE- SW'!$D154-1))&lt;0,0,(POZICIE_INTERNE!$B$52-12*('TCO TO BE- SW'!$D154-1))*((M$4+'TCO TO BE - HW'!M$4)/($E$4+'TCO TO BE - HW'!$E$4)*SUM(POZICIE_INTERNE!$I$52:$I$63))/POZICIE_INTERNE!$B$52)),0)+IFERROR(IF((AKTIVITY_POZICIE!$B$53-12*('TCO TO BE- SW'!$D154-1))&gt;12,((M$4+'TCO TO BE - HW'!M$4)/($E$4+'TCO TO BE - HW'!$E$4)*SUM(AKTIVITY_POZICIE!$M$53:$M$64))/AKTIVITY_POZICIE!$B$41*12,IF((AKTIVITY_POZICIE!$B$53-12*('TCO TO BE- SW'!$D154-1))&lt;0,0,(AKTIVITY_POZICIE!$B$53-12*('TCO TO BE- SW'!$D154-1))*((M$4+'TCO TO BE - HW'!M$4)/($E$4+'TCO TO BE - HW'!$E$4)*SUM(AKTIVITY_POZICIE!$M$53:$M$64))/AKTIVITY_POZICIE!$B$53)),0)</f>
        <v>0</v>
      </c>
      <c r="N164" s="576">
        <f>IFERROR(IF((POZICIE_INTERNE!$B$52-12*('TCO TO BE- SW'!$D154-1))&gt;12,((N$4+'TCO TO BE - HW'!N$4)/($E$4+'TCO TO BE - HW'!$E$4)*SUM(POZICIE_INTERNE!$I$52:$I$63))/POZICIE_INTERNE!$B$52*12,IF((POZICIE_INTERNE!$B$52-12*('TCO TO BE- SW'!$D154-1))&lt;0,0,(POZICIE_INTERNE!$B$52-12*('TCO TO BE- SW'!$D154-1))*((N$4+'TCO TO BE - HW'!N$4)/($E$4+'TCO TO BE - HW'!$E$4)*SUM(POZICIE_INTERNE!$I$52:$I$63))/POZICIE_INTERNE!$B$52)),0)+IFERROR(IF((AKTIVITY_POZICIE!$B$53-12*('TCO TO BE- SW'!$D154-1))&gt;12,((N$4+'TCO TO BE - HW'!N$4)/($E$4+'TCO TO BE - HW'!$E$4)*SUM(AKTIVITY_POZICIE!$M$53:$M$64))/AKTIVITY_POZICIE!$B$41*12,IF((AKTIVITY_POZICIE!$B$53-12*('TCO TO BE- SW'!$D154-1))&lt;0,0,(AKTIVITY_POZICIE!$B$53-12*('TCO TO BE- SW'!$D154-1))*((N$4+'TCO TO BE - HW'!N$4)/($E$4+'TCO TO BE - HW'!$E$4)*SUM(AKTIVITY_POZICIE!$M$53:$M$64))/AKTIVITY_POZICIE!$B$53)),0)</f>
        <v>0</v>
      </c>
      <c r="O164" s="576">
        <f>IFERROR(IF((POZICIE_INTERNE!$B$52-12*('TCO TO BE- SW'!$D154-1))&gt;12,((O$4+'TCO TO BE - HW'!O$4)/($E$4+'TCO TO BE - HW'!$E$4)*SUM(POZICIE_INTERNE!$I$52:$I$63))/POZICIE_INTERNE!$B$52*12,IF((POZICIE_INTERNE!$B$52-12*('TCO TO BE- SW'!$D154-1))&lt;0,0,(POZICIE_INTERNE!$B$52-12*('TCO TO BE- SW'!$D154-1))*((O$4+'TCO TO BE - HW'!O$4)/($E$4+'TCO TO BE - HW'!$E$4)*SUM(POZICIE_INTERNE!$I$52:$I$63))/POZICIE_INTERNE!$B$52)),0)+IFERROR(IF((AKTIVITY_POZICIE!$B$53-12*('TCO TO BE- SW'!$D154-1))&gt;12,((O$4+'TCO TO BE - HW'!O$4)/($E$4+'TCO TO BE - HW'!$E$4)*SUM(AKTIVITY_POZICIE!$M$53:$M$64))/AKTIVITY_POZICIE!$B$41*12,IF((AKTIVITY_POZICIE!$B$53-12*('TCO TO BE- SW'!$D154-1))&lt;0,0,(AKTIVITY_POZICIE!$B$53-12*('TCO TO BE- SW'!$D154-1))*((O$4+'TCO TO BE - HW'!O$4)/($E$4+'TCO TO BE - HW'!$E$4)*SUM(AKTIVITY_POZICIE!$M$53:$M$64))/AKTIVITY_POZICIE!$B$53)),0)</f>
        <v>0</v>
      </c>
      <c r="P164" s="576">
        <f>IFERROR(IF((POZICIE_INTERNE!$B$52-12*('TCO TO BE- SW'!$D154-1))&gt;12,((P$4+'TCO TO BE - HW'!P$4)/($E$4+'TCO TO BE - HW'!$E$4)*SUM(POZICIE_INTERNE!$I$52:$I$63))/POZICIE_INTERNE!$B$52*12,IF((POZICIE_INTERNE!$B$52-12*('TCO TO BE- SW'!$D154-1))&lt;0,0,(POZICIE_INTERNE!$B$52-12*('TCO TO BE- SW'!$D154-1))*((P$4+'TCO TO BE - HW'!P$4)/($E$4+'TCO TO BE - HW'!$E$4)*SUM(POZICIE_INTERNE!$I$52:$I$63))/POZICIE_INTERNE!$B$52)),0)+IFERROR(IF((AKTIVITY_POZICIE!$B$53-12*('TCO TO BE- SW'!$D154-1))&gt;12,((P$4+'TCO TO BE - HW'!P$4)/($E$4+'TCO TO BE - HW'!$E$4)*SUM(AKTIVITY_POZICIE!$M$53:$M$64))/AKTIVITY_POZICIE!$B$41*12,IF((AKTIVITY_POZICIE!$B$53-12*('TCO TO BE- SW'!$D154-1))&lt;0,0,(AKTIVITY_POZICIE!$B$53-12*('TCO TO BE- SW'!$D154-1))*((P$4+'TCO TO BE - HW'!P$4)/($E$4+'TCO TO BE - HW'!$E$4)*SUM(AKTIVITY_POZICIE!$M$53:$M$64))/AKTIVITY_POZICIE!$B$53)),0)</f>
        <v>0</v>
      </c>
      <c r="Q164" s="576">
        <f>IFERROR(IF((POZICIE_INTERNE!$B$52-12*('TCO TO BE- SW'!$D154-1))&gt;12,((Q$4+'TCO TO BE - HW'!Q$4)/($E$4+'TCO TO BE - HW'!$E$4)*SUM(POZICIE_INTERNE!$I$52:$I$63))/POZICIE_INTERNE!$B$52*12,IF((POZICIE_INTERNE!$B$52-12*('TCO TO BE- SW'!$D154-1))&lt;0,0,(POZICIE_INTERNE!$B$52-12*('TCO TO BE- SW'!$D154-1))*((Q$4+'TCO TO BE - HW'!Q$4)/($E$4+'TCO TO BE - HW'!$E$4)*SUM(POZICIE_INTERNE!$I$52:$I$63))/POZICIE_INTERNE!$B$52)),0)+IFERROR(IF((AKTIVITY_POZICIE!$B$53-12*('TCO TO BE- SW'!$D154-1))&gt;12,((Q$4+'TCO TO BE - HW'!Q$4)/($E$4+'TCO TO BE - HW'!$E$4)*SUM(AKTIVITY_POZICIE!$M$53:$M$64))/AKTIVITY_POZICIE!$B$41*12,IF((AKTIVITY_POZICIE!$B$53-12*('TCO TO BE- SW'!$D154-1))&lt;0,0,(AKTIVITY_POZICIE!$B$53-12*('TCO TO BE- SW'!$D154-1))*((Q$4+'TCO TO BE - HW'!Q$4)/($E$4+'TCO TO BE - HW'!$E$4)*SUM(AKTIVITY_POZICIE!$M$53:$M$64))/AKTIVITY_POZICIE!$B$53)),0)</f>
        <v>0</v>
      </c>
      <c r="R164" s="576">
        <f>IFERROR(IF((POZICIE_INTERNE!$B$52-12*('TCO TO BE- SW'!$D154-1))&gt;12,((R$4+'TCO TO BE - HW'!R$4)/($E$4+'TCO TO BE - HW'!$E$4)*SUM(POZICIE_INTERNE!$I$52:$I$63))/POZICIE_INTERNE!$B$52*12,IF((POZICIE_INTERNE!$B$52-12*('TCO TO BE- SW'!$D154-1))&lt;0,0,(POZICIE_INTERNE!$B$52-12*('TCO TO BE- SW'!$D154-1))*((R$4+'TCO TO BE - HW'!R$4)/($E$4+'TCO TO BE - HW'!$E$4)*SUM(POZICIE_INTERNE!$I$52:$I$63))/POZICIE_INTERNE!$B$52)),0)+IFERROR(IF((AKTIVITY_POZICIE!$B$53-12*('TCO TO BE- SW'!$D154-1))&gt;12,((R$4+'TCO TO BE - HW'!R$4)/($E$4+'TCO TO BE - HW'!$E$4)*SUM(AKTIVITY_POZICIE!$M$53:$M$64))/AKTIVITY_POZICIE!$B$41*12,IF((AKTIVITY_POZICIE!$B$53-12*('TCO TO BE- SW'!$D154-1))&lt;0,0,(AKTIVITY_POZICIE!$B$53-12*('TCO TO BE- SW'!$D154-1))*((R$4+'TCO TO BE - HW'!R$4)/($E$4+'TCO TO BE - HW'!$E$4)*SUM(AKTIVITY_POZICIE!$M$53:$M$64))/AKTIVITY_POZICIE!$B$53)),0)</f>
        <v>0</v>
      </c>
      <c r="S164" s="576">
        <f>IFERROR(IF((POZICIE_INTERNE!$B$52-12*('TCO TO BE- SW'!$D154-1))&gt;12,((S$4+'TCO TO BE - HW'!S$4)/($E$4+'TCO TO BE - HW'!$E$4)*SUM(POZICIE_INTERNE!$I$52:$I$63))/POZICIE_INTERNE!$B$52*12,IF((POZICIE_INTERNE!$B$52-12*('TCO TO BE- SW'!$D154-1))&lt;0,0,(POZICIE_INTERNE!$B$52-12*('TCO TO BE- SW'!$D154-1))*((S$4+'TCO TO BE - HW'!S$4)/($E$4+'TCO TO BE - HW'!$E$4)*SUM(POZICIE_INTERNE!$I$52:$I$63))/POZICIE_INTERNE!$B$52)),0)+IFERROR(IF((AKTIVITY_POZICIE!$B$53-12*('TCO TO BE- SW'!$D154-1))&gt;12,((S$4+'TCO TO BE - HW'!S$4)/($E$4+'TCO TO BE - HW'!$E$4)*SUM(AKTIVITY_POZICIE!$M$53:$M$64))/AKTIVITY_POZICIE!$B$41*12,IF((AKTIVITY_POZICIE!$B$53-12*('TCO TO BE- SW'!$D154-1))&lt;0,0,(AKTIVITY_POZICIE!$B$53-12*('TCO TO BE- SW'!$D154-1))*((S$4+'TCO TO BE - HW'!S$4)/($E$4+'TCO TO BE - HW'!$E$4)*SUM(AKTIVITY_POZICIE!$M$53:$M$64))/AKTIVITY_POZICIE!$B$53)),0)</f>
        <v>0</v>
      </c>
      <c r="T164" s="576">
        <f>IFERROR(IF((POZICIE_INTERNE!$B$52-12*('TCO TO BE- SW'!$D154-1))&gt;12,((T$4+'TCO TO BE - HW'!T$4)/($E$4+'TCO TO BE - HW'!$E$4)*SUM(POZICIE_INTERNE!$I$52:$I$63))/POZICIE_INTERNE!$B$52*12,IF((POZICIE_INTERNE!$B$52-12*('TCO TO BE- SW'!$D154-1))&lt;0,0,(POZICIE_INTERNE!$B$52-12*('TCO TO BE- SW'!$D154-1))*((T$4+'TCO TO BE - HW'!T$4)/($E$4+'TCO TO BE - HW'!$E$4)*SUM(POZICIE_INTERNE!$I$52:$I$63))/POZICIE_INTERNE!$B$52)),0)+IFERROR(IF((AKTIVITY_POZICIE!$B$53-12*('TCO TO BE- SW'!$D154-1))&gt;12,((T$4+'TCO TO BE - HW'!T$4)/($E$4+'TCO TO BE - HW'!$E$4)*SUM(AKTIVITY_POZICIE!$M$53:$M$64))/AKTIVITY_POZICIE!$B$41*12,IF((AKTIVITY_POZICIE!$B$53-12*('TCO TO BE- SW'!$D154-1))&lt;0,0,(AKTIVITY_POZICIE!$B$53-12*('TCO TO BE- SW'!$D154-1))*((T$4+'TCO TO BE - HW'!T$4)/($E$4+'TCO TO BE - HW'!$E$4)*SUM(AKTIVITY_POZICIE!$M$53:$M$64))/AKTIVITY_POZICIE!$B$53)),0)</f>
        <v>0</v>
      </c>
      <c r="U164" s="576">
        <f>IFERROR(IF((POZICIE_INTERNE!$B$52-12*('TCO TO BE- SW'!$D154-1))&gt;12,((U$4+'TCO TO BE - HW'!U$4)/($E$4+'TCO TO BE - HW'!$E$4)*SUM(POZICIE_INTERNE!$I$52:$I$63))/POZICIE_INTERNE!$B$52*12,IF((POZICIE_INTERNE!$B$52-12*('TCO TO BE- SW'!$D154-1))&lt;0,0,(POZICIE_INTERNE!$B$52-12*('TCO TO BE- SW'!$D154-1))*((U$4+'TCO TO BE - HW'!U$4)/($E$4+'TCO TO BE - HW'!$E$4)*SUM(POZICIE_INTERNE!$I$52:$I$63))/POZICIE_INTERNE!$B$52)),0)+IFERROR(IF((AKTIVITY_POZICIE!$B$53-12*('TCO TO BE- SW'!$D154-1))&gt;12,((U$4+'TCO TO BE - HW'!U$4)/($E$4+'TCO TO BE - HW'!$E$4)*SUM(AKTIVITY_POZICIE!$M$53:$M$64))/AKTIVITY_POZICIE!$B$41*12,IF((AKTIVITY_POZICIE!$B$53-12*('TCO TO BE- SW'!$D154-1))&lt;0,0,(AKTIVITY_POZICIE!$B$53-12*('TCO TO BE- SW'!$D154-1))*((U$4+'TCO TO BE - HW'!U$4)/($E$4+'TCO TO BE - HW'!$E$4)*SUM(AKTIVITY_POZICIE!$M$53:$M$64))/AKTIVITY_POZICIE!$B$53)),0)</f>
        <v>0</v>
      </c>
      <c r="V164" s="576">
        <f>IFERROR(IF((POZICIE_INTERNE!$B$52-12*('TCO TO BE- SW'!$D154-1))&gt;12,((V$4+'TCO TO BE - HW'!V$4)/($E$4+'TCO TO BE - HW'!$E$4)*SUM(POZICIE_INTERNE!$I$52:$I$63))/POZICIE_INTERNE!$B$52*12,IF((POZICIE_INTERNE!$B$52-12*('TCO TO BE- SW'!$D154-1))&lt;0,0,(POZICIE_INTERNE!$B$52-12*('TCO TO BE- SW'!$D154-1))*((V$4+'TCO TO BE - HW'!V$4)/($E$4+'TCO TO BE - HW'!$E$4)*SUM(POZICIE_INTERNE!$I$52:$I$63))/POZICIE_INTERNE!$B$52)),0)+IFERROR(IF((AKTIVITY_POZICIE!$B$53-12*('TCO TO BE- SW'!$D154-1))&gt;12,((V$4+'TCO TO BE - HW'!V$4)/($E$4+'TCO TO BE - HW'!$E$4)*SUM(AKTIVITY_POZICIE!$M$53:$M$64))/AKTIVITY_POZICIE!$B$41*12,IF((AKTIVITY_POZICIE!$B$53-12*('TCO TO BE- SW'!$D154-1))&lt;0,0,(AKTIVITY_POZICIE!$B$53-12*('TCO TO BE- SW'!$D154-1))*((V$4+'TCO TO BE - HW'!V$4)/($E$4+'TCO TO BE - HW'!$E$4)*SUM(AKTIVITY_POZICIE!$M$53:$M$64))/AKTIVITY_POZICIE!$B$53)),0)</f>
        <v>0</v>
      </c>
      <c r="W164" s="576">
        <f>IFERROR(IF((POZICIE_INTERNE!$B$52-12*('TCO TO BE- SW'!$D154-1))&gt;12,((W$4+'TCO TO BE - HW'!W$4)/($E$4+'TCO TO BE - HW'!$E$4)*SUM(POZICIE_INTERNE!$I$52:$I$63))/POZICIE_INTERNE!$B$52*12,IF((POZICIE_INTERNE!$B$52-12*('TCO TO BE- SW'!$D154-1))&lt;0,0,(POZICIE_INTERNE!$B$52-12*('TCO TO BE- SW'!$D154-1))*((W$4+'TCO TO BE - HW'!W$4)/($E$4+'TCO TO BE - HW'!$E$4)*SUM(POZICIE_INTERNE!$I$52:$I$63))/POZICIE_INTERNE!$B$52)),0)+IFERROR(IF((AKTIVITY_POZICIE!$B$53-12*('TCO TO BE- SW'!$D154-1))&gt;12,((W$4+'TCO TO BE - HW'!W$4)/($E$4+'TCO TO BE - HW'!$E$4)*SUM(AKTIVITY_POZICIE!$M$53:$M$64))/AKTIVITY_POZICIE!$B$41*12,IF((AKTIVITY_POZICIE!$B$53-12*('TCO TO BE- SW'!$D154-1))&lt;0,0,(AKTIVITY_POZICIE!$B$53-12*('TCO TO BE- SW'!$D154-1))*((W$4+'TCO TO BE - HW'!W$4)/($E$4+'TCO TO BE - HW'!$E$4)*SUM(AKTIVITY_POZICIE!$M$53:$M$64))/AKTIVITY_POZICIE!$B$53)),0)</f>
        <v>0</v>
      </c>
      <c r="X164" s="576">
        <f>IFERROR(IF((POZICIE_INTERNE!$B$52-12*('TCO TO BE- SW'!$D154-1))&gt;12,((X$4+'TCO TO BE - HW'!X$4)/($E$4+'TCO TO BE - HW'!$E$4)*SUM(POZICIE_INTERNE!$I$52:$I$63))/POZICIE_INTERNE!$B$52*12,IF((POZICIE_INTERNE!$B$52-12*('TCO TO BE- SW'!$D154-1))&lt;0,0,(POZICIE_INTERNE!$B$52-12*('TCO TO BE- SW'!$D154-1))*((X$4+'TCO TO BE - HW'!X$4)/($E$4+'TCO TO BE - HW'!$E$4)*SUM(POZICIE_INTERNE!$I$52:$I$63))/POZICIE_INTERNE!$B$52)),0)+IFERROR(IF((AKTIVITY_POZICIE!$B$53-12*('TCO TO BE- SW'!$D154-1))&gt;12,((X$4+'TCO TO BE - HW'!X$4)/($E$4+'TCO TO BE - HW'!$E$4)*SUM(AKTIVITY_POZICIE!$M$53:$M$64))/AKTIVITY_POZICIE!$B$41*12,IF((AKTIVITY_POZICIE!$B$53-12*('TCO TO BE- SW'!$D154-1))&lt;0,0,(AKTIVITY_POZICIE!$B$53-12*('TCO TO BE- SW'!$D154-1))*((X$4+'TCO TO BE - HW'!X$4)/($E$4+'TCO TO BE - HW'!$E$4)*SUM(AKTIVITY_POZICIE!$M$53:$M$64))/AKTIVITY_POZICIE!$B$53)),0)</f>
        <v>0</v>
      </c>
      <c r="Y164" s="576">
        <f>IFERROR(IF((POZICIE_INTERNE!$B$52-12*('TCO TO BE- SW'!$D154-1))&gt;12,((Y$4+'TCO TO BE - HW'!Y$4)/($E$4+'TCO TO BE - HW'!$E$4)*SUM(POZICIE_INTERNE!$I$52:$I$63))/POZICIE_INTERNE!$B$52*12,IF((POZICIE_INTERNE!$B$52-12*('TCO TO BE- SW'!$D154-1))&lt;0,0,(POZICIE_INTERNE!$B$52-12*('TCO TO BE- SW'!$D154-1))*((Y$4+'TCO TO BE - HW'!Y$4)/($E$4+'TCO TO BE - HW'!$E$4)*SUM(POZICIE_INTERNE!$I$52:$I$63))/POZICIE_INTERNE!$B$52)),0)+IFERROR(IF((AKTIVITY_POZICIE!$B$53-12*('TCO TO BE- SW'!$D154-1))&gt;12,((Y$4+'TCO TO BE - HW'!Y$4)/($E$4+'TCO TO BE - HW'!$E$4)*SUM(AKTIVITY_POZICIE!$M$53:$M$64))/AKTIVITY_POZICIE!$B$41*12,IF((AKTIVITY_POZICIE!$B$53-12*('TCO TO BE- SW'!$D154-1))&lt;0,0,(AKTIVITY_POZICIE!$B$53-12*('TCO TO BE- SW'!$D154-1))*((Y$4+'TCO TO BE - HW'!Y$4)/($E$4+'TCO TO BE - HW'!$E$4)*SUM(AKTIVITY_POZICIE!$M$53:$M$64))/AKTIVITY_POZICIE!$B$53)),0)</f>
        <v>0</v>
      </c>
      <c r="Z164" s="576">
        <f>IFERROR(IF((POZICIE_INTERNE!$B$52-12*('TCO TO BE- SW'!$D154-1))&gt;12,((Z$4+'TCO TO BE - HW'!Z$4)/($E$4+'TCO TO BE - HW'!$E$4)*SUM(POZICIE_INTERNE!$I$52:$I$63))/POZICIE_INTERNE!$B$52*12,IF((POZICIE_INTERNE!$B$52-12*('TCO TO BE- SW'!$D154-1))&lt;0,0,(POZICIE_INTERNE!$B$52-12*('TCO TO BE- SW'!$D154-1))*((Z$4+'TCO TO BE - HW'!Z$4)/($E$4+'TCO TO BE - HW'!$E$4)*SUM(POZICIE_INTERNE!$I$52:$I$63))/POZICIE_INTERNE!$B$52)),0)+IFERROR(IF((AKTIVITY_POZICIE!$B$53-12*('TCO TO BE- SW'!$D154-1))&gt;12,((Z$4+'TCO TO BE - HW'!Z$4)/($E$4+'TCO TO BE - HW'!$E$4)*SUM(AKTIVITY_POZICIE!$M$53:$M$64))/AKTIVITY_POZICIE!$B$41*12,IF((AKTIVITY_POZICIE!$B$53-12*('TCO TO BE- SW'!$D154-1))&lt;0,0,(AKTIVITY_POZICIE!$B$53-12*('TCO TO BE- SW'!$D154-1))*((Z$4+'TCO TO BE - HW'!Z$4)/($E$4+'TCO TO BE - HW'!$E$4)*SUM(AKTIVITY_POZICIE!$M$53:$M$64))/AKTIVITY_POZICIE!$B$53)),0)</f>
        <v>0</v>
      </c>
    </row>
    <row r="165" spans="1:26">
      <c r="A165" s="875"/>
      <c r="B165" s="876"/>
      <c r="C165" s="876"/>
      <c r="D165" s="64">
        <v>5</v>
      </c>
      <c r="E165" s="68">
        <f t="shared" si="16"/>
        <v>0</v>
      </c>
      <c r="F165" s="576">
        <f>IFERROR(IF((POZICIE_INTERNE!$B$52-12*('TCO TO BE- SW'!$D155-1))&gt;12,((F$4+'TCO TO BE - HW'!F$4)/($E$4+'TCO TO BE - HW'!$E$4)*SUM(POZICIE_INTERNE!$I$52:$I$63))/POZICIE_INTERNE!$B$52*12,IF((POZICIE_INTERNE!$B$52-12*('TCO TO BE- SW'!$D155-1))&lt;0,0,(POZICIE_INTERNE!$B$52-12*('TCO TO BE- SW'!$D155-1))*((F$4+'TCO TO BE - HW'!F$4)/($E$4+'TCO TO BE - HW'!$E$4)*SUM(POZICIE_INTERNE!$I$52:$I$63))/POZICIE_INTERNE!$B$52)),0)+IFERROR(IF((AKTIVITY_POZICIE!$B$53-12*('TCO TO BE- SW'!$D155-1))&gt;12,((F$4+'TCO TO BE - HW'!F$4)/($E$4+'TCO TO BE - HW'!$E$4)*SUM(AKTIVITY_POZICIE!$M$53:$M$64))/AKTIVITY_POZICIE!$B$41*12,IF((AKTIVITY_POZICIE!$B$53-12*('TCO TO BE- SW'!$D155-1))&lt;0,0,(AKTIVITY_POZICIE!$B$53-12*('TCO TO BE- SW'!$D155-1))*((F$4+'TCO TO BE - HW'!F$4)/($E$4+'TCO TO BE - HW'!$E$4)*SUM(AKTIVITY_POZICIE!$M$53:$M$64))/AKTIVITY_POZICIE!$B$53)),0)</f>
        <v>0</v>
      </c>
      <c r="G165" s="576">
        <f>IFERROR(IF((POZICIE_INTERNE!$B$52-12*('TCO TO BE- SW'!$D155-1))&gt;12,((G$4+'TCO TO BE - HW'!G$4)/($E$4+'TCO TO BE - HW'!$E$4)*SUM(POZICIE_INTERNE!$I$52:$I$63))/POZICIE_INTERNE!$B$52*12,IF((POZICIE_INTERNE!$B$52-12*('TCO TO BE- SW'!$D155-1))&lt;0,0,(POZICIE_INTERNE!$B$52-12*('TCO TO BE- SW'!$D155-1))*((G$4+'TCO TO BE - HW'!G$4)/($E$4+'TCO TO BE - HW'!$E$4)*SUM(POZICIE_INTERNE!$I$52:$I$63))/POZICIE_INTERNE!$B$52)),0)+IFERROR(IF((AKTIVITY_POZICIE!$B$53-12*('TCO TO BE- SW'!$D155-1))&gt;12,((G$4+'TCO TO BE - HW'!G$4)/($E$4+'TCO TO BE - HW'!$E$4)*SUM(AKTIVITY_POZICIE!$M$53:$M$64))/AKTIVITY_POZICIE!$B$41*12,IF((AKTIVITY_POZICIE!$B$53-12*('TCO TO BE- SW'!$D155-1))&lt;0,0,(AKTIVITY_POZICIE!$B$53-12*('TCO TO BE- SW'!$D155-1))*((G$4+'TCO TO BE - HW'!G$4)/($E$4+'TCO TO BE - HW'!$E$4)*SUM(AKTIVITY_POZICIE!$M$53:$M$64))/AKTIVITY_POZICIE!$B$53)),0)</f>
        <v>0</v>
      </c>
      <c r="H165" s="576">
        <f>IFERROR(IF((POZICIE_INTERNE!$B$52-12*('TCO TO BE- SW'!$D155-1))&gt;12,((H$4+'TCO TO BE - HW'!H$4)/($E$4+'TCO TO BE - HW'!$E$4)*SUM(POZICIE_INTERNE!$I$52:$I$63))/POZICIE_INTERNE!$B$52*12,IF((POZICIE_INTERNE!$B$52-12*('TCO TO BE- SW'!$D155-1))&lt;0,0,(POZICIE_INTERNE!$B$52-12*('TCO TO BE- SW'!$D155-1))*((H$4+'TCO TO BE - HW'!H$4)/($E$4+'TCO TO BE - HW'!$E$4)*SUM(POZICIE_INTERNE!$I$52:$I$63))/POZICIE_INTERNE!$B$52)),0)+IFERROR(IF((AKTIVITY_POZICIE!$B$53-12*('TCO TO BE- SW'!$D155-1))&gt;12,((H$4+'TCO TO BE - HW'!H$4)/($E$4+'TCO TO BE - HW'!$E$4)*SUM(AKTIVITY_POZICIE!$M$53:$M$64))/AKTIVITY_POZICIE!$B$41*12,IF((AKTIVITY_POZICIE!$B$53-12*('TCO TO BE- SW'!$D155-1))&lt;0,0,(AKTIVITY_POZICIE!$B$53-12*('TCO TO BE- SW'!$D155-1))*((H$4+'TCO TO BE - HW'!H$4)/($E$4+'TCO TO BE - HW'!$E$4)*SUM(AKTIVITY_POZICIE!$M$53:$M$64))/AKTIVITY_POZICIE!$B$53)),0)</f>
        <v>0</v>
      </c>
      <c r="I165" s="576">
        <f>IFERROR(IF((POZICIE_INTERNE!$B$52-12*('TCO TO BE- SW'!$D155-1))&gt;12,((I$4+'TCO TO BE - HW'!I$4)/($E$4+'TCO TO BE - HW'!$E$4)*SUM(POZICIE_INTERNE!$I$52:$I$63))/POZICIE_INTERNE!$B$52*12,IF((POZICIE_INTERNE!$B$52-12*('TCO TO BE- SW'!$D155-1))&lt;0,0,(POZICIE_INTERNE!$B$52-12*('TCO TO BE- SW'!$D155-1))*((I$4+'TCO TO BE - HW'!I$4)/($E$4+'TCO TO BE - HW'!$E$4)*SUM(POZICIE_INTERNE!$I$52:$I$63))/POZICIE_INTERNE!$B$52)),0)+IFERROR(IF((AKTIVITY_POZICIE!$B$53-12*('TCO TO BE- SW'!$D155-1))&gt;12,((I$4+'TCO TO BE - HW'!I$4)/($E$4+'TCO TO BE - HW'!$E$4)*SUM(AKTIVITY_POZICIE!$M$53:$M$64))/AKTIVITY_POZICIE!$B$41*12,IF((AKTIVITY_POZICIE!$B$53-12*('TCO TO BE- SW'!$D155-1))&lt;0,0,(AKTIVITY_POZICIE!$B$53-12*('TCO TO BE- SW'!$D155-1))*((I$4+'TCO TO BE - HW'!I$4)/($E$4+'TCO TO BE - HW'!$E$4)*SUM(AKTIVITY_POZICIE!$M$53:$M$64))/AKTIVITY_POZICIE!$B$53)),0)</f>
        <v>0</v>
      </c>
      <c r="J165" s="576">
        <f>IFERROR(IF((POZICIE_INTERNE!$B$52-12*('TCO TO BE- SW'!$D155-1))&gt;12,((J$4+'TCO TO BE - HW'!J$4)/($E$4+'TCO TO BE - HW'!$E$4)*SUM(POZICIE_INTERNE!$I$52:$I$63))/POZICIE_INTERNE!$B$52*12,IF((POZICIE_INTERNE!$B$52-12*('TCO TO BE- SW'!$D155-1))&lt;0,0,(POZICIE_INTERNE!$B$52-12*('TCO TO BE- SW'!$D155-1))*((J$4+'TCO TO BE - HW'!J$4)/($E$4+'TCO TO BE - HW'!$E$4)*SUM(POZICIE_INTERNE!$I$52:$I$63))/POZICIE_INTERNE!$B$52)),0)+IFERROR(IF((AKTIVITY_POZICIE!$B$53-12*('TCO TO BE- SW'!$D155-1))&gt;12,((J$4+'TCO TO BE - HW'!J$4)/($E$4+'TCO TO BE - HW'!$E$4)*SUM(AKTIVITY_POZICIE!$M$53:$M$64))/AKTIVITY_POZICIE!$B$41*12,IF((AKTIVITY_POZICIE!$B$53-12*('TCO TO BE- SW'!$D155-1))&lt;0,0,(AKTIVITY_POZICIE!$B$53-12*('TCO TO BE- SW'!$D155-1))*((J$4+'TCO TO BE - HW'!J$4)/($E$4+'TCO TO BE - HW'!$E$4)*SUM(AKTIVITY_POZICIE!$M$53:$M$64))/AKTIVITY_POZICIE!$B$53)),0)</f>
        <v>0</v>
      </c>
      <c r="K165" s="576">
        <f>IFERROR(IF((POZICIE_INTERNE!$B$52-12*('TCO TO BE- SW'!$D155-1))&gt;12,((K$4+'TCO TO BE - HW'!K$4)/($E$4+'TCO TO BE - HW'!$E$4)*SUM(POZICIE_INTERNE!$I$52:$I$63))/POZICIE_INTERNE!$B$52*12,IF((POZICIE_INTERNE!$B$52-12*('TCO TO BE- SW'!$D155-1))&lt;0,0,(POZICIE_INTERNE!$B$52-12*('TCO TO BE- SW'!$D155-1))*((K$4+'TCO TO BE - HW'!K$4)/($E$4+'TCO TO BE - HW'!$E$4)*SUM(POZICIE_INTERNE!$I$52:$I$63))/POZICIE_INTERNE!$B$52)),0)+IFERROR(IF((AKTIVITY_POZICIE!$B$53-12*('TCO TO BE- SW'!$D155-1))&gt;12,((K$4+'TCO TO BE - HW'!K$4)/($E$4+'TCO TO BE - HW'!$E$4)*SUM(AKTIVITY_POZICIE!$M$53:$M$64))/AKTIVITY_POZICIE!$B$41*12,IF((AKTIVITY_POZICIE!$B$53-12*('TCO TO BE- SW'!$D155-1))&lt;0,0,(AKTIVITY_POZICIE!$B$53-12*('TCO TO BE- SW'!$D155-1))*((K$4+'TCO TO BE - HW'!K$4)/($E$4+'TCO TO BE - HW'!$E$4)*SUM(AKTIVITY_POZICIE!$M$53:$M$64))/AKTIVITY_POZICIE!$B$53)),0)</f>
        <v>0</v>
      </c>
      <c r="L165" s="576">
        <f>IFERROR(IF((POZICIE_INTERNE!$B$52-12*('TCO TO BE- SW'!$D155-1))&gt;12,((L$4+'TCO TO BE - HW'!L$4)/($E$4+'TCO TO BE - HW'!$E$4)*SUM(POZICIE_INTERNE!$I$52:$I$63))/POZICIE_INTERNE!$B$52*12,IF((POZICIE_INTERNE!$B$52-12*('TCO TO BE- SW'!$D155-1))&lt;0,0,(POZICIE_INTERNE!$B$52-12*('TCO TO BE- SW'!$D155-1))*((L$4+'TCO TO BE - HW'!L$4)/($E$4+'TCO TO BE - HW'!$E$4)*SUM(POZICIE_INTERNE!$I$52:$I$63))/POZICIE_INTERNE!$B$52)),0)+IFERROR(IF((AKTIVITY_POZICIE!$B$53-12*('TCO TO BE- SW'!$D155-1))&gt;12,((L$4+'TCO TO BE - HW'!L$4)/($E$4+'TCO TO BE - HW'!$E$4)*SUM(AKTIVITY_POZICIE!$M$53:$M$64))/AKTIVITY_POZICIE!$B$41*12,IF((AKTIVITY_POZICIE!$B$53-12*('TCO TO BE- SW'!$D155-1))&lt;0,0,(AKTIVITY_POZICIE!$B$53-12*('TCO TO BE- SW'!$D155-1))*((L$4+'TCO TO BE - HW'!L$4)/($E$4+'TCO TO BE - HW'!$E$4)*SUM(AKTIVITY_POZICIE!$M$53:$M$64))/AKTIVITY_POZICIE!$B$53)),0)</f>
        <v>0</v>
      </c>
      <c r="M165" s="576">
        <f>IFERROR(IF((POZICIE_INTERNE!$B$52-12*('TCO TO BE- SW'!$D155-1))&gt;12,((M$4+'TCO TO BE - HW'!M$4)/($E$4+'TCO TO BE - HW'!$E$4)*SUM(POZICIE_INTERNE!$I$52:$I$63))/POZICIE_INTERNE!$B$52*12,IF((POZICIE_INTERNE!$B$52-12*('TCO TO BE- SW'!$D155-1))&lt;0,0,(POZICIE_INTERNE!$B$52-12*('TCO TO BE- SW'!$D155-1))*((M$4+'TCO TO BE - HW'!M$4)/($E$4+'TCO TO BE - HW'!$E$4)*SUM(POZICIE_INTERNE!$I$52:$I$63))/POZICIE_INTERNE!$B$52)),0)+IFERROR(IF((AKTIVITY_POZICIE!$B$53-12*('TCO TO BE- SW'!$D155-1))&gt;12,((M$4+'TCO TO BE - HW'!M$4)/($E$4+'TCO TO BE - HW'!$E$4)*SUM(AKTIVITY_POZICIE!$M$53:$M$64))/AKTIVITY_POZICIE!$B$41*12,IF((AKTIVITY_POZICIE!$B$53-12*('TCO TO BE- SW'!$D155-1))&lt;0,0,(AKTIVITY_POZICIE!$B$53-12*('TCO TO BE- SW'!$D155-1))*((M$4+'TCO TO BE - HW'!M$4)/($E$4+'TCO TO BE - HW'!$E$4)*SUM(AKTIVITY_POZICIE!$M$53:$M$64))/AKTIVITY_POZICIE!$B$53)),0)</f>
        <v>0</v>
      </c>
      <c r="N165" s="576">
        <f>IFERROR(IF((POZICIE_INTERNE!$B$52-12*('TCO TO BE- SW'!$D155-1))&gt;12,((N$4+'TCO TO BE - HW'!N$4)/($E$4+'TCO TO BE - HW'!$E$4)*SUM(POZICIE_INTERNE!$I$52:$I$63))/POZICIE_INTERNE!$B$52*12,IF((POZICIE_INTERNE!$B$52-12*('TCO TO BE- SW'!$D155-1))&lt;0,0,(POZICIE_INTERNE!$B$52-12*('TCO TO BE- SW'!$D155-1))*((N$4+'TCO TO BE - HW'!N$4)/($E$4+'TCO TO BE - HW'!$E$4)*SUM(POZICIE_INTERNE!$I$52:$I$63))/POZICIE_INTERNE!$B$52)),0)+IFERROR(IF((AKTIVITY_POZICIE!$B$53-12*('TCO TO BE- SW'!$D155-1))&gt;12,((N$4+'TCO TO BE - HW'!N$4)/($E$4+'TCO TO BE - HW'!$E$4)*SUM(AKTIVITY_POZICIE!$M$53:$M$64))/AKTIVITY_POZICIE!$B$41*12,IF((AKTIVITY_POZICIE!$B$53-12*('TCO TO BE- SW'!$D155-1))&lt;0,0,(AKTIVITY_POZICIE!$B$53-12*('TCO TO BE- SW'!$D155-1))*((N$4+'TCO TO BE - HW'!N$4)/($E$4+'TCO TO BE - HW'!$E$4)*SUM(AKTIVITY_POZICIE!$M$53:$M$64))/AKTIVITY_POZICIE!$B$53)),0)</f>
        <v>0</v>
      </c>
      <c r="O165" s="576">
        <f>IFERROR(IF((POZICIE_INTERNE!$B$52-12*('TCO TO BE- SW'!$D155-1))&gt;12,((O$4+'TCO TO BE - HW'!O$4)/($E$4+'TCO TO BE - HW'!$E$4)*SUM(POZICIE_INTERNE!$I$52:$I$63))/POZICIE_INTERNE!$B$52*12,IF((POZICIE_INTERNE!$B$52-12*('TCO TO BE- SW'!$D155-1))&lt;0,0,(POZICIE_INTERNE!$B$52-12*('TCO TO BE- SW'!$D155-1))*((O$4+'TCO TO BE - HW'!O$4)/($E$4+'TCO TO BE - HW'!$E$4)*SUM(POZICIE_INTERNE!$I$52:$I$63))/POZICIE_INTERNE!$B$52)),0)+IFERROR(IF((AKTIVITY_POZICIE!$B$53-12*('TCO TO BE- SW'!$D155-1))&gt;12,((O$4+'TCO TO BE - HW'!O$4)/($E$4+'TCO TO BE - HW'!$E$4)*SUM(AKTIVITY_POZICIE!$M$53:$M$64))/AKTIVITY_POZICIE!$B$41*12,IF((AKTIVITY_POZICIE!$B$53-12*('TCO TO BE- SW'!$D155-1))&lt;0,0,(AKTIVITY_POZICIE!$B$53-12*('TCO TO BE- SW'!$D155-1))*((O$4+'TCO TO BE - HW'!O$4)/($E$4+'TCO TO BE - HW'!$E$4)*SUM(AKTIVITY_POZICIE!$M$53:$M$64))/AKTIVITY_POZICIE!$B$53)),0)</f>
        <v>0</v>
      </c>
      <c r="P165" s="576">
        <f>IFERROR(IF((POZICIE_INTERNE!$B$52-12*('TCO TO BE- SW'!$D155-1))&gt;12,((P$4+'TCO TO BE - HW'!P$4)/($E$4+'TCO TO BE - HW'!$E$4)*SUM(POZICIE_INTERNE!$I$52:$I$63))/POZICIE_INTERNE!$B$52*12,IF((POZICIE_INTERNE!$B$52-12*('TCO TO BE- SW'!$D155-1))&lt;0,0,(POZICIE_INTERNE!$B$52-12*('TCO TO BE- SW'!$D155-1))*((P$4+'TCO TO BE - HW'!P$4)/($E$4+'TCO TO BE - HW'!$E$4)*SUM(POZICIE_INTERNE!$I$52:$I$63))/POZICIE_INTERNE!$B$52)),0)+IFERROR(IF((AKTIVITY_POZICIE!$B$53-12*('TCO TO BE- SW'!$D155-1))&gt;12,((P$4+'TCO TO BE - HW'!P$4)/($E$4+'TCO TO BE - HW'!$E$4)*SUM(AKTIVITY_POZICIE!$M$53:$M$64))/AKTIVITY_POZICIE!$B$41*12,IF((AKTIVITY_POZICIE!$B$53-12*('TCO TO BE- SW'!$D155-1))&lt;0,0,(AKTIVITY_POZICIE!$B$53-12*('TCO TO BE- SW'!$D155-1))*((P$4+'TCO TO BE - HW'!P$4)/($E$4+'TCO TO BE - HW'!$E$4)*SUM(AKTIVITY_POZICIE!$M$53:$M$64))/AKTIVITY_POZICIE!$B$53)),0)</f>
        <v>0</v>
      </c>
      <c r="Q165" s="576">
        <f>IFERROR(IF((POZICIE_INTERNE!$B$52-12*('TCO TO BE- SW'!$D155-1))&gt;12,((Q$4+'TCO TO BE - HW'!Q$4)/($E$4+'TCO TO BE - HW'!$E$4)*SUM(POZICIE_INTERNE!$I$52:$I$63))/POZICIE_INTERNE!$B$52*12,IF((POZICIE_INTERNE!$B$52-12*('TCO TO BE- SW'!$D155-1))&lt;0,0,(POZICIE_INTERNE!$B$52-12*('TCO TO BE- SW'!$D155-1))*((Q$4+'TCO TO BE - HW'!Q$4)/($E$4+'TCO TO BE - HW'!$E$4)*SUM(POZICIE_INTERNE!$I$52:$I$63))/POZICIE_INTERNE!$B$52)),0)+IFERROR(IF((AKTIVITY_POZICIE!$B$53-12*('TCO TO BE- SW'!$D155-1))&gt;12,((Q$4+'TCO TO BE - HW'!Q$4)/($E$4+'TCO TO BE - HW'!$E$4)*SUM(AKTIVITY_POZICIE!$M$53:$M$64))/AKTIVITY_POZICIE!$B$41*12,IF((AKTIVITY_POZICIE!$B$53-12*('TCO TO BE- SW'!$D155-1))&lt;0,0,(AKTIVITY_POZICIE!$B$53-12*('TCO TO BE- SW'!$D155-1))*((Q$4+'TCO TO BE - HW'!Q$4)/($E$4+'TCO TO BE - HW'!$E$4)*SUM(AKTIVITY_POZICIE!$M$53:$M$64))/AKTIVITY_POZICIE!$B$53)),0)</f>
        <v>0</v>
      </c>
      <c r="R165" s="576">
        <f>IFERROR(IF((POZICIE_INTERNE!$B$52-12*('TCO TO BE- SW'!$D155-1))&gt;12,((R$4+'TCO TO BE - HW'!R$4)/($E$4+'TCO TO BE - HW'!$E$4)*SUM(POZICIE_INTERNE!$I$52:$I$63))/POZICIE_INTERNE!$B$52*12,IF((POZICIE_INTERNE!$B$52-12*('TCO TO BE- SW'!$D155-1))&lt;0,0,(POZICIE_INTERNE!$B$52-12*('TCO TO BE- SW'!$D155-1))*((R$4+'TCO TO BE - HW'!R$4)/($E$4+'TCO TO BE - HW'!$E$4)*SUM(POZICIE_INTERNE!$I$52:$I$63))/POZICIE_INTERNE!$B$52)),0)+IFERROR(IF((AKTIVITY_POZICIE!$B$53-12*('TCO TO BE- SW'!$D155-1))&gt;12,((R$4+'TCO TO BE - HW'!R$4)/($E$4+'TCO TO BE - HW'!$E$4)*SUM(AKTIVITY_POZICIE!$M$53:$M$64))/AKTIVITY_POZICIE!$B$41*12,IF((AKTIVITY_POZICIE!$B$53-12*('TCO TO BE- SW'!$D155-1))&lt;0,0,(AKTIVITY_POZICIE!$B$53-12*('TCO TO BE- SW'!$D155-1))*((R$4+'TCO TO BE - HW'!R$4)/($E$4+'TCO TO BE - HW'!$E$4)*SUM(AKTIVITY_POZICIE!$M$53:$M$64))/AKTIVITY_POZICIE!$B$53)),0)</f>
        <v>0</v>
      </c>
      <c r="S165" s="576">
        <f>IFERROR(IF((POZICIE_INTERNE!$B$52-12*('TCO TO BE- SW'!$D155-1))&gt;12,((S$4+'TCO TO BE - HW'!S$4)/($E$4+'TCO TO BE - HW'!$E$4)*SUM(POZICIE_INTERNE!$I$52:$I$63))/POZICIE_INTERNE!$B$52*12,IF((POZICIE_INTERNE!$B$52-12*('TCO TO BE- SW'!$D155-1))&lt;0,0,(POZICIE_INTERNE!$B$52-12*('TCO TO BE- SW'!$D155-1))*((S$4+'TCO TO BE - HW'!S$4)/($E$4+'TCO TO BE - HW'!$E$4)*SUM(POZICIE_INTERNE!$I$52:$I$63))/POZICIE_INTERNE!$B$52)),0)+IFERROR(IF((AKTIVITY_POZICIE!$B$53-12*('TCO TO BE- SW'!$D155-1))&gt;12,((S$4+'TCO TO BE - HW'!S$4)/($E$4+'TCO TO BE - HW'!$E$4)*SUM(AKTIVITY_POZICIE!$M$53:$M$64))/AKTIVITY_POZICIE!$B$41*12,IF((AKTIVITY_POZICIE!$B$53-12*('TCO TO BE- SW'!$D155-1))&lt;0,0,(AKTIVITY_POZICIE!$B$53-12*('TCO TO BE- SW'!$D155-1))*((S$4+'TCO TO BE - HW'!S$4)/($E$4+'TCO TO BE - HW'!$E$4)*SUM(AKTIVITY_POZICIE!$M$53:$M$64))/AKTIVITY_POZICIE!$B$53)),0)</f>
        <v>0</v>
      </c>
      <c r="T165" s="576">
        <f>IFERROR(IF((POZICIE_INTERNE!$B$52-12*('TCO TO BE- SW'!$D155-1))&gt;12,((T$4+'TCO TO BE - HW'!T$4)/($E$4+'TCO TO BE - HW'!$E$4)*SUM(POZICIE_INTERNE!$I$52:$I$63))/POZICIE_INTERNE!$B$52*12,IF((POZICIE_INTERNE!$B$52-12*('TCO TO BE- SW'!$D155-1))&lt;0,0,(POZICIE_INTERNE!$B$52-12*('TCO TO BE- SW'!$D155-1))*((T$4+'TCO TO BE - HW'!T$4)/($E$4+'TCO TO BE - HW'!$E$4)*SUM(POZICIE_INTERNE!$I$52:$I$63))/POZICIE_INTERNE!$B$52)),0)+IFERROR(IF((AKTIVITY_POZICIE!$B$53-12*('TCO TO BE- SW'!$D155-1))&gt;12,((T$4+'TCO TO BE - HW'!T$4)/($E$4+'TCO TO BE - HW'!$E$4)*SUM(AKTIVITY_POZICIE!$M$53:$M$64))/AKTIVITY_POZICIE!$B$41*12,IF((AKTIVITY_POZICIE!$B$53-12*('TCO TO BE- SW'!$D155-1))&lt;0,0,(AKTIVITY_POZICIE!$B$53-12*('TCO TO BE- SW'!$D155-1))*((T$4+'TCO TO BE - HW'!T$4)/($E$4+'TCO TO BE - HW'!$E$4)*SUM(AKTIVITY_POZICIE!$M$53:$M$64))/AKTIVITY_POZICIE!$B$53)),0)</f>
        <v>0</v>
      </c>
      <c r="U165" s="576">
        <f>IFERROR(IF((POZICIE_INTERNE!$B$52-12*('TCO TO BE- SW'!$D155-1))&gt;12,((U$4+'TCO TO BE - HW'!U$4)/($E$4+'TCO TO BE - HW'!$E$4)*SUM(POZICIE_INTERNE!$I$52:$I$63))/POZICIE_INTERNE!$B$52*12,IF((POZICIE_INTERNE!$B$52-12*('TCO TO BE- SW'!$D155-1))&lt;0,0,(POZICIE_INTERNE!$B$52-12*('TCO TO BE- SW'!$D155-1))*((U$4+'TCO TO BE - HW'!U$4)/($E$4+'TCO TO BE - HW'!$E$4)*SUM(POZICIE_INTERNE!$I$52:$I$63))/POZICIE_INTERNE!$B$52)),0)+IFERROR(IF((AKTIVITY_POZICIE!$B$53-12*('TCO TO BE- SW'!$D155-1))&gt;12,((U$4+'TCO TO BE - HW'!U$4)/($E$4+'TCO TO BE - HW'!$E$4)*SUM(AKTIVITY_POZICIE!$M$53:$M$64))/AKTIVITY_POZICIE!$B$41*12,IF((AKTIVITY_POZICIE!$B$53-12*('TCO TO BE- SW'!$D155-1))&lt;0,0,(AKTIVITY_POZICIE!$B$53-12*('TCO TO BE- SW'!$D155-1))*((U$4+'TCO TO BE - HW'!U$4)/($E$4+'TCO TO BE - HW'!$E$4)*SUM(AKTIVITY_POZICIE!$M$53:$M$64))/AKTIVITY_POZICIE!$B$53)),0)</f>
        <v>0</v>
      </c>
      <c r="V165" s="576">
        <f>IFERROR(IF((POZICIE_INTERNE!$B$52-12*('TCO TO BE- SW'!$D155-1))&gt;12,((V$4+'TCO TO BE - HW'!V$4)/($E$4+'TCO TO BE - HW'!$E$4)*SUM(POZICIE_INTERNE!$I$52:$I$63))/POZICIE_INTERNE!$B$52*12,IF((POZICIE_INTERNE!$B$52-12*('TCO TO BE- SW'!$D155-1))&lt;0,0,(POZICIE_INTERNE!$B$52-12*('TCO TO BE- SW'!$D155-1))*((V$4+'TCO TO BE - HW'!V$4)/($E$4+'TCO TO BE - HW'!$E$4)*SUM(POZICIE_INTERNE!$I$52:$I$63))/POZICIE_INTERNE!$B$52)),0)+IFERROR(IF((AKTIVITY_POZICIE!$B$53-12*('TCO TO BE- SW'!$D155-1))&gt;12,((V$4+'TCO TO BE - HW'!V$4)/($E$4+'TCO TO BE - HW'!$E$4)*SUM(AKTIVITY_POZICIE!$M$53:$M$64))/AKTIVITY_POZICIE!$B$41*12,IF((AKTIVITY_POZICIE!$B$53-12*('TCO TO BE- SW'!$D155-1))&lt;0,0,(AKTIVITY_POZICIE!$B$53-12*('TCO TO BE- SW'!$D155-1))*((V$4+'TCO TO BE - HW'!V$4)/($E$4+'TCO TO BE - HW'!$E$4)*SUM(AKTIVITY_POZICIE!$M$53:$M$64))/AKTIVITY_POZICIE!$B$53)),0)</f>
        <v>0</v>
      </c>
      <c r="W165" s="576">
        <f>IFERROR(IF((POZICIE_INTERNE!$B$52-12*('TCO TO BE- SW'!$D155-1))&gt;12,((W$4+'TCO TO BE - HW'!W$4)/($E$4+'TCO TO BE - HW'!$E$4)*SUM(POZICIE_INTERNE!$I$52:$I$63))/POZICIE_INTERNE!$B$52*12,IF((POZICIE_INTERNE!$B$52-12*('TCO TO BE- SW'!$D155-1))&lt;0,0,(POZICIE_INTERNE!$B$52-12*('TCO TO BE- SW'!$D155-1))*((W$4+'TCO TO BE - HW'!W$4)/($E$4+'TCO TO BE - HW'!$E$4)*SUM(POZICIE_INTERNE!$I$52:$I$63))/POZICIE_INTERNE!$B$52)),0)+IFERROR(IF((AKTIVITY_POZICIE!$B$53-12*('TCO TO BE- SW'!$D155-1))&gt;12,((W$4+'TCO TO BE - HW'!W$4)/($E$4+'TCO TO BE - HW'!$E$4)*SUM(AKTIVITY_POZICIE!$M$53:$M$64))/AKTIVITY_POZICIE!$B$41*12,IF((AKTIVITY_POZICIE!$B$53-12*('TCO TO BE- SW'!$D155-1))&lt;0,0,(AKTIVITY_POZICIE!$B$53-12*('TCO TO BE- SW'!$D155-1))*((W$4+'TCO TO BE - HW'!W$4)/($E$4+'TCO TO BE - HW'!$E$4)*SUM(AKTIVITY_POZICIE!$M$53:$M$64))/AKTIVITY_POZICIE!$B$53)),0)</f>
        <v>0</v>
      </c>
      <c r="X165" s="576">
        <f>IFERROR(IF((POZICIE_INTERNE!$B$52-12*('TCO TO BE- SW'!$D155-1))&gt;12,((X$4+'TCO TO BE - HW'!X$4)/($E$4+'TCO TO BE - HW'!$E$4)*SUM(POZICIE_INTERNE!$I$52:$I$63))/POZICIE_INTERNE!$B$52*12,IF((POZICIE_INTERNE!$B$52-12*('TCO TO BE- SW'!$D155-1))&lt;0,0,(POZICIE_INTERNE!$B$52-12*('TCO TO BE- SW'!$D155-1))*((X$4+'TCO TO BE - HW'!X$4)/($E$4+'TCO TO BE - HW'!$E$4)*SUM(POZICIE_INTERNE!$I$52:$I$63))/POZICIE_INTERNE!$B$52)),0)+IFERROR(IF((AKTIVITY_POZICIE!$B$53-12*('TCO TO BE- SW'!$D155-1))&gt;12,((X$4+'TCO TO BE - HW'!X$4)/($E$4+'TCO TO BE - HW'!$E$4)*SUM(AKTIVITY_POZICIE!$M$53:$M$64))/AKTIVITY_POZICIE!$B$41*12,IF((AKTIVITY_POZICIE!$B$53-12*('TCO TO BE- SW'!$D155-1))&lt;0,0,(AKTIVITY_POZICIE!$B$53-12*('TCO TO BE- SW'!$D155-1))*((X$4+'TCO TO BE - HW'!X$4)/($E$4+'TCO TO BE - HW'!$E$4)*SUM(AKTIVITY_POZICIE!$M$53:$M$64))/AKTIVITY_POZICIE!$B$53)),0)</f>
        <v>0</v>
      </c>
      <c r="Y165" s="576">
        <f>IFERROR(IF((POZICIE_INTERNE!$B$52-12*('TCO TO BE- SW'!$D155-1))&gt;12,((Y$4+'TCO TO BE - HW'!Y$4)/($E$4+'TCO TO BE - HW'!$E$4)*SUM(POZICIE_INTERNE!$I$52:$I$63))/POZICIE_INTERNE!$B$52*12,IF((POZICIE_INTERNE!$B$52-12*('TCO TO BE- SW'!$D155-1))&lt;0,0,(POZICIE_INTERNE!$B$52-12*('TCO TO BE- SW'!$D155-1))*((Y$4+'TCO TO BE - HW'!Y$4)/($E$4+'TCO TO BE - HW'!$E$4)*SUM(POZICIE_INTERNE!$I$52:$I$63))/POZICIE_INTERNE!$B$52)),0)+IFERROR(IF((AKTIVITY_POZICIE!$B$53-12*('TCO TO BE- SW'!$D155-1))&gt;12,((Y$4+'TCO TO BE - HW'!Y$4)/($E$4+'TCO TO BE - HW'!$E$4)*SUM(AKTIVITY_POZICIE!$M$53:$M$64))/AKTIVITY_POZICIE!$B$41*12,IF((AKTIVITY_POZICIE!$B$53-12*('TCO TO BE- SW'!$D155-1))&lt;0,0,(AKTIVITY_POZICIE!$B$53-12*('TCO TO BE- SW'!$D155-1))*((Y$4+'TCO TO BE - HW'!Y$4)/($E$4+'TCO TO BE - HW'!$E$4)*SUM(AKTIVITY_POZICIE!$M$53:$M$64))/AKTIVITY_POZICIE!$B$53)),0)</f>
        <v>0</v>
      </c>
      <c r="Z165" s="576">
        <f>IFERROR(IF((POZICIE_INTERNE!$B$52-12*('TCO TO BE- SW'!$D155-1))&gt;12,((Z$4+'TCO TO BE - HW'!Z$4)/($E$4+'TCO TO BE - HW'!$E$4)*SUM(POZICIE_INTERNE!$I$52:$I$63))/POZICIE_INTERNE!$B$52*12,IF((POZICIE_INTERNE!$B$52-12*('TCO TO BE- SW'!$D155-1))&lt;0,0,(POZICIE_INTERNE!$B$52-12*('TCO TO BE- SW'!$D155-1))*((Z$4+'TCO TO BE - HW'!Z$4)/($E$4+'TCO TO BE - HW'!$E$4)*SUM(POZICIE_INTERNE!$I$52:$I$63))/POZICIE_INTERNE!$B$52)),0)+IFERROR(IF((AKTIVITY_POZICIE!$B$53-12*('TCO TO BE- SW'!$D155-1))&gt;12,((Z$4+'TCO TO BE - HW'!Z$4)/($E$4+'TCO TO BE - HW'!$E$4)*SUM(AKTIVITY_POZICIE!$M$53:$M$64))/AKTIVITY_POZICIE!$B$41*12,IF((AKTIVITY_POZICIE!$B$53-12*('TCO TO BE- SW'!$D155-1))&lt;0,0,(AKTIVITY_POZICIE!$B$53-12*('TCO TO BE- SW'!$D155-1))*((Z$4+'TCO TO BE - HW'!Z$4)/($E$4+'TCO TO BE - HW'!$E$4)*SUM(AKTIVITY_POZICIE!$M$53:$M$64))/AKTIVITY_POZICIE!$B$53)),0)</f>
        <v>0</v>
      </c>
    </row>
    <row r="166" spans="1:26">
      <c r="A166" s="875"/>
      <c r="B166" s="876"/>
      <c r="C166" s="876"/>
      <c r="D166" s="64">
        <v>6</v>
      </c>
      <c r="E166" s="68">
        <f t="shared" si="16"/>
        <v>0</v>
      </c>
      <c r="F166" s="576">
        <f>IFERROR(IF((POZICIE_INTERNE!$B$52-12*('TCO TO BE- SW'!$D156-1))&gt;12,((F$4+'TCO TO BE - HW'!F$4)/($E$4+'TCO TO BE - HW'!$E$4)*SUM(POZICIE_INTERNE!$I$52:$I$63))/POZICIE_INTERNE!$B$52*12,IF((POZICIE_INTERNE!$B$52-12*('TCO TO BE- SW'!$D156-1))&lt;0,0,(POZICIE_INTERNE!$B$52-12*('TCO TO BE- SW'!$D156-1))*((F$4+'TCO TO BE - HW'!F$4)/($E$4+'TCO TO BE - HW'!$E$4)*SUM(POZICIE_INTERNE!$I$52:$I$63))/POZICIE_INTERNE!$B$52)),0)+IFERROR(IF((AKTIVITY_POZICIE!$B$53-12*('TCO TO BE- SW'!$D156-1))&gt;12,((F$4+'TCO TO BE - HW'!F$4)/($E$4+'TCO TO BE - HW'!$E$4)*SUM(AKTIVITY_POZICIE!$M$53:$M$64))/AKTIVITY_POZICIE!$B$41*12,IF((AKTIVITY_POZICIE!$B$53-12*('TCO TO BE- SW'!$D156-1))&lt;0,0,(AKTIVITY_POZICIE!$B$53-12*('TCO TO BE- SW'!$D156-1))*((F$4+'TCO TO BE - HW'!F$4)/($E$4+'TCO TO BE - HW'!$E$4)*SUM(AKTIVITY_POZICIE!$M$53:$M$64))/AKTIVITY_POZICIE!$B$53)),0)</f>
        <v>0</v>
      </c>
      <c r="G166" s="576">
        <f>IFERROR(IF((POZICIE_INTERNE!$B$52-12*('TCO TO BE- SW'!$D156-1))&gt;12,((G$4+'TCO TO BE - HW'!G$4)/($E$4+'TCO TO BE - HW'!$E$4)*SUM(POZICIE_INTERNE!$I$52:$I$63))/POZICIE_INTERNE!$B$52*12,IF((POZICIE_INTERNE!$B$52-12*('TCO TO BE- SW'!$D156-1))&lt;0,0,(POZICIE_INTERNE!$B$52-12*('TCO TO BE- SW'!$D156-1))*((G$4+'TCO TO BE - HW'!G$4)/($E$4+'TCO TO BE - HW'!$E$4)*SUM(POZICIE_INTERNE!$I$52:$I$63))/POZICIE_INTERNE!$B$52)),0)+IFERROR(IF((AKTIVITY_POZICIE!$B$53-12*('TCO TO BE- SW'!$D156-1))&gt;12,((G$4+'TCO TO BE - HW'!G$4)/($E$4+'TCO TO BE - HW'!$E$4)*SUM(AKTIVITY_POZICIE!$M$53:$M$64))/AKTIVITY_POZICIE!$B$41*12,IF((AKTIVITY_POZICIE!$B$53-12*('TCO TO BE- SW'!$D156-1))&lt;0,0,(AKTIVITY_POZICIE!$B$53-12*('TCO TO BE- SW'!$D156-1))*((G$4+'TCO TO BE - HW'!G$4)/($E$4+'TCO TO BE - HW'!$E$4)*SUM(AKTIVITY_POZICIE!$M$53:$M$64))/AKTIVITY_POZICIE!$B$53)),0)</f>
        <v>0</v>
      </c>
      <c r="H166" s="576">
        <f>IFERROR(IF((POZICIE_INTERNE!$B$52-12*('TCO TO BE- SW'!$D156-1))&gt;12,((H$4+'TCO TO BE - HW'!H$4)/($E$4+'TCO TO BE - HW'!$E$4)*SUM(POZICIE_INTERNE!$I$52:$I$63))/POZICIE_INTERNE!$B$52*12,IF((POZICIE_INTERNE!$B$52-12*('TCO TO BE- SW'!$D156-1))&lt;0,0,(POZICIE_INTERNE!$B$52-12*('TCO TO BE- SW'!$D156-1))*((H$4+'TCO TO BE - HW'!H$4)/($E$4+'TCO TO BE - HW'!$E$4)*SUM(POZICIE_INTERNE!$I$52:$I$63))/POZICIE_INTERNE!$B$52)),0)+IFERROR(IF((AKTIVITY_POZICIE!$B$53-12*('TCO TO BE- SW'!$D156-1))&gt;12,((H$4+'TCO TO BE - HW'!H$4)/($E$4+'TCO TO BE - HW'!$E$4)*SUM(AKTIVITY_POZICIE!$M$53:$M$64))/AKTIVITY_POZICIE!$B$41*12,IF((AKTIVITY_POZICIE!$B$53-12*('TCO TO BE- SW'!$D156-1))&lt;0,0,(AKTIVITY_POZICIE!$B$53-12*('TCO TO BE- SW'!$D156-1))*((H$4+'TCO TO BE - HW'!H$4)/($E$4+'TCO TO BE - HW'!$E$4)*SUM(AKTIVITY_POZICIE!$M$53:$M$64))/AKTIVITY_POZICIE!$B$53)),0)</f>
        <v>0</v>
      </c>
      <c r="I166" s="576">
        <f>IFERROR(IF((POZICIE_INTERNE!$B$52-12*('TCO TO BE- SW'!$D156-1))&gt;12,((I$4+'TCO TO BE - HW'!I$4)/($E$4+'TCO TO BE - HW'!$E$4)*SUM(POZICIE_INTERNE!$I$52:$I$63))/POZICIE_INTERNE!$B$52*12,IF((POZICIE_INTERNE!$B$52-12*('TCO TO BE- SW'!$D156-1))&lt;0,0,(POZICIE_INTERNE!$B$52-12*('TCO TO BE- SW'!$D156-1))*((I$4+'TCO TO BE - HW'!I$4)/($E$4+'TCO TO BE - HW'!$E$4)*SUM(POZICIE_INTERNE!$I$52:$I$63))/POZICIE_INTERNE!$B$52)),0)+IFERROR(IF((AKTIVITY_POZICIE!$B$53-12*('TCO TO BE- SW'!$D156-1))&gt;12,((I$4+'TCO TO BE - HW'!I$4)/($E$4+'TCO TO BE - HW'!$E$4)*SUM(AKTIVITY_POZICIE!$M$53:$M$64))/AKTIVITY_POZICIE!$B$41*12,IF((AKTIVITY_POZICIE!$B$53-12*('TCO TO BE- SW'!$D156-1))&lt;0,0,(AKTIVITY_POZICIE!$B$53-12*('TCO TO BE- SW'!$D156-1))*((I$4+'TCO TO BE - HW'!I$4)/($E$4+'TCO TO BE - HW'!$E$4)*SUM(AKTIVITY_POZICIE!$M$53:$M$64))/AKTIVITY_POZICIE!$B$53)),0)</f>
        <v>0</v>
      </c>
      <c r="J166" s="576">
        <f>IFERROR(IF((POZICIE_INTERNE!$B$52-12*('TCO TO BE- SW'!$D156-1))&gt;12,((J$4+'TCO TO BE - HW'!J$4)/($E$4+'TCO TO BE - HW'!$E$4)*SUM(POZICIE_INTERNE!$I$52:$I$63))/POZICIE_INTERNE!$B$52*12,IF((POZICIE_INTERNE!$B$52-12*('TCO TO BE- SW'!$D156-1))&lt;0,0,(POZICIE_INTERNE!$B$52-12*('TCO TO BE- SW'!$D156-1))*((J$4+'TCO TO BE - HW'!J$4)/($E$4+'TCO TO BE - HW'!$E$4)*SUM(POZICIE_INTERNE!$I$52:$I$63))/POZICIE_INTERNE!$B$52)),0)+IFERROR(IF((AKTIVITY_POZICIE!$B$53-12*('TCO TO BE- SW'!$D156-1))&gt;12,((J$4+'TCO TO BE - HW'!J$4)/($E$4+'TCO TO BE - HW'!$E$4)*SUM(AKTIVITY_POZICIE!$M$53:$M$64))/AKTIVITY_POZICIE!$B$41*12,IF((AKTIVITY_POZICIE!$B$53-12*('TCO TO BE- SW'!$D156-1))&lt;0,0,(AKTIVITY_POZICIE!$B$53-12*('TCO TO BE- SW'!$D156-1))*((J$4+'TCO TO BE - HW'!J$4)/($E$4+'TCO TO BE - HW'!$E$4)*SUM(AKTIVITY_POZICIE!$M$53:$M$64))/AKTIVITY_POZICIE!$B$53)),0)</f>
        <v>0</v>
      </c>
      <c r="K166" s="576">
        <f>IFERROR(IF((POZICIE_INTERNE!$B$52-12*('TCO TO BE- SW'!$D156-1))&gt;12,((K$4+'TCO TO BE - HW'!K$4)/($E$4+'TCO TO BE - HW'!$E$4)*SUM(POZICIE_INTERNE!$I$52:$I$63))/POZICIE_INTERNE!$B$52*12,IF((POZICIE_INTERNE!$B$52-12*('TCO TO BE- SW'!$D156-1))&lt;0,0,(POZICIE_INTERNE!$B$52-12*('TCO TO BE- SW'!$D156-1))*((K$4+'TCO TO BE - HW'!K$4)/($E$4+'TCO TO BE - HW'!$E$4)*SUM(POZICIE_INTERNE!$I$52:$I$63))/POZICIE_INTERNE!$B$52)),0)+IFERROR(IF((AKTIVITY_POZICIE!$B$53-12*('TCO TO BE- SW'!$D156-1))&gt;12,((K$4+'TCO TO BE - HW'!K$4)/($E$4+'TCO TO BE - HW'!$E$4)*SUM(AKTIVITY_POZICIE!$M$53:$M$64))/AKTIVITY_POZICIE!$B$41*12,IF((AKTIVITY_POZICIE!$B$53-12*('TCO TO BE- SW'!$D156-1))&lt;0,0,(AKTIVITY_POZICIE!$B$53-12*('TCO TO BE- SW'!$D156-1))*((K$4+'TCO TO BE - HW'!K$4)/($E$4+'TCO TO BE - HW'!$E$4)*SUM(AKTIVITY_POZICIE!$M$53:$M$64))/AKTIVITY_POZICIE!$B$53)),0)</f>
        <v>0</v>
      </c>
      <c r="L166" s="576">
        <f>IFERROR(IF((POZICIE_INTERNE!$B$52-12*('TCO TO BE- SW'!$D156-1))&gt;12,((L$4+'TCO TO BE - HW'!L$4)/($E$4+'TCO TO BE - HW'!$E$4)*SUM(POZICIE_INTERNE!$I$52:$I$63))/POZICIE_INTERNE!$B$52*12,IF((POZICIE_INTERNE!$B$52-12*('TCO TO BE- SW'!$D156-1))&lt;0,0,(POZICIE_INTERNE!$B$52-12*('TCO TO BE- SW'!$D156-1))*((L$4+'TCO TO BE - HW'!L$4)/($E$4+'TCO TO BE - HW'!$E$4)*SUM(POZICIE_INTERNE!$I$52:$I$63))/POZICIE_INTERNE!$B$52)),0)+IFERROR(IF((AKTIVITY_POZICIE!$B$53-12*('TCO TO BE- SW'!$D156-1))&gt;12,((L$4+'TCO TO BE - HW'!L$4)/($E$4+'TCO TO BE - HW'!$E$4)*SUM(AKTIVITY_POZICIE!$M$53:$M$64))/AKTIVITY_POZICIE!$B$41*12,IF((AKTIVITY_POZICIE!$B$53-12*('TCO TO BE- SW'!$D156-1))&lt;0,0,(AKTIVITY_POZICIE!$B$53-12*('TCO TO BE- SW'!$D156-1))*((L$4+'TCO TO BE - HW'!L$4)/($E$4+'TCO TO BE - HW'!$E$4)*SUM(AKTIVITY_POZICIE!$M$53:$M$64))/AKTIVITY_POZICIE!$B$53)),0)</f>
        <v>0</v>
      </c>
      <c r="M166" s="576">
        <f>IFERROR(IF((POZICIE_INTERNE!$B$52-12*('TCO TO BE- SW'!$D156-1))&gt;12,((M$4+'TCO TO BE - HW'!M$4)/($E$4+'TCO TO BE - HW'!$E$4)*SUM(POZICIE_INTERNE!$I$52:$I$63))/POZICIE_INTERNE!$B$52*12,IF((POZICIE_INTERNE!$B$52-12*('TCO TO BE- SW'!$D156-1))&lt;0,0,(POZICIE_INTERNE!$B$52-12*('TCO TO BE- SW'!$D156-1))*((M$4+'TCO TO BE - HW'!M$4)/($E$4+'TCO TO BE - HW'!$E$4)*SUM(POZICIE_INTERNE!$I$52:$I$63))/POZICIE_INTERNE!$B$52)),0)+IFERROR(IF((AKTIVITY_POZICIE!$B$53-12*('TCO TO BE- SW'!$D156-1))&gt;12,((M$4+'TCO TO BE - HW'!M$4)/($E$4+'TCO TO BE - HW'!$E$4)*SUM(AKTIVITY_POZICIE!$M$53:$M$64))/AKTIVITY_POZICIE!$B$41*12,IF((AKTIVITY_POZICIE!$B$53-12*('TCO TO BE- SW'!$D156-1))&lt;0,0,(AKTIVITY_POZICIE!$B$53-12*('TCO TO BE- SW'!$D156-1))*((M$4+'TCO TO BE - HW'!M$4)/($E$4+'TCO TO BE - HW'!$E$4)*SUM(AKTIVITY_POZICIE!$M$53:$M$64))/AKTIVITY_POZICIE!$B$53)),0)</f>
        <v>0</v>
      </c>
      <c r="N166" s="576">
        <f>IFERROR(IF((POZICIE_INTERNE!$B$52-12*('TCO TO BE- SW'!$D156-1))&gt;12,((N$4+'TCO TO BE - HW'!N$4)/($E$4+'TCO TO BE - HW'!$E$4)*SUM(POZICIE_INTERNE!$I$52:$I$63))/POZICIE_INTERNE!$B$52*12,IF((POZICIE_INTERNE!$B$52-12*('TCO TO BE- SW'!$D156-1))&lt;0,0,(POZICIE_INTERNE!$B$52-12*('TCO TO BE- SW'!$D156-1))*((N$4+'TCO TO BE - HW'!N$4)/($E$4+'TCO TO BE - HW'!$E$4)*SUM(POZICIE_INTERNE!$I$52:$I$63))/POZICIE_INTERNE!$B$52)),0)+IFERROR(IF((AKTIVITY_POZICIE!$B$53-12*('TCO TO BE- SW'!$D156-1))&gt;12,((N$4+'TCO TO BE - HW'!N$4)/($E$4+'TCO TO BE - HW'!$E$4)*SUM(AKTIVITY_POZICIE!$M$53:$M$64))/AKTIVITY_POZICIE!$B$41*12,IF((AKTIVITY_POZICIE!$B$53-12*('TCO TO BE- SW'!$D156-1))&lt;0,0,(AKTIVITY_POZICIE!$B$53-12*('TCO TO BE- SW'!$D156-1))*((N$4+'TCO TO BE - HW'!N$4)/($E$4+'TCO TO BE - HW'!$E$4)*SUM(AKTIVITY_POZICIE!$M$53:$M$64))/AKTIVITY_POZICIE!$B$53)),0)</f>
        <v>0</v>
      </c>
      <c r="O166" s="576">
        <f>IFERROR(IF((POZICIE_INTERNE!$B$52-12*('TCO TO BE- SW'!$D156-1))&gt;12,((O$4+'TCO TO BE - HW'!O$4)/($E$4+'TCO TO BE - HW'!$E$4)*SUM(POZICIE_INTERNE!$I$52:$I$63))/POZICIE_INTERNE!$B$52*12,IF((POZICIE_INTERNE!$B$52-12*('TCO TO BE- SW'!$D156-1))&lt;0,0,(POZICIE_INTERNE!$B$52-12*('TCO TO BE- SW'!$D156-1))*((O$4+'TCO TO BE - HW'!O$4)/($E$4+'TCO TO BE - HW'!$E$4)*SUM(POZICIE_INTERNE!$I$52:$I$63))/POZICIE_INTERNE!$B$52)),0)+IFERROR(IF((AKTIVITY_POZICIE!$B$53-12*('TCO TO BE- SW'!$D156-1))&gt;12,((O$4+'TCO TO BE - HW'!O$4)/($E$4+'TCO TO BE - HW'!$E$4)*SUM(AKTIVITY_POZICIE!$M$53:$M$64))/AKTIVITY_POZICIE!$B$41*12,IF((AKTIVITY_POZICIE!$B$53-12*('TCO TO BE- SW'!$D156-1))&lt;0,0,(AKTIVITY_POZICIE!$B$53-12*('TCO TO BE- SW'!$D156-1))*((O$4+'TCO TO BE - HW'!O$4)/($E$4+'TCO TO BE - HW'!$E$4)*SUM(AKTIVITY_POZICIE!$M$53:$M$64))/AKTIVITY_POZICIE!$B$53)),0)</f>
        <v>0</v>
      </c>
      <c r="P166" s="576">
        <f>IFERROR(IF((POZICIE_INTERNE!$B$52-12*('TCO TO BE- SW'!$D156-1))&gt;12,((P$4+'TCO TO BE - HW'!P$4)/($E$4+'TCO TO BE - HW'!$E$4)*SUM(POZICIE_INTERNE!$I$52:$I$63))/POZICIE_INTERNE!$B$52*12,IF((POZICIE_INTERNE!$B$52-12*('TCO TO BE- SW'!$D156-1))&lt;0,0,(POZICIE_INTERNE!$B$52-12*('TCO TO BE- SW'!$D156-1))*((P$4+'TCO TO BE - HW'!P$4)/($E$4+'TCO TO BE - HW'!$E$4)*SUM(POZICIE_INTERNE!$I$52:$I$63))/POZICIE_INTERNE!$B$52)),0)+IFERROR(IF((AKTIVITY_POZICIE!$B$53-12*('TCO TO BE- SW'!$D156-1))&gt;12,((P$4+'TCO TO BE - HW'!P$4)/($E$4+'TCO TO BE - HW'!$E$4)*SUM(AKTIVITY_POZICIE!$M$53:$M$64))/AKTIVITY_POZICIE!$B$41*12,IF((AKTIVITY_POZICIE!$B$53-12*('TCO TO BE- SW'!$D156-1))&lt;0,0,(AKTIVITY_POZICIE!$B$53-12*('TCO TO BE- SW'!$D156-1))*((P$4+'TCO TO BE - HW'!P$4)/($E$4+'TCO TO BE - HW'!$E$4)*SUM(AKTIVITY_POZICIE!$M$53:$M$64))/AKTIVITY_POZICIE!$B$53)),0)</f>
        <v>0</v>
      </c>
      <c r="Q166" s="576">
        <f>IFERROR(IF((POZICIE_INTERNE!$B$52-12*('TCO TO BE- SW'!$D156-1))&gt;12,((Q$4+'TCO TO BE - HW'!Q$4)/($E$4+'TCO TO BE - HW'!$E$4)*SUM(POZICIE_INTERNE!$I$52:$I$63))/POZICIE_INTERNE!$B$52*12,IF((POZICIE_INTERNE!$B$52-12*('TCO TO BE- SW'!$D156-1))&lt;0,0,(POZICIE_INTERNE!$B$52-12*('TCO TO BE- SW'!$D156-1))*((Q$4+'TCO TO BE - HW'!Q$4)/($E$4+'TCO TO BE - HW'!$E$4)*SUM(POZICIE_INTERNE!$I$52:$I$63))/POZICIE_INTERNE!$B$52)),0)+IFERROR(IF((AKTIVITY_POZICIE!$B$53-12*('TCO TO BE- SW'!$D156-1))&gt;12,((Q$4+'TCO TO BE - HW'!Q$4)/($E$4+'TCO TO BE - HW'!$E$4)*SUM(AKTIVITY_POZICIE!$M$53:$M$64))/AKTIVITY_POZICIE!$B$41*12,IF((AKTIVITY_POZICIE!$B$53-12*('TCO TO BE- SW'!$D156-1))&lt;0,0,(AKTIVITY_POZICIE!$B$53-12*('TCO TO BE- SW'!$D156-1))*((Q$4+'TCO TO BE - HW'!Q$4)/($E$4+'TCO TO BE - HW'!$E$4)*SUM(AKTIVITY_POZICIE!$M$53:$M$64))/AKTIVITY_POZICIE!$B$53)),0)</f>
        <v>0</v>
      </c>
      <c r="R166" s="576">
        <f>IFERROR(IF((POZICIE_INTERNE!$B$52-12*('TCO TO BE- SW'!$D156-1))&gt;12,((R$4+'TCO TO BE - HW'!R$4)/($E$4+'TCO TO BE - HW'!$E$4)*SUM(POZICIE_INTERNE!$I$52:$I$63))/POZICIE_INTERNE!$B$52*12,IF((POZICIE_INTERNE!$B$52-12*('TCO TO BE- SW'!$D156-1))&lt;0,0,(POZICIE_INTERNE!$B$52-12*('TCO TO BE- SW'!$D156-1))*((R$4+'TCO TO BE - HW'!R$4)/($E$4+'TCO TO BE - HW'!$E$4)*SUM(POZICIE_INTERNE!$I$52:$I$63))/POZICIE_INTERNE!$B$52)),0)+IFERROR(IF((AKTIVITY_POZICIE!$B$53-12*('TCO TO BE- SW'!$D156-1))&gt;12,((R$4+'TCO TO BE - HW'!R$4)/($E$4+'TCO TO BE - HW'!$E$4)*SUM(AKTIVITY_POZICIE!$M$53:$M$64))/AKTIVITY_POZICIE!$B$41*12,IF((AKTIVITY_POZICIE!$B$53-12*('TCO TO BE- SW'!$D156-1))&lt;0,0,(AKTIVITY_POZICIE!$B$53-12*('TCO TO BE- SW'!$D156-1))*((R$4+'TCO TO BE - HW'!R$4)/($E$4+'TCO TO BE - HW'!$E$4)*SUM(AKTIVITY_POZICIE!$M$53:$M$64))/AKTIVITY_POZICIE!$B$53)),0)</f>
        <v>0</v>
      </c>
      <c r="S166" s="576">
        <f>IFERROR(IF((POZICIE_INTERNE!$B$52-12*('TCO TO BE- SW'!$D156-1))&gt;12,((S$4+'TCO TO BE - HW'!S$4)/($E$4+'TCO TO BE - HW'!$E$4)*SUM(POZICIE_INTERNE!$I$52:$I$63))/POZICIE_INTERNE!$B$52*12,IF((POZICIE_INTERNE!$B$52-12*('TCO TO BE- SW'!$D156-1))&lt;0,0,(POZICIE_INTERNE!$B$52-12*('TCO TO BE- SW'!$D156-1))*((S$4+'TCO TO BE - HW'!S$4)/($E$4+'TCO TO BE - HW'!$E$4)*SUM(POZICIE_INTERNE!$I$52:$I$63))/POZICIE_INTERNE!$B$52)),0)+IFERROR(IF((AKTIVITY_POZICIE!$B$53-12*('TCO TO BE- SW'!$D156-1))&gt;12,((S$4+'TCO TO BE - HW'!S$4)/($E$4+'TCO TO BE - HW'!$E$4)*SUM(AKTIVITY_POZICIE!$M$53:$M$64))/AKTIVITY_POZICIE!$B$41*12,IF((AKTIVITY_POZICIE!$B$53-12*('TCO TO BE- SW'!$D156-1))&lt;0,0,(AKTIVITY_POZICIE!$B$53-12*('TCO TO BE- SW'!$D156-1))*((S$4+'TCO TO BE - HW'!S$4)/($E$4+'TCO TO BE - HW'!$E$4)*SUM(AKTIVITY_POZICIE!$M$53:$M$64))/AKTIVITY_POZICIE!$B$53)),0)</f>
        <v>0</v>
      </c>
      <c r="T166" s="576">
        <f>IFERROR(IF((POZICIE_INTERNE!$B$52-12*('TCO TO BE- SW'!$D156-1))&gt;12,((T$4+'TCO TO BE - HW'!T$4)/($E$4+'TCO TO BE - HW'!$E$4)*SUM(POZICIE_INTERNE!$I$52:$I$63))/POZICIE_INTERNE!$B$52*12,IF((POZICIE_INTERNE!$B$52-12*('TCO TO BE- SW'!$D156-1))&lt;0,0,(POZICIE_INTERNE!$B$52-12*('TCO TO BE- SW'!$D156-1))*((T$4+'TCO TO BE - HW'!T$4)/($E$4+'TCO TO BE - HW'!$E$4)*SUM(POZICIE_INTERNE!$I$52:$I$63))/POZICIE_INTERNE!$B$52)),0)+IFERROR(IF((AKTIVITY_POZICIE!$B$53-12*('TCO TO BE- SW'!$D156-1))&gt;12,((T$4+'TCO TO BE - HW'!T$4)/($E$4+'TCO TO BE - HW'!$E$4)*SUM(AKTIVITY_POZICIE!$M$53:$M$64))/AKTIVITY_POZICIE!$B$41*12,IF((AKTIVITY_POZICIE!$B$53-12*('TCO TO BE- SW'!$D156-1))&lt;0,0,(AKTIVITY_POZICIE!$B$53-12*('TCO TO BE- SW'!$D156-1))*((T$4+'TCO TO BE - HW'!T$4)/($E$4+'TCO TO BE - HW'!$E$4)*SUM(AKTIVITY_POZICIE!$M$53:$M$64))/AKTIVITY_POZICIE!$B$53)),0)</f>
        <v>0</v>
      </c>
      <c r="U166" s="576">
        <f>IFERROR(IF((POZICIE_INTERNE!$B$52-12*('TCO TO BE- SW'!$D156-1))&gt;12,((U$4+'TCO TO BE - HW'!U$4)/($E$4+'TCO TO BE - HW'!$E$4)*SUM(POZICIE_INTERNE!$I$52:$I$63))/POZICIE_INTERNE!$B$52*12,IF((POZICIE_INTERNE!$B$52-12*('TCO TO BE- SW'!$D156-1))&lt;0,0,(POZICIE_INTERNE!$B$52-12*('TCO TO BE- SW'!$D156-1))*((U$4+'TCO TO BE - HW'!U$4)/($E$4+'TCO TO BE - HW'!$E$4)*SUM(POZICIE_INTERNE!$I$52:$I$63))/POZICIE_INTERNE!$B$52)),0)+IFERROR(IF((AKTIVITY_POZICIE!$B$53-12*('TCO TO BE- SW'!$D156-1))&gt;12,((U$4+'TCO TO BE - HW'!U$4)/($E$4+'TCO TO BE - HW'!$E$4)*SUM(AKTIVITY_POZICIE!$M$53:$M$64))/AKTIVITY_POZICIE!$B$41*12,IF((AKTIVITY_POZICIE!$B$53-12*('TCO TO BE- SW'!$D156-1))&lt;0,0,(AKTIVITY_POZICIE!$B$53-12*('TCO TO BE- SW'!$D156-1))*((U$4+'TCO TO BE - HW'!U$4)/($E$4+'TCO TO BE - HW'!$E$4)*SUM(AKTIVITY_POZICIE!$M$53:$M$64))/AKTIVITY_POZICIE!$B$53)),0)</f>
        <v>0</v>
      </c>
      <c r="V166" s="576">
        <f>IFERROR(IF((POZICIE_INTERNE!$B$52-12*('TCO TO BE- SW'!$D156-1))&gt;12,((V$4+'TCO TO BE - HW'!V$4)/($E$4+'TCO TO BE - HW'!$E$4)*SUM(POZICIE_INTERNE!$I$52:$I$63))/POZICIE_INTERNE!$B$52*12,IF((POZICIE_INTERNE!$B$52-12*('TCO TO BE- SW'!$D156-1))&lt;0,0,(POZICIE_INTERNE!$B$52-12*('TCO TO BE- SW'!$D156-1))*((V$4+'TCO TO BE - HW'!V$4)/($E$4+'TCO TO BE - HW'!$E$4)*SUM(POZICIE_INTERNE!$I$52:$I$63))/POZICIE_INTERNE!$B$52)),0)+IFERROR(IF((AKTIVITY_POZICIE!$B$53-12*('TCO TO BE- SW'!$D156-1))&gt;12,((V$4+'TCO TO BE - HW'!V$4)/($E$4+'TCO TO BE - HW'!$E$4)*SUM(AKTIVITY_POZICIE!$M$53:$M$64))/AKTIVITY_POZICIE!$B$41*12,IF((AKTIVITY_POZICIE!$B$53-12*('TCO TO BE- SW'!$D156-1))&lt;0,0,(AKTIVITY_POZICIE!$B$53-12*('TCO TO BE- SW'!$D156-1))*((V$4+'TCO TO BE - HW'!V$4)/($E$4+'TCO TO BE - HW'!$E$4)*SUM(AKTIVITY_POZICIE!$M$53:$M$64))/AKTIVITY_POZICIE!$B$53)),0)</f>
        <v>0</v>
      </c>
      <c r="W166" s="576">
        <f>IFERROR(IF((POZICIE_INTERNE!$B$52-12*('TCO TO BE- SW'!$D156-1))&gt;12,((W$4+'TCO TO BE - HW'!W$4)/($E$4+'TCO TO BE - HW'!$E$4)*SUM(POZICIE_INTERNE!$I$52:$I$63))/POZICIE_INTERNE!$B$52*12,IF((POZICIE_INTERNE!$B$52-12*('TCO TO BE- SW'!$D156-1))&lt;0,0,(POZICIE_INTERNE!$B$52-12*('TCO TO BE- SW'!$D156-1))*((W$4+'TCO TO BE - HW'!W$4)/($E$4+'TCO TO BE - HW'!$E$4)*SUM(POZICIE_INTERNE!$I$52:$I$63))/POZICIE_INTERNE!$B$52)),0)+IFERROR(IF((AKTIVITY_POZICIE!$B$53-12*('TCO TO BE- SW'!$D156-1))&gt;12,((W$4+'TCO TO BE - HW'!W$4)/($E$4+'TCO TO BE - HW'!$E$4)*SUM(AKTIVITY_POZICIE!$M$53:$M$64))/AKTIVITY_POZICIE!$B$41*12,IF((AKTIVITY_POZICIE!$B$53-12*('TCO TO BE- SW'!$D156-1))&lt;0,0,(AKTIVITY_POZICIE!$B$53-12*('TCO TO BE- SW'!$D156-1))*((W$4+'TCO TO BE - HW'!W$4)/($E$4+'TCO TO BE - HW'!$E$4)*SUM(AKTIVITY_POZICIE!$M$53:$M$64))/AKTIVITY_POZICIE!$B$53)),0)</f>
        <v>0</v>
      </c>
      <c r="X166" s="576">
        <f>IFERROR(IF((POZICIE_INTERNE!$B$52-12*('TCO TO BE- SW'!$D156-1))&gt;12,((X$4+'TCO TO BE - HW'!X$4)/($E$4+'TCO TO BE - HW'!$E$4)*SUM(POZICIE_INTERNE!$I$52:$I$63))/POZICIE_INTERNE!$B$52*12,IF((POZICIE_INTERNE!$B$52-12*('TCO TO BE- SW'!$D156-1))&lt;0,0,(POZICIE_INTERNE!$B$52-12*('TCO TO BE- SW'!$D156-1))*((X$4+'TCO TO BE - HW'!X$4)/($E$4+'TCO TO BE - HW'!$E$4)*SUM(POZICIE_INTERNE!$I$52:$I$63))/POZICIE_INTERNE!$B$52)),0)+IFERROR(IF((AKTIVITY_POZICIE!$B$53-12*('TCO TO BE- SW'!$D156-1))&gt;12,((X$4+'TCO TO BE - HW'!X$4)/($E$4+'TCO TO BE - HW'!$E$4)*SUM(AKTIVITY_POZICIE!$M$53:$M$64))/AKTIVITY_POZICIE!$B$41*12,IF((AKTIVITY_POZICIE!$B$53-12*('TCO TO BE- SW'!$D156-1))&lt;0,0,(AKTIVITY_POZICIE!$B$53-12*('TCO TO BE- SW'!$D156-1))*((X$4+'TCO TO BE - HW'!X$4)/($E$4+'TCO TO BE - HW'!$E$4)*SUM(AKTIVITY_POZICIE!$M$53:$M$64))/AKTIVITY_POZICIE!$B$53)),0)</f>
        <v>0</v>
      </c>
      <c r="Y166" s="576">
        <f>IFERROR(IF((POZICIE_INTERNE!$B$52-12*('TCO TO BE- SW'!$D156-1))&gt;12,((Y$4+'TCO TO BE - HW'!Y$4)/($E$4+'TCO TO BE - HW'!$E$4)*SUM(POZICIE_INTERNE!$I$52:$I$63))/POZICIE_INTERNE!$B$52*12,IF((POZICIE_INTERNE!$B$52-12*('TCO TO BE- SW'!$D156-1))&lt;0,0,(POZICIE_INTERNE!$B$52-12*('TCO TO BE- SW'!$D156-1))*((Y$4+'TCO TO BE - HW'!Y$4)/($E$4+'TCO TO BE - HW'!$E$4)*SUM(POZICIE_INTERNE!$I$52:$I$63))/POZICIE_INTERNE!$B$52)),0)+IFERROR(IF((AKTIVITY_POZICIE!$B$53-12*('TCO TO BE- SW'!$D156-1))&gt;12,((Y$4+'TCO TO BE - HW'!Y$4)/($E$4+'TCO TO BE - HW'!$E$4)*SUM(AKTIVITY_POZICIE!$M$53:$M$64))/AKTIVITY_POZICIE!$B$41*12,IF((AKTIVITY_POZICIE!$B$53-12*('TCO TO BE- SW'!$D156-1))&lt;0,0,(AKTIVITY_POZICIE!$B$53-12*('TCO TO BE- SW'!$D156-1))*((Y$4+'TCO TO BE - HW'!Y$4)/($E$4+'TCO TO BE - HW'!$E$4)*SUM(AKTIVITY_POZICIE!$M$53:$M$64))/AKTIVITY_POZICIE!$B$53)),0)</f>
        <v>0</v>
      </c>
      <c r="Z166" s="576">
        <f>IFERROR(IF((POZICIE_INTERNE!$B$52-12*('TCO TO BE- SW'!$D156-1))&gt;12,((Z$4+'TCO TO BE - HW'!Z$4)/($E$4+'TCO TO BE - HW'!$E$4)*SUM(POZICIE_INTERNE!$I$52:$I$63))/POZICIE_INTERNE!$B$52*12,IF((POZICIE_INTERNE!$B$52-12*('TCO TO BE- SW'!$D156-1))&lt;0,0,(POZICIE_INTERNE!$B$52-12*('TCO TO BE- SW'!$D156-1))*((Z$4+'TCO TO BE - HW'!Z$4)/($E$4+'TCO TO BE - HW'!$E$4)*SUM(POZICIE_INTERNE!$I$52:$I$63))/POZICIE_INTERNE!$B$52)),0)+IFERROR(IF((AKTIVITY_POZICIE!$B$53-12*('TCO TO BE- SW'!$D156-1))&gt;12,((Z$4+'TCO TO BE - HW'!Z$4)/($E$4+'TCO TO BE - HW'!$E$4)*SUM(AKTIVITY_POZICIE!$M$53:$M$64))/AKTIVITY_POZICIE!$B$41*12,IF((AKTIVITY_POZICIE!$B$53-12*('TCO TO BE- SW'!$D156-1))&lt;0,0,(AKTIVITY_POZICIE!$B$53-12*('TCO TO BE- SW'!$D156-1))*((Z$4+'TCO TO BE - HW'!Z$4)/($E$4+'TCO TO BE - HW'!$E$4)*SUM(AKTIVITY_POZICIE!$M$53:$M$64))/AKTIVITY_POZICIE!$B$53)),0)</f>
        <v>0</v>
      </c>
    </row>
    <row r="167" spans="1:26">
      <c r="A167" s="875"/>
      <c r="B167" s="876"/>
      <c r="C167" s="876"/>
      <c r="D167" s="64">
        <v>7</v>
      </c>
      <c r="E167" s="68">
        <f t="shared" si="16"/>
        <v>0</v>
      </c>
      <c r="F167" s="576">
        <f>IFERROR(IF((POZICIE_INTERNE!$B$52-12*('TCO TO BE- SW'!$D157-1))&gt;12,((F$4+'TCO TO BE - HW'!F$4)/($E$4+'TCO TO BE - HW'!$E$4)*SUM(POZICIE_INTERNE!$I$52:$I$63))/POZICIE_INTERNE!$B$52*12,IF((POZICIE_INTERNE!$B$52-12*('TCO TO BE- SW'!$D157-1))&lt;0,0,(POZICIE_INTERNE!$B$52-12*('TCO TO BE- SW'!$D157-1))*((F$4+'TCO TO BE - HW'!F$4)/($E$4+'TCO TO BE - HW'!$E$4)*SUM(POZICIE_INTERNE!$I$52:$I$63))/POZICIE_INTERNE!$B$52)),0)+IFERROR(IF((AKTIVITY_POZICIE!$B$53-12*('TCO TO BE- SW'!$D157-1))&gt;12,((F$4+'TCO TO BE - HW'!F$4)/($E$4+'TCO TO BE - HW'!$E$4)*SUM(AKTIVITY_POZICIE!$M$53:$M$64))/AKTIVITY_POZICIE!$B$41*12,IF((AKTIVITY_POZICIE!$B$53-12*('TCO TO BE- SW'!$D157-1))&lt;0,0,(AKTIVITY_POZICIE!$B$53-12*('TCO TO BE- SW'!$D157-1))*((F$4+'TCO TO BE - HW'!F$4)/($E$4+'TCO TO BE - HW'!$E$4)*SUM(AKTIVITY_POZICIE!$M$53:$M$64))/AKTIVITY_POZICIE!$B$53)),0)</f>
        <v>0</v>
      </c>
      <c r="G167" s="576">
        <f>IFERROR(IF((POZICIE_INTERNE!$B$52-12*('TCO TO BE- SW'!$D157-1))&gt;12,((G$4+'TCO TO BE - HW'!G$4)/($E$4+'TCO TO BE - HW'!$E$4)*SUM(POZICIE_INTERNE!$I$52:$I$63))/POZICIE_INTERNE!$B$52*12,IF((POZICIE_INTERNE!$B$52-12*('TCO TO BE- SW'!$D157-1))&lt;0,0,(POZICIE_INTERNE!$B$52-12*('TCO TO BE- SW'!$D157-1))*((G$4+'TCO TO BE - HW'!G$4)/($E$4+'TCO TO BE - HW'!$E$4)*SUM(POZICIE_INTERNE!$I$52:$I$63))/POZICIE_INTERNE!$B$52)),0)+IFERROR(IF((AKTIVITY_POZICIE!$B$53-12*('TCO TO BE- SW'!$D157-1))&gt;12,((G$4+'TCO TO BE - HW'!G$4)/($E$4+'TCO TO BE - HW'!$E$4)*SUM(AKTIVITY_POZICIE!$M$53:$M$64))/AKTIVITY_POZICIE!$B$41*12,IF((AKTIVITY_POZICIE!$B$53-12*('TCO TO BE- SW'!$D157-1))&lt;0,0,(AKTIVITY_POZICIE!$B$53-12*('TCO TO BE- SW'!$D157-1))*((G$4+'TCO TO BE - HW'!G$4)/($E$4+'TCO TO BE - HW'!$E$4)*SUM(AKTIVITY_POZICIE!$M$53:$M$64))/AKTIVITY_POZICIE!$B$53)),0)</f>
        <v>0</v>
      </c>
      <c r="H167" s="576">
        <f>IFERROR(IF((POZICIE_INTERNE!$B$52-12*('TCO TO BE- SW'!$D157-1))&gt;12,((H$4+'TCO TO BE - HW'!H$4)/($E$4+'TCO TO BE - HW'!$E$4)*SUM(POZICIE_INTERNE!$I$52:$I$63))/POZICIE_INTERNE!$B$52*12,IF((POZICIE_INTERNE!$B$52-12*('TCO TO BE- SW'!$D157-1))&lt;0,0,(POZICIE_INTERNE!$B$52-12*('TCO TO BE- SW'!$D157-1))*((H$4+'TCO TO BE - HW'!H$4)/($E$4+'TCO TO BE - HW'!$E$4)*SUM(POZICIE_INTERNE!$I$52:$I$63))/POZICIE_INTERNE!$B$52)),0)+IFERROR(IF((AKTIVITY_POZICIE!$B$53-12*('TCO TO BE- SW'!$D157-1))&gt;12,((H$4+'TCO TO BE - HW'!H$4)/($E$4+'TCO TO BE - HW'!$E$4)*SUM(AKTIVITY_POZICIE!$M$53:$M$64))/AKTIVITY_POZICIE!$B$41*12,IF((AKTIVITY_POZICIE!$B$53-12*('TCO TO BE- SW'!$D157-1))&lt;0,0,(AKTIVITY_POZICIE!$B$53-12*('TCO TO BE- SW'!$D157-1))*((H$4+'TCO TO BE - HW'!H$4)/($E$4+'TCO TO BE - HW'!$E$4)*SUM(AKTIVITY_POZICIE!$M$53:$M$64))/AKTIVITY_POZICIE!$B$53)),0)</f>
        <v>0</v>
      </c>
      <c r="I167" s="576">
        <f>IFERROR(IF((POZICIE_INTERNE!$B$52-12*('TCO TO BE- SW'!$D157-1))&gt;12,((I$4+'TCO TO BE - HW'!I$4)/($E$4+'TCO TO BE - HW'!$E$4)*SUM(POZICIE_INTERNE!$I$52:$I$63))/POZICIE_INTERNE!$B$52*12,IF((POZICIE_INTERNE!$B$52-12*('TCO TO BE- SW'!$D157-1))&lt;0,0,(POZICIE_INTERNE!$B$52-12*('TCO TO BE- SW'!$D157-1))*((I$4+'TCO TO BE - HW'!I$4)/($E$4+'TCO TO BE - HW'!$E$4)*SUM(POZICIE_INTERNE!$I$52:$I$63))/POZICIE_INTERNE!$B$52)),0)+IFERROR(IF((AKTIVITY_POZICIE!$B$53-12*('TCO TO BE- SW'!$D157-1))&gt;12,((I$4+'TCO TO BE - HW'!I$4)/($E$4+'TCO TO BE - HW'!$E$4)*SUM(AKTIVITY_POZICIE!$M$53:$M$64))/AKTIVITY_POZICIE!$B$41*12,IF((AKTIVITY_POZICIE!$B$53-12*('TCO TO BE- SW'!$D157-1))&lt;0,0,(AKTIVITY_POZICIE!$B$53-12*('TCO TO BE- SW'!$D157-1))*((I$4+'TCO TO BE - HW'!I$4)/($E$4+'TCO TO BE - HW'!$E$4)*SUM(AKTIVITY_POZICIE!$M$53:$M$64))/AKTIVITY_POZICIE!$B$53)),0)</f>
        <v>0</v>
      </c>
      <c r="J167" s="576">
        <f>IFERROR(IF((POZICIE_INTERNE!$B$52-12*('TCO TO BE- SW'!$D157-1))&gt;12,((J$4+'TCO TO BE - HW'!J$4)/($E$4+'TCO TO BE - HW'!$E$4)*SUM(POZICIE_INTERNE!$I$52:$I$63))/POZICIE_INTERNE!$B$52*12,IF((POZICIE_INTERNE!$B$52-12*('TCO TO BE- SW'!$D157-1))&lt;0,0,(POZICIE_INTERNE!$B$52-12*('TCO TO BE- SW'!$D157-1))*((J$4+'TCO TO BE - HW'!J$4)/($E$4+'TCO TO BE - HW'!$E$4)*SUM(POZICIE_INTERNE!$I$52:$I$63))/POZICIE_INTERNE!$B$52)),0)+IFERROR(IF((AKTIVITY_POZICIE!$B$53-12*('TCO TO BE- SW'!$D157-1))&gt;12,((J$4+'TCO TO BE - HW'!J$4)/($E$4+'TCO TO BE - HW'!$E$4)*SUM(AKTIVITY_POZICIE!$M$53:$M$64))/AKTIVITY_POZICIE!$B$41*12,IF((AKTIVITY_POZICIE!$B$53-12*('TCO TO BE- SW'!$D157-1))&lt;0,0,(AKTIVITY_POZICIE!$B$53-12*('TCO TO BE- SW'!$D157-1))*((J$4+'TCO TO BE - HW'!J$4)/($E$4+'TCO TO BE - HW'!$E$4)*SUM(AKTIVITY_POZICIE!$M$53:$M$64))/AKTIVITY_POZICIE!$B$53)),0)</f>
        <v>0</v>
      </c>
      <c r="K167" s="576">
        <f>IFERROR(IF((POZICIE_INTERNE!$B$52-12*('TCO TO BE- SW'!$D157-1))&gt;12,((K$4+'TCO TO BE - HW'!K$4)/($E$4+'TCO TO BE - HW'!$E$4)*SUM(POZICIE_INTERNE!$I$52:$I$63))/POZICIE_INTERNE!$B$52*12,IF((POZICIE_INTERNE!$B$52-12*('TCO TO BE- SW'!$D157-1))&lt;0,0,(POZICIE_INTERNE!$B$52-12*('TCO TO BE- SW'!$D157-1))*((K$4+'TCO TO BE - HW'!K$4)/($E$4+'TCO TO BE - HW'!$E$4)*SUM(POZICIE_INTERNE!$I$52:$I$63))/POZICIE_INTERNE!$B$52)),0)+IFERROR(IF((AKTIVITY_POZICIE!$B$53-12*('TCO TO BE- SW'!$D157-1))&gt;12,((K$4+'TCO TO BE - HW'!K$4)/($E$4+'TCO TO BE - HW'!$E$4)*SUM(AKTIVITY_POZICIE!$M$53:$M$64))/AKTIVITY_POZICIE!$B$41*12,IF((AKTIVITY_POZICIE!$B$53-12*('TCO TO BE- SW'!$D157-1))&lt;0,0,(AKTIVITY_POZICIE!$B$53-12*('TCO TO BE- SW'!$D157-1))*((K$4+'TCO TO BE - HW'!K$4)/($E$4+'TCO TO BE - HW'!$E$4)*SUM(AKTIVITY_POZICIE!$M$53:$M$64))/AKTIVITY_POZICIE!$B$53)),0)</f>
        <v>0</v>
      </c>
      <c r="L167" s="576">
        <f>IFERROR(IF((POZICIE_INTERNE!$B$52-12*('TCO TO BE- SW'!$D157-1))&gt;12,((L$4+'TCO TO BE - HW'!L$4)/($E$4+'TCO TO BE - HW'!$E$4)*SUM(POZICIE_INTERNE!$I$52:$I$63))/POZICIE_INTERNE!$B$52*12,IF((POZICIE_INTERNE!$B$52-12*('TCO TO BE- SW'!$D157-1))&lt;0,0,(POZICIE_INTERNE!$B$52-12*('TCO TO BE- SW'!$D157-1))*((L$4+'TCO TO BE - HW'!L$4)/($E$4+'TCO TO BE - HW'!$E$4)*SUM(POZICIE_INTERNE!$I$52:$I$63))/POZICIE_INTERNE!$B$52)),0)+IFERROR(IF((AKTIVITY_POZICIE!$B$53-12*('TCO TO BE- SW'!$D157-1))&gt;12,((L$4+'TCO TO BE - HW'!L$4)/($E$4+'TCO TO BE - HW'!$E$4)*SUM(AKTIVITY_POZICIE!$M$53:$M$64))/AKTIVITY_POZICIE!$B$41*12,IF((AKTIVITY_POZICIE!$B$53-12*('TCO TO BE- SW'!$D157-1))&lt;0,0,(AKTIVITY_POZICIE!$B$53-12*('TCO TO BE- SW'!$D157-1))*((L$4+'TCO TO BE - HW'!L$4)/($E$4+'TCO TO BE - HW'!$E$4)*SUM(AKTIVITY_POZICIE!$M$53:$M$64))/AKTIVITY_POZICIE!$B$53)),0)</f>
        <v>0</v>
      </c>
      <c r="M167" s="576">
        <f>IFERROR(IF((POZICIE_INTERNE!$B$52-12*('TCO TO BE- SW'!$D157-1))&gt;12,((M$4+'TCO TO BE - HW'!M$4)/($E$4+'TCO TO BE - HW'!$E$4)*SUM(POZICIE_INTERNE!$I$52:$I$63))/POZICIE_INTERNE!$B$52*12,IF((POZICIE_INTERNE!$B$52-12*('TCO TO BE- SW'!$D157-1))&lt;0,0,(POZICIE_INTERNE!$B$52-12*('TCO TO BE- SW'!$D157-1))*((M$4+'TCO TO BE - HW'!M$4)/($E$4+'TCO TO BE - HW'!$E$4)*SUM(POZICIE_INTERNE!$I$52:$I$63))/POZICIE_INTERNE!$B$52)),0)+IFERROR(IF((AKTIVITY_POZICIE!$B$53-12*('TCO TO BE- SW'!$D157-1))&gt;12,((M$4+'TCO TO BE - HW'!M$4)/($E$4+'TCO TO BE - HW'!$E$4)*SUM(AKTIVITY_POZICIE!$M$53:$M$64))/AKTIVITY_POZICIE!$B$41*12,IF((AKTIVITY_POZICIE!$B$53-12*('TCO TO BE- SW'!$D157-1))&lt;0,0,(AKTIVITY_POZICIE!$B$53-12*('TCO TO BE- SW'!$D157-1))*((M$4+'TCO TO BE - HW'!M$4)/($E$4+'TCO TO BE - HW'!$E$4)*SUM(AKTIVITY_POZICIE!$M$53:$M$64))/AKTIVITY_POZICIE!$B$53)),0)</f>
        <v>0</v>
      </c>
      <c r="N167" s="576">
        <f>IFERROR(IF((POZICIE_INTERNE!$B$52-12*('TCO TO BE- SW'!$D157-1))&gt;12,((N$4+'TCO TO BE - HW'!N$4)/($E$4+'TCO TO BE - HW'!$E$4)*SUM(POZICIE_INTERNE!$I$52:$I$63))/POZICIE_INTERNE!$B$52*12,IF((POZICIE_INTERNE!$B$52-12*('TCO TO BE- SW'!$D157-1))&lt;0,0,(POZICIE_INTERNE!$B$52-12*('TCO TO BE- SW'!$D157-1))*((N$4+'TCO TO BE - HW'!N$4)/($E$4+'TCO TO BE - HW'!$E$4)*SUM(POZICIE_INTERNE!$I$52:$I$63))/POZICIE_INTERNE!$B$52)),0)+IFERROR(IF((AKTIVITY_POZICIE!$B$53-12*('TCO TO BE- SW'!$D157-1))&gt;12,((N$4+'TCO TO BE - HW'!N$4)/($E$4+'TCO TO BE - HW'!$E$4)*SUM(AKTIVITY_POZICIE!$M$53:$M$64))/AKTIVITY_POZICIE!$B$41*12,IF((AKTIVITY_POZICIE!$B$53-12*('TCO TO BE- SW'!$D157-1))&lt;0,0,(AKTIVITY_POZICIE!$B$53-12*('TCO TO BE- SW'!$D157-1))*((N$4+'TCO TO BE - HW'!N$4)/($E$4+'TCO TO BE - HW'!$E$4)*SUM(AKTIVITY_POZICIE!$M$53:$M$64))/AKTIVITY_POZICIE!$B$53)),0)</f>
        <v>0</v>
      </c>
      <c r="O167" s="576">
        <f>IFERROR(IF((POZICIE_INTERNE!$B$52-12*('TCO TO BE- SW'!$D157-1))&gt;12,((O$4+'TCO TO BE - HW'!O$4)/($E$4+'TCO TO BE - HW'!$E$4)*SUM(POZICIE_INTERNE!$I$52:$I$63))/POZICIE_INTERNE!$B$52*12,IF((POZICIE_INTERNE!$B$52-12*('TCO TO BE- SW'!$D157-1))&lt;0,0,(POZICIE_INTERNE!$B$52-12*('TCO TO BE- SW'!$D157-1))*((O$4+'TCO TO BE - HW'!O$4)/($E$4+'TCO TO BE - HW'!$E$4)*SUM(POZICIE_INTERNE!$I$52:$I$63))/POZICIE_INTERNE!$B$52)),0)+IFERROR(IF((AKTIVITY_POZICIE!$B$53-12*('TCO TO BE- SW'!$D157-1))&gt;12,((O$4+'TCO TO BE - HW'!O$4)/($E$4+'TCO TO BE - HW'!$E$4)*SUM(AKTIVITY_POZICIE!$M$53:$M$64))/AKTIVITY_POZICIE!$B$41*12,IF((AKTIVITY_POZICIE!$B$53-12*('TCO TO BE- SW'!$D157-1))&lt;0,0,(AKTIVITY_POZICIE!$B$53-12*('TCO TO BE- SW'!$D157-1))*((O$4+'TCO TO BE - HW'!O$4)/($E$4+'TCO TO BE - HW'!$E$4)*SUM(AKTIVITY_POZICIE!$M$53:$M$64))/AKTIVITY_POZICIE!$B$53)),0)</f>
        <v>0</v>
      </c>
      <c r="P167" s="576">
        <f>IFERROR(IF((POZICIE_INTERNE!$B$52-12*('TCO TO BE- SW'!$D157-1))&gt;12,((P$4+'TCO TO BE - HW'!P$4)/($E$4+'TCO TO BE - HW'!$E$4)*SUM(POZICIE_INTERNE!$I$52:$I$63))/POZICIE_INTERNE!$B$52*12,IF((POZICIE_INTERNE!$B$52-12*('TCO TO BE- SW'!$D157-1))&lt;0,0,(POZICIE_INTERNE!$B$52-12*('TCO TO BE- SW'!$D157-1))*((P$4+'TCO TO BE - HW'!P$4)/($E$4+'TCO TO BE - HW'!$E$4)*SUM(POZICIE_INTERNE!$I$52:$I$63))/POZICIE_INTERNE!$B$52)),0)+IFERROR(IF((AKTIVITY_POZICIE!$B$53-12*('TCO TO BE- SW'!$D157-1))&gt;12,((P$4+'TCO TO BE - HW'!P$4)/($E$4+'TCO TO BE - HW'!$E$4)*SUM(AKTIVITY_POZICIE!$M$53:$M$64))/AKTIVITY_POZICIE!$B$41*12,IF((AKTIVITY_POZICIE!$B$53-12*('TCO TO BE- SW'!$D157-1))&lt;0,0,(AKTIVITY_POZICIE!$B$53-12*('TCO TO BE- SW'!$D157-1))*((P$4+'TCO TO BE - HW'!P$4)/($E$4+'TCO TO BE - HW'!$E$4)*SUM(AKTIVITY_POZICIE!$M$53:$M$64))/AKTIVITY_POZICIE!$B$53)),0)</f>
        <v>0</v>
      </c>
      <c r="Q167" s="576">
        <f>IFERROR(IF((POZICIE_INTERNE!$B$52-12*('TCO TO BE- SW'!$D157-1))&gt;12,((Q$4+'TCO TO BE - HW'!Q$4)/($E$4+'TCO TO BE - HW'!$E$4)*SUM(POZICIE_INTERNE!$I$52:$I$63))/POZICIE_INTERNE!$B$52*12,IF((POZICIE_INTERNE!$B$52-12*('TCO TO BE- SW'!$D157-1))&lt;0,0,(POZICIE_INTERNE!$B$52-12*('TCO TO BE- SW'!$D157-1))*((Q$4+'TCO TO BE - HW'!Q$4)/($E$4+'TCO TO BE - HW'!$E$4)*SUM(POZICIE_INTERNE!$I$52:$I$63))/POZICIE_INTERNE!$B$52)),0)+IFERROR(IF((AKTIVITY_POZICIE!$B$53-12*('TCO TO BE- SW'!$D157-1))&gt;12,((Q$4+'TCO TO BE - HW'!Q$4)/($E$4+'TCO TO BE - HW'!$E$4)*SUM(AKTIVITY_POZICIE!$M$53:$M$64))/AKTIVITY_POZICIE!$B$41*12,IF((AKTIVITY_POZICIE!$B$53-12*('TCO TO BE- SW'!$D157-1))&lt;0,0,(AKTIVITY_POZICIE!$B$53-12*('TCO TO BE- SW'!$D157-1))*((Q$4+'TCO TO BE - HW'!Q$4)/($E$4+'TCO TO BE - HW'!$E$4)*SUM(AKTIVITY_POZICIE!$M$53:$M$64))/AKTIVITY_POZICIE!$B$53)),0)</f>
        <v>0</v>
      </c>
      <c r="R167" s="576">
        <f>IFERROR(IF((POZICIE_INTERNE!$B$52-12*('TCO TO BE- SW'!$D157-1))&gt;12,((R$4+'TCO TO BE - HW'!R$4)/($E$4+'TCO TO BE - HW'!$E$4)*SUM(POZICIE_INTERNE!$I$52:$I$63))/POZICIE_INTERNE!$B$52*12,IF((POZICIE_INTERNE!$B$52-12*('TCO TO BE- SW'!$D157-1))&lt;0,0,(POZICIE_INTERNE!$B$52-12*('TCO TO BE- SW'!$D157-1))*((R$4+'TCO TO BE - HW'!R$4)/($E$4+'TCO TO BE - HW'!$E$4)*SUM(POZICIE_INTERNE!$I$52:$I$63))/POZICIE_INTERNE!$B$52)),0)+IFERROR(IF((AKTIVITY_POZICIE!$B$53-12*('TCO TO BE- SW'!$D157-1))&gt;12,((R$4+'TCO TO BE - HW'!R$4)/($E$4+'TCO TO BE - HW'!$E$4)*SUM(AKTIVITY_POZICIE!$M$53:$M$64))/AKTIVITY_POZICIE!$B$41*12,IF((AKTIVITY_POZICIE!$B$53-12*('TCO TO BE- SW'!$D157-1))&lt;0,0,(AKTIVITY_POZICIE!$B$53-12*('TCO TO BE- SW'!$D157-1))*((R$4+'TCO TO BE - HW'!R$4)/($E$4+'TCO TO BE - HW'!$E$4)*SUM(AKTIVITY_POZICIE!$M$53:$M$64))/AKTIVITY_POZICIE!$B$53)),0)</f>
        <v>0</v>
      </c>
      <c r="S167" s="576">
        <f>IFERROR(IF((POZICIE_INTERNE!$B$52-12*('TCO TO BE- SW'!$D157-1))&gt;12,((S$4+'TCO TO BE - HW'!S$4)/($E$4+'TCO TO BE - HW'!$E$4)*SUM(POZICIE_INTERNE!$I$52:$I$63))/POZICIE_INTERNE!$B$52*12,IF((POZICIE_INTERNE!$B$52-12*('TCO TO BE- SW'!$D157-1))&lt;0,0,(POZICIE_INTERNE!$B$52-12*('TCO TO BE- SW'!$D157-1))*((S$4+'TCO TO BE - HW'!S$4)/($E$4+'TCO TO BE - HW'!$E$4)*SUM(POZICIE_INTERNE!$I$52:$I$63))/POZICIE_INTERNE!$B$52)),0)+IFERROR(IF((AKTIVITY_POZICIE!$B$53-12*('TCO TO BE- SW'!$D157-1))&gt;12,((S$4+'TCO TO BE - HW'!S$4)/($E$4+'TCO TO BE - HW'!$E$4)*SUM(AKTIVITY_POZICIE!$M$53:$M$64))/AKTIVITY_POZICIE!$B$41*12,IF((AKTIVITY_POZICIE!$B$53-12*('TCO TO BE- SW'!$D157-1))&lt;0,0,(AKTIVITY_POZICIE!$B$53-12*('TCO TO BE- SW'!$D157-1))*((S$4+'TCO TO BE - HW'!S$4)/($E$4+'TCO TO BE - HW'!$E$4)*SUM(AKTIVITY_POZICIE!$M$53:$M$64))/AKTIVITY_POZICIE!$B$53)),0)</f>
        <v>0</v>
      </c>
      <c r="T167" s="576">
        <f>IFERROR(IF((POZICIE_INTERNE!$B$52-12*('TCO TO BE- SW'!$D157-1))&gt;12,((T$4+'TCO TO BE - HW'!T$4)/($E$4+'TCO TO BE - HW'!$E$4)*SUM(POZICIE_INTERNE!$I$52:$I$63))/POZICIE_INTERNE!$B$52*12,IF((POZICIE_INTERNE!$B$52-12*('TCO TO BE- SW'!$D157-1))&lt;0,0,(POZICIE_INTERNE!$B$52-12*('TCO TO BE- SW'!$D157-1))*((T$4+'TCO TO BE - HW'!T$4)/($E$4+'TCO TO BE - HW'!$E$4)*SUM(POZICIE_INTERNE!$I$52:$I$63))/POZICIE_INTERNE!$B$52)),0)+IFERROR(IF((AKTIVITY_POZICIE!$B$53-12*('TCO TO BE- SW'!$D157-1))&gt;12,((T$4+'TCO TO BE - HW'!T$4)/($E$4+'TCO TO BE - HW'!$E$4)*SUM(AKTIVITY_POZICIE!$M$53:$M$64))/AKTIVITY_POZICIE!$B$41*12,IF((AKTIVITY_POZICIE!$B$53-12*('TCO TO BE- SW'!$D157-1))&lt;0,0,(AKTIVITY_POZICIE!$B$53-12*('TCO TO BE- SW'!$D157-1))*((T$4+'TCO TO BE - HW'!T$4)/($E$4+'TCO TO BE - HW'!$E$4)*SUM(AKTIVITY_POZICIE!$M$53:$M$64))/AKTIVITY_POZICIE!$B$53)),0)</f>
        <v>0</v>
      </c>
      <c r="U167" s="576">
        <f>IFERROR(IF((POZICIE_INTERNE!$B$52-12*('TCO TO BE- SW'!$D157-1))&gt;12,((U$4+'TCO TO BE - HW'!U$4)/($E$4+'TCO TO BE - HW'!$E$4)*SUM(POZICIE_INTERNE!$I$52:$I$63))/POZICIE_INTERNE!$B$52*12,IF((POZICIE_INTERNE!$B$52-12*('TCO TO BE- SW'!$D157-1))&lt;0,0,(POZICIE_INTERNE!$B$52-12*('TCO TO BE- SW'!$D157-1))*((U$4+'TCO TO BE - HW'!U$4)/($E$4+'TCO TO BE - HW'!$E$4)*SUM(POZICIE_INTERNE!$I$52:$I$63))/POZICIE_INTERNE!$B$52)),0)+IFERROR(IF((AKTIVITY_POZICIE!$B$53-12*('TCO TO BE- SW'!$D157-1))&gt;12,((U$4+'TCO TO BE - HW'!U$4)/($E$4+'TCO TO BE - HW'!$E$4)*SUM(AKTIVITY_POZICIE!$M$53:$M$64))/AKTIVITY_POZICIE!$B$41*12,IF((AKTIVITY_POZICIE!$B$53-12*('TCO TO BE- SW'!$D157-1))&lt;0,0,(AKTIVITY_POZICIE!$B$53-12*('TCO TO BE- SW'!$D157-1))*((U$4+'TCO TO BE - HW'!U$4)/($E$4+'TCO TO BE - HW'!$E$4)*SUM(AKTIVITY_POZICIE!$M$53:$M$64))/AKTIVITY_POZICIE!$B$53)),0)</f>
        <v>0</v>
      </c>
      <c r="V167" s="576">
        <f>IFERROR(IF((POZICIE_INTERNE!$B$52-12*('TCO TO BE- SW'!$D157-1))&gt;12,((V$4+'TCO TO BE - HW'!V$4)/($E$4+'TCO TO BE - HW'!$E$4)*SUM(POZICIE_INTERNE!$I$52:$I$63))/POZICIE_INTERNE!$B$52*12,IF((POZICIE_INTERNE!$B$52-12*('TCO TO BE- SW'!$D157-1))&lt;0,0,(POZICIE_INTERNE!$B$52-12*('TCO TO BE- SW'!$D157-1))*((V$4+'TCO TO BE - HW'!V$4)/($E$4+'TCO TO BE - HW'!$E$4)*SUM(POZICIE_INTERNE!$I$52:$I$63))/POZICIE_INTERNE!$B$52)),0)+IFERROR(IF((AKTIVITY_POZICIE!$B$53-12*('TCO TO BE- SW'!$D157-1))&gt;12,((V$4+'TCO TO BE - HW'!V$4)/($E$4+'TCO TO BE - HW'!$E$4)*SUM(AKTIVITY_POZICIE!$M$53:$M$64))/AKTIVITY_POZICIE!$B$41*12,IF((AKTIVITY_POZICIE!$B$53-12*('TCO TO BE- SW'!$D157-1))&lt;0,0,(AKTIVITY_POZICIE!$B$53-12*('TCO TO BE- SW'!$D157-1))*((V$4+'TCO TO BE - HW'!V$4)/($E$4+'TCO TO BE - HW'!$E$4)*SUM(AKTIVITY_POZICIE!$M$53:$M$64))/AKTIVITY_POZICIE!$B$53)),0)</f>
        <v>0</v>
      </c>
      <c r="W167" s="576">
        <f>IFERROR(IF((POZICIE_INTERNE!$B$52-12*('TCO TO BE- SW'!$D157-1))&gt;12,((W$4+'TCO TO BE - HW'!W$4)/($E$4+'TCO TO BE - HW'!$E$4)*SUM(POZICIE_INTERNE!$I$52:$I$63))/POZICIE_INTERNE!$B$52*12,IF((POZICIE_INTERNE!$B$52-12*('TCO TO BE- SW'!$D157-1))&lt;0,0,(POZICIE_INTERNE!$B$52-12*('TCO TO BE- SW'!$D157-1))*((W$4+'TCO TO BE - HW'!W$4)/($E$4+'TCO TO BE - HW'!$E$4)*SUM(POZICIE_INTERNE!$I$52:$I$63))/POZICIE_INTERNE!$B$52)),0)+IFERROR(IF((AKTIVITY_POZICIE!$B$53-12*('TCO TO BE- SW'!$D157-1))&gt;12,((W$4+'TCO TO BE - HW'!W$4)/($E$4+'TCO TO BE - HW'!$E$4)*SUM(AKTIVITY_POZICIE!$M$53:$M$64))/AKTIVITY_POZICIE!$B$41*12,IF((AKTIVITY_POZICIE!$B$53-12*('TCO TO BE- SW'!$D157-1))&lt;0,0,(AKTIVITY_POZICIE!$B$53-12*('TCO TO BE- SW'!$D157-1))*((W$4+'TCO TO BE - HW'!W$4)/($E$4+'TCO TO BE - HW'!$E$4)*SUM(AKTIVITY_POZICIE!$M$53:$M$64))/AKTIVITY_POZICIE!$B$53)),0)</f>
        <v>0</v>
      </c>
      <c r="X167" s="576">
        <f>IFERROR(IF((POZICIE_INTERNE!$B$52-12*('TCO TO BE- SW'!$D157-1))&gt;12,((X$4+'TCO TO BE - HW'!X$4)/($E$4+'TCO TO BE - HW'!$E$4)*SUM(POZICIE_INTERNE!$I$52:$I$63))/POZICIE_INTERNE!$B$52*12,IF((POZICIE_INTERNE!$B$52-12*('TCO TO BE- SW'!$D157-1))&lt;0,0,(POZICIE_INTERNE!$B$52-12*('TCO TO BE- SW'!$D157-1))*((X$4+'TCO TO BE - HW'!X$4)/($E$4+'TCO TO BE - HW'!$E$4)*SUM(POZICIE_INTERNE!$I$52:$I$63))/POZICIE_INTERNE!$B$52)),0)+IFERROR(IF((AKTIVITY_POZICIE!$B$53-12*('TCO TO BE- SW'!$D157-1))&gt;12,((X$4+'TCO TO BE - HW'!X$4)/($E$4+'TCO TO BE - HW'!$E$4)*SUM(AKTIVITY_POZICIE!$M$53:$M$64))/AKTIVITY_POZICIE!$B$41*12,IF((AKTIVITY_POZICIE!$B$53-12*('TCO TO BE- SW'!$D157-1))&lt;0,0,(AKTIVITY_POZICIE!$B$53-12*('TCO TO BE- SW'!$D157-1))*((X$4+'TCO TO BE - HW'!X$4)/($E$4+'TCO TO BE - HW'!$E$4)*SUM(AKTIVITY_POZICIE!$M$53:$M$64))/AKTIVITY_POZICIE!$B$53)),0)</f>
        <v>0</v>
      </c>
      <c r="Y167" s="576">
        <f>IFERROR(IF((POZICIE_INTERNE!$B$52-12*('TCO TO BE- SW'!$D157-1))&gt;12,((Y$4+'TCO TO BE - HW'!Y$4)/($E$4+'TCO TO BE - HW'!$E$4)*SUM(POZICIE_INTERNE!$I$52:$I$63))/POZICIE_INTERNE!$B$52*12,IF((POZICIE_INTERNE!$B$52-12*('TCO TO BE- SW'!$D157-1))&lt;0,0,(POZICIE_INTERNE!$B$52-12*('TCO TO BE- SW'!$D157-1))*((Y$4+'TCO TO BE - HW'!Y$4)/($E$4+'TCO TO BE - HW'!$E$4)*SUM(POZICIE_INTERNE!$I$52:$I$63))/POZICIE_INTERNE!$B$52)),0)+IFERROR(IF((AKTIVITY_POZICIE!$B$53-12*('TCO TO BE- SW'!$D157-1))&gt;12,((Y$4+'TCO TO BE - HW'!Y$4)/($E$4+'TCO TO BE - HW'!$E$4)*SUM(AKTIVITY_POZICIE!$M$53:$M$64))/AKTIVITY_POZICIE!$B$41*12,IF((AKTIVITY_POZICIE!$B$53-12*('TCO TO BE- SW'!$D157-1))&lt;0,0,(AKTIVITY_POZICIE!$B$53-12*('TCO TO BE- SW'!$D157-1))*((Y$4+'TCO TO BE - HW'!Y$4)/($E$4+'TCO TO BE - HW'!$E$4)*SUM(AKTIVITY_POZICIE!$M$53:$M$64))/AKTIVITY_POZICIE!$B$53)),0)</f>
        <v>0</v>
      </c>
      <c r="Z167" s="576">
        <f>IFERROR(IF((POZICIE_INTERNE!$B$52-12*('TCO TO BE- SW'!$D157-1))&gt;12,((Z$4+'TCO TO BE - HW'!Z$4)/($E$4+'TCO TO BE - HW'!$E$4)*SUM(POZICIE_INTERNE!$I$52:$I$63))/POZICIE_INTERNE!$B$52*12,IF((POZICIE_INTERNE!$B$52-12*('TCO TO BE- SW'!$D157-1))&lt;0,0,(POZICIE_INTERNE!$B$52-12*('TCO TO BE- SW'!$D157-1))*((Z$4+'TCO TO BE - HW'!Z$4)/($E$4+'TCO TO BE - HW'!$E$4)*SUM(POZICIE_INTERNE!$I$52:$I$63))/POZICIE_INTERNE!$B$52)),0)+IFERROR(IF((AKTIVITY_POZICIE!$B$53-12*('TCO TO BE- SW'!$D157-1))&gt;12,((Z$4+'TCO TO BE - HW'!Z$4)/($E$4+'TCO TO BE - HW'!$E$4)*SUM(AKTIVITY_POZICIE!$M$53:$M$64))/AKTIVITY_POZICIE!$B$41*12,IF((AKTIVITY_POZICIE!$B$53-12*('TCO TO BE- SW'!$D157-1))&lt;0,0,(AKTIVITY_POZICIE!$B$53-12*('TCO TO BE- SW'!$D157-1))*((Z$4+'TCO TO BE - HW'!Z$4)/($E$4+'TCO TO BE - HW'!$E$4)*SUM(AKTIVITY_POZICIE!$M$53:$M$64))/AKTIVITY_POZICIE!$B$53)),0)</f>
        <v>0</v>
      </c>
    </row>
    <row r="168" spans="1:26">
      <c r="A168" s="875"/>
      <c r="B168" s="876"/>
      <c r="C168" s="876"/>
      <c r="D168" s="64">
        <v>8</v>
      </c>
      <c r="E168" s="68">
        <f t="shared" si="16"/>
        <v>0</v>
      </c>
      <c r="F168" s="576">
        <f>IFERROR(IF((POZICIE_INTERNE!$B$52-12*('TCO TO BE- SW'!$D158-1))&gt;12,((F$4+'TCO TO BE - HW'!F$4)/($E$4+'TCO TO BE - HW'!$E$4)*SUM(POZICIE_INTERNE!$I$52:$I$63))/POZICIE_INTERNE!$B$52*12,IF((POZICIE_INTERNE!$B$52-12*('TCO TO BE- SW'!$D158-1))&lt;0,0,(POZICIE_INTERNE!$B$52-12*('TCO TO BE- SW'!$D158-1))*((F$4+'TCO TO BE - HW'!F$4)/($E$4+'TCO TO BE - HW'!$E$4)*SUM(POZICIE_INTERNE!$I$52:$I$63))/POZICIE_INTERNE!$B$52)),0)+IFERROR(IF((AKTIVITY_POZICIE!$B$53-12*('TCO TO BE- SW'!$D158-1))&gt;12,((F$4+'TCO TO BE - HW'!F$4)/($E$4+'TCO TO BE - HW'!$E$4)*SUM(AKTIVITY_POZICIE!$M$53:$M$64))/AKTIVITY_POZICIE!$B$41*12,IF((AKTIVITY_POZICIE!$B$53-12*('TCO TO BE- SW'!$D158-1))&lt;0,0,(AKTIVITY_POZICIE!$B$53-12*('TCO TO BE- SW'!$D158-1))*((F$4+'TCO TO BE - HW'!F$4)/($E$4+'TCO TO BE - HW'!$E$4)*SUM(AKTIVITY_POZICIE!$M$53:$M$64))/AKTIVITY_POZICIE!$B$53)),0)</f>
        <v>0</v>
      </c>
      <c r="G168" s="576">
        <f>IFERROR(IF((POZICIE_INTERNE!$B$52-12*('TCO TO BE- SW'!$D158-1))&gt;12,((G$4+'TCO TO BE - HW'!G$4)/($E$4+'TCO TO BE - HW'!$E$4)*SUM(POZICIE_INTERNE!$I$52:$I$63))/POZICIE_INTERNE!$B$52*12,IF((POZICIE_INTERNE!$B$52-12*('TCO TO BE- SW'!$D158-1))&lt;0,0,(POZICIE_INTERNE!$B$52-12*('TCO TO BE- SW'!$D158-1))*((G$4+'TCO TO BE - HW'!G$4)/($E$4+'TCO TO BE - HW'!$E$4)*SUM(POZICIE_INTERNE!$I$52:$I$63))/POZICIE_INTERNE!$B$52)),0)+IFERROR(IF((AKTIVITY_POZICIE!$B$53-12*('TCO TO BE- SW'!$D158-1))&gt;12,((G$4+'TCO TO BE - HW'!G$4)/($E$4+'TCO TO BE - HW'!$E$4)*SUM(AKTIVITY_POZICIE!$M$53:$M$64))/AKTIVITY_POZICIE!$B$41*12,IF((AKTIVITY_POZICIE!$B$53-12*('TCO TO BE- SW'!$D158-1))&lt;0,0,(AKTIVITY_POZICIE!$B$53-12*('TCO TO BE- SW'!$D158-1))*((G$4+'TCO TO BE - HW'!G$4)/($E$4+'TCO TO BE - HW'!$E$4)*SUM(AKTIVITY_POZICIE!$M$53:$M$64))/AKTIVITY_POZICIE!$B$53)),0)</f>
        <v>0</v>
      </c>
      <c r="H168" s="576">
        <f>IFERROR(IF((POZICIE_INTERNE!$B$52-12*('TCO TO BE- SW'!$D158-1))&gt;12,((H$4+'TCO TO BE - HW'!H$4)/($E$4+'TCO TO BE - HW'!$E$4)*SUM(POZICIE_INTERNE!$I$52:$I$63))/POZICIE_INTERNE!$B$52*12,IF((POZICIE_INTERNE!$B$52-12*('TCO TO BE- SW'!$D158-1))&lt;0,0,(POZICIE_INTERNE!$B$52-12*('TCO TO BE- SW'!$D158-1))*((H$4+'TCO TO BE - HW'!H$4)/($E$4+'TCO TO BE - HW'!$E$4)*SUM(POZICIE_INTERNE!$I$52:$I$63))/POZICIE_INTERNE!$B$52)),0)+IFERROR(IF((AKTIVITY_POZICIE!$B$53-12*('TCO TO BE- SW'!$D158-1))&gt;12,((H$4+'TCO TO BE - HW'!H$4)/($E$4+'TCO TO BE - HW'!$E$4)*SUM(AKTIVITY_POZICIE!$M$53:$M$64))/AKTIVITY_POZICIE!$B$41*12,IF((AKTIVITY_POZICIE!$B$53-12*('TCO TO BE- SW'!$D158-1))&lt;0,0,(AKTIVITY_POZICIE!$B$53-12*('TCO TO BE- SW'!$D158-1))*((H$4+'TCO TO BE - HW'!H$4)/($E$4+'TCO TO BE - HW'!$E$4)*SUM(AKTIVITY_POZICIE!$M$53:$M$64))/AKTIVITY_POZICIE!$B$53)),0)</f>
        <v>0</v>
      </c>
      <c r="I168" s="576">
        <f>IFERROR(IF((POZICIE_INTERNE!$B$52-12*('TCO TO BE- SW'!$D158-1))&gt;12,((I$4+'TCO TO BE - HW'!I$4)/($E$4+'TCO TO BE - HW'!$E$4)*SUM(POZICIE_INTERNE!$I$52:$I$63))/POZICIE_INTERNE!$B$52*12,IF((POZICIE_INTERNE!$B$52-12*('TCO TO BE- SW'!$D158-1))&lt;0,0,(POZICIE_INTERNE!$B$52-12*('TCO TO BE- SW'!$D158-1))*((I$4+'TCO TO BE - HW'!I$4)/($E$4+'TCO TO BE - HW'!$E$4)*SUM(POZICIE_INTERNE!$I$52:$I$63))/POZICIE_INTERNE!$B$52)),0)+IFERROR(IF((AKTIVITY_POZICIE!$B$53-12*('TCO TO BE- SW'!$D158-1))&gt;12,((I$4+'TCO TO BE - HW'!I$4)/($E$4+'TCO TO BE - HW'!$E$4)*SUM(AKTIVITY_POZICIE!$M$53:$M$64))/AKTIVITY_POZICIE!$B$41*12,IF((AKTIVITY_POZICIE!$B$53-12*('TCO TO BE- SW'!$D158-1))&lt;0,0,(AKTIVITY_POZICIE!$B$53-12*('TCO TO BE- SW'!$D158-1))*((I$4+'TCO TO BE - HW'!I$4)/($E$4+'TCO TO BE - HW'!$E$4)*SUM(AKTIVITY_POZICIE!$M$53:$M$64))/AKTIVITY_POZICIE!$B$53)),0)</f>
        <v>0</v>
      </c>
      <c r="J168" s="576">
        <f>IFERROR(IF((POZICIE_INTERNE!$B$52-12*('TCO TO BE- SW'!$D158-1))&gt;12,((J$4+'TCO TO BE - HW'!J$4)/($E$4+'TCO TO BE - HW'!$E$4)*SUM(POZICIE_INTERNE!$I$52:$I$63))/POZICIE_INTERNE!$B$52*12,IF((POZICIE_INTERNE!$B$52-12*('TCO TO BE- SW'!$D158-1))&lt;0,0,(POZICIE_INTERNE!$B$52-12*('TCO TO BE- SW'!$D158-1))*((J$4+'TCO TO BE - HW'!J$4)/($E$4+'TCO TO BE - HW'!$E$4)*SUM(POZICIE_INTERNE!$I$52:$I$63))/POZICIE_INTERNE!$B$52)),0)+IFERROR(IF((AKTIVITY_POZICIE!$B$53-12*('TCO TO BE- SW'!$D158-1))&gt;12,((J$4+'TCO TO BE - HW'!J$4)/($E$4+'TCO TO BE - HW'!$E$4)*SUM(AKTIVITY_POZICIE!$M$53:$M$64))/AKTIVITY_POZICIE!$B$41*12,IF((AKTIVITY_POZICIE!$B$53-12*('TCO TO BE- SW'!$D158-1))&lt;0,0,(AKTIVITY_POZICIE!$B$53-12*('TCO TO BE- SW'!$D158-1))*((J$4+'TCO TO BE - HW'!J$4)/($E$4+'TCO TO BE - HW'!$E$4)*SUM(AKTIVITY_POZICIE!$M$53:$M$64))/AKTIVITY_POZICIE!$B$53)),0)</f>
        <v>0</v>
      </c>
      <c r="K168" s="576">
        <f>IFERROR(IF((POZICIE_INTERNE!$B$52-12*('TCO TO BE- SW'!$D158-1))&gt;12,((K$4+'TCO TO BE - HW'!K$4)/($E$4+'TCO TO BE - HW'!$E$4)*SUM(POZICIE_INTERNE!$I$52:$I$63))/POZICIE_INTERNE!$B$52*12,IF((POZICIE_INTERNE!$B$52-12*('TCO TO BE- SW'!$D158-1))&lt;0,0,(POZICIE_INTERNE!$B$52-12*('TCO TO BE- SW'!$D158-1))*((K$4+'TCO TO BE - HW'!K$4)/($E$4+'TCO TO BE - HW'!$E$4)*SUM(POZICIE_INTERNE!$I$52:$I$63))/POZICIE_INTERNE!$B$52)),0)+IFERROR(IF((AKTIVITY_POZICIE!$B$53-12*('TCO TO BE- SW'!$D158-1))&gt;12,((K$4+'TCO TO BE - HW'!K$4)/($E$4+'TCO TO BE - HW'!$E$4)*SUM(AKTIVITY_POZICIE!$M$53:$M$64))/AKTIVITY_POZICIE!$B$41*12,IF((AKTIVITY_POZICIE!$B$53-12*('TCO TO BE- SW'!$D158-1))&lt;0,0,(AKTIVITY_POZICIE!$B$53-12*('TCO TO BE- SW'!$D158-1))*((K$4+'TCO TO BE - HW'!K$4)/($E$4+'TCO TO BE - HW'!$E$4)*SUM(AKTIVITY_POZICIE!$M$53:$M$64))/AKTIVITY_POZICIE!$B$53)),0)</f>
        <v>0</v>
      </c>
      <c r="L168" s="576">
        <f>IFERROR(IF((POZICIE_INTERNE!$B$52-12*('TCO TO BE- SW'!$D158-1))&gt;12,((L$4+'TCO TO BE - HW'!L$4)/($E$4+'TCO TO BE - HW'!$E$4)*SUM(POZICIE_INTERNE!$I$52:$I$63))/POZICIE_INTERNE!$B$52*12,IF((POZICIE_INTERNE!$B$52-12*('TCO TO BE- SW'!$D158-1))&lt;0,0,(POZICIE_INTERNE!$B$52-12*('TCO TO BE- SW'!$D158-1))*((L$4+'TCO TO BE - HW'!L$4)/($E$4+'TCO TO BE - HW'!$E$4)*SUM(POZICIE_INTERNE!$I$52:$I$63))/POZICIE_INTERNE!$B$52)),0)+IFERROR(IF((AKTIVITY_POZICIE!$B$53-12*('TCO TO BE- SW'!$D158-1))&gt;12,((L$4+'TCO TO BE - HW'!L$4)/($E$4+'TCO TO BE - HW'!$E$4)*SUM(AKTIVITY_POZICIE!$M$53:$M$64))/AKTIVITY_POZICIE!$B$41*12,IF((AKTIVITY_POZICIE!$B$53-12*('TCO TO BE- SW'!$D158-1))&lt;0,0,(AKTIVITY_POZICIE!$B$53-12*('TCO TO BE- SW'!$D158-1))*((L$4+'TCO TO BE - HW'!L$4)/($E$4+'TCO TO BE - HW'!$E$4)*SUM(AKTIVITY_POZICIE!$M$53:$M$64))/AKTIVITY_POZICIE!$B$53)),0)</f>
        <v>0</v>
      </c>
      <c r="M168" s="576">
        <f>IFERROR(IF((POZICIE_INTERNE!$B$52-12*('TCO TO BE- SW'!$D158-1))&gt;12,((M$4+'TCO TO BE - HW'!M$4)/($E$4+'TCO TO BE - HW'!$E$4)*SUM(POZICIE_INTERNE!$I$52:$I$63))/POZICIE_INTERNE!$B$52*12,IF((POZICIE_INTERNE!$B$52-12*('TCO TO BE- SW'!$D158-1))&lt;0,0,(POZICIE_INTERNE!$B$52-12*('TCO TO BE- SW'!$D158-1))*((M$4+'TCO TO BE - HW'!M$4)/($E$4+'TCO TO BE - HW'!$E$4)*SUM(POZICIE_INTERNE!$I$52:$I$63))/POZICIE_INTERNE!$B$52)),0)+IFERROR(IF((AKTIVITY_POZICIE!$B$53-12*('TCO TO BE- SW'!$D158-1))&gt;12,((M$4+'TCO TO BE - HW'!M$4)/($E$4+'TCO TO BE - HW'!$E$4)*SUM(AKTIVITY_POZICIE!$M$53:$M$64))/AKTIVITY_POZICIE!$B$41*12,IF((AKTIVITY_POZICIE!$B$53-12*('TCO TO BE- SW'!$D158-1))&lt;0,0,(AKTIVITY_POZICIE!$B$53-12*('TCO TO BE- SW'!$D158-1))*((M$4+'TCO TO BE - HW'!M$4)/($E$4+'TCO TO BE - HW'!$E$4)*SUM(AKTIVITY_POZICIE!$M$53:$M$64))/AKTIVITY_POZICIE!$B$53)),0)</f>
        <v>0</v>
      </c>
      <c r="N168" s="576">
        <f>IFERROR(IF((POZICIE_INTERNE!$B$52-12*('TCO TO BE- SW'!$D158-1))&gt;12,((N$4+'TCO TO BE - HW'!N$4)/($E$4+'TCO TO BE - HW'!$E$4)*SUM(POZICIE_INTERNE!$I$52:$I$63))/POZICIE_INTERNE!$B$52*12,IF((POZICIE_INTERNE!$B$52-12*('TCO TO BE- SW'!$D158-1))&lt;0,0,(POZICIE_INTERNE!$B$52-12*('TCO TO BE- SW'!$D158-1))*((N$4+'TCO TO BE - HW'!N$4)/($E$4+'TCO TO BE - HW'!$E$4)*SUM(POZICIE_INTERNE!$I$52:$I$63))/POZICIE_INTERNE!$B$52)),0)+IFERROR(IF((AKTIVITY_POZICIE!$B$53-12*('TCO TO BE- SW'!$D158-1))&gt;12,((N$4+'TCO TO BE - HW'!N$4)/($E$4+'TCO TO BE - HW'!$E$4)*SUM(AKTIVITY_POZICIE!$M$53:$M$64))/AKTIVITY_POZICIE!$B$41*12,IF((AKTIVITY_POZICIE!$B$53-12*('TCO TO BE- SW'!$D158-1))&lt;0,0,(AKTIVITY_POZICIE!$B$53-12*('TCO TO BE- SW'!$D158-1))*((N$4+'TCO TO BE - HW'!N$4)/($E$4+'TCO TO BE - HW'!$E$4)*SUM(AKTIVITY_POZICIE!$M$53:$M$64))/AKTIVITY_POZICIE!$B$53)),0)</f>
        <v>0</v>
      </c>
      <c r="O168" s="576">
        <f>IFERROR(IF((POZICIE_INTERNE!$B$52-12*('TCO TO BE- SW'!$D158-1))&gt;12,((O$4+'TCO TO BE - HW'!O$4)/($E$4+'TCO TO BE - HW'!$E$4)*SUM(POZICIE_INTERNE!$I$52:$I$63))/POZICIE_INTERNE!$B$52*12,IF((POZICIE_INTERNE!$B$52-12*('TCO TO BE- SW'!$D158-1))&lt;0,0,(POZICIE_INTERNE!$B$52-12*('TCO TO BE- SW'!$D158-1))*((O$4+'TCO TO BE - HW'!O$4)/($E$4+'TCO TO BE - HW'!$E$4)*SUM(POZICIE_INTERNE!$I$52:$I$63))/POZICIE_INTERNE!$B$52)),0)+IFERROR(IF((AKTIVITY_POZICIE!$B$53-12*('TCO TO BE- SW'!$D158-1))&gt;12,((O$4+'TCO TO BE - HW'!O$4)/($E$4+'TCO TO BE - HW'!$E$4)*SUM(AKTIVITY_POZICIE!$M$53:$M$64))/AKTIVITY_POZICIE!$B$41*12,IF((AKTIVITY_POZICIE!$B$53-12*('TCO TO BE- SW'!$D158-1))&lt;0,0,(AKTIVITY_POZICIE!$B$53-12*('TCO TO BE- SW'!$D158-1))*((O$4+'TCO TO BE - HW'!O$4)/($E$4+'TCO TO BE - HW'!$E$4)*SUM(AKTIVITY_POZICIE!$M$53:$M$64))/AKTIVITY_POZICIE!$B$53)),0)</f>
        <v>0</v>
      </c>
      <c r="P168" s="576">
        <f>IFERROR(IF((POZICIE_INTERNE!$B$52-12*('TCO TO BE- SW'!$D158-1))&gt;12,((P$4+'TCO TO BE - HW'!P$4)/($E$4+'TCO TO BE - HW'!$E$4)*SUM(POZICIE_INTERNE!$I$52:$I$63))/POZICIE_INTERNE!$B$52*12,IF((POZICIE_INTERNE!$B$52-12*('TCO TO BE- SW'!$D158-1))&lt;0,0,(POZICIE_INTERNE!$B$52-12*('TCO TO BE- SW'!$D158-1))*((P$4+'TCO TO BE - HW'!P$4)/($E$4+'TCO TO BE - HW'!$E$4)*SUM(POZICIE_INTERNE!$I$52:$I$63))/POZICIE_INTERNE!$B$52)),0)+IFERROR(IF((AKTIVITY_POZICIE!$B$53-12*('TCO TO BE- SW'!$D158-1))&gt;12,((P$4+'TCO TO BE - HW'!P$4)/($E$4+'TCO TO BE - HW'!$E$4)*SUM(AKTIVITY_POZICIE!$M$53:$M$64))/AKTIVITY_POZICIE!$B$41*12,IF((AKTIVITY_POZICIE!$B$53-12*('TCO TO BE- SW'!$D158-1))&lt;0,0,(AKTIVITY_POZICIE!$B$53-12*('TCO TO BE- SW'!$D158-1))*((P$4+'TCO TO BE - HW'!P$4)/($E$4+'TCO TO BE - HW'!$E$4)*SUM(AKTIVITY_POZICIE!$M$53:$M$64))/AKTIVITY_POZICIE!$B$53)),0)</f>
        <v>0</v>
      </c>
      <c r="Q168" s="576">
        <f>IFERROR(IF((POZICIE_INTERNE!$B$52-12*('TCO TO BE- SW'!$D158-1))&gt;12,((Q$4+'TCO TO BE - HW'!Q$4)/($E$4+'TCO TO BE - HW'!$E$4)*SUM(POZICIE_INTERNE!$I$52:$I$63))/POZICIE_INTERNE!$B$52*12,IF((POZICIE_INTERNE!$B$52-12*('TCO TO BE- SW'!$D158-1))&lt;0,0,(POZICIE_INTERNE!$B$52-12*('TCO TO BE- SW'!$D158-1))*((Q$4+'TCO TO BE - HW'!Q$4)/($E$4+'TCO TO BE - HW'!$E$4)*SUM(POZICIE_INTERNE!$I$52:$I$63))/POZICIE_INTERNE!$B$52)),0)+IFERROR(IF((AKTIVITY_POZICIE!$B$53-12*('TCO TO BE- SW'!$D158-1))&gt;12,((Q$4+'TCO TO BE - HW'!Q$4)/($E$4+'TCO TO BE - HW'!$E$4)*SUM(AKTIVITY_POZICIE!$M$53:$M$64))/AKTIVITY_POZICIE!$B$41*12,IF((AKTIVITY_POZICIE!$B$53-12*('TCO TO BE- SW'!$D158-1))&lt;0,0,(AKTIVITY_POZICIE!$B$53-12*('TCO TO BE- SW'!$D158-1))*((Q$4+'TCO TO BE - HW'!Q$4)/($E$4+'TCO TO BE - HW'!$E$4)*SUM(AKTIVITY_POZICIE!$M$53:$M$64))/AKTIVITY_POZICIE!$B$53)),0)</f>
        <v>0</v>
      </c>
      <c r="R168" s="576">
        <f>IFERROR(IF((POZICIE_INTERNE!$B$52-12*('TCO TO BE- SW'!$D158-1))&gt;12,((R$4+'TCO TO BE - HW'!R$4)/($E$4+'TCO TO BE - HW'!$E$4)*SUM(POZICIE_INTERNE!$I$52:$I$63))/POZICIE_INTERNE!$B$52*12,IF((POZICIE_INTERNE!$B$52-12*('TCO TO BE- SW'!$D158-1))&lt;0,0,(POZICIE_INTERNE!$B$52-12*('TCO TO BE- SW'!$D158-1))*((R$4+'TCO TO BE - HW'!R$4)/($E$4+'TCO TO BE - HW'!$E$4)*SUM(POZICIE_INTERNE!$I$52:$I$63))/POZICIE_INTERNE!$B$52)),0)+IFERROR(IF((AKTIVITY_POZICIE!$B$53-12*('TCO TO BE- SW'!$D158-1))&gt;12,((R$4+'TCO TO BE - HW'!R$4)/($E$4+'TCO TO BE - HW'!$E$4)*SUM(AKTIVITY_POZICIE!$M$53:$M$64))/AKTIVITY_POZICIE!$B$41*12,IF((AKTIVITY_POZICIE!$B$53-12*('TCO TO BE- SW'!$D158-1))&lt;0,0,(AKTIVITY_POZICIE!$B$53-12*('TCO TO BE- SW'!$D158-1))*((R$4+'TCO TO BE - HW'!R$4)/($E$4+'TCO TO BE - HW'!$E$4)*SUM(AKTIVITY_POZICIE!$M$53:$M$64))/AKTIVITY_POZICIE!$B$53)),0)</f>
        <v>0</v>
      </c>
      <c r="S168" s="576">
        <f>IFERROR(IF((POZICIE_INTERNE!$B$52-12*('TCO TO BE- SW'!$D158-1))&gt;12,((S$4+'TCO TO BE - HW'!S$4)/($E$4+'TCO TO BE - HW'!$E$4)*SUM(POZICIE_INTERNE!$I$52:$I$63))/POZICIE_INTERNE!$B$52*12,IF((POZICIE_INTERNE!$B$52-12*('TCO TO BE- SW'!$D158-1))&lt;0,0,(POZICIE_INTERNE!$B$52-12*('TCO TO BE- SW'!$D158-1))*((S$4+'TCO TO BE - HW'!S$4)/($E$4+'TCO TO BE - HW'!$E$4)*SUM(POZICIE_INTERNE!$I$52:$I$63))/POZICIE_INTERNE!$B$52)),0)+IFERROR(IF((AKTIVITY_POZICIE!$B$53-12*('TCO TO BE- SW'!$D158-1))&gt;12,((S$4+'TCO TO BE - HW'!S$4)/($E$4+'TCO TO BE - HW'!$E$4)*SUM(AKTIVITY_POZICIE!$M$53:$M$64))/AKTIVITY_POZICIE!$B$41*12,IF((AKTIVITY_POZICIE!$B$53-12*('TCO TO BE- SW'!$D158-1))&lt;0,0,(AKTIVITY_POZICIE!$B$53-12*('TCO TO BE- SW'!$D158-1))*((S$4+'TCO TO BE - HW'!S$4)/($E$4+'TCO TO BE - HW'!$E$4)*SUM(AKTIVITY_POZICIE!$M$53:$M$64))/AKTIVITY_POZICIE!$B$53)),0)</f>
        <v>0</v>
      </c>
      <c r="T168" s="576">
        <f>IFERROR(IF((POZICIE_INTERNE!$B$52-12*('TCO TO BE- SW'!$D158-1))&gt;12,((T$4+'TCO TO BE - HW'!T$4)/($E$4+'TCO TO BE - HW'!$E$4)*SUM(POZICIE_INTERNE!$I$52:$I$63))/POZICIE_INTERNE!$B$52*12,IF((POZICIE_INTERNE!$B$52-12*('TCO TO BE- SW'!$D158-1))&lt;0,0,(POZICIE_INTERNE!$B$52-12*('TCO TO BE- SW'!$D158-1))*((T$4+'TCO TO BE - HW'!T$4)/($E$4+'TCO TO BE - HW'!$E$4)*SUM(POZICIE_INTERNE!$I$52:$I$63))/POZICIE_INTERNE!$B$52)),0)+IFERROR(IF((AKTIVITY_POZICIE!$B$53-12*('TCO TO BE- SW'!$D158-1))&gt;12,((T$4+'TCO TO BE - HW'!T$4)/($E$4+'TCO TO BE - HW'!$E$4)*SUM(AKTIVITY_POZICIE!$M$53:$M$64))/AKTIVITY_POZICIE!$B$41*12,IF((AKTIVITY_POZICIE!$B$53-12*('TCO TO BE- SW'!$D158-1))&lt;0,0,(AKTIVITY_POZICIE!$B$53-12*('TCO TO BE- SW'!$D158-1))*((T$4+'TCO TO BE - HW'!T$4)/($E$4+'TCO TO BE - HW'!$E$4)*SUM(AKTIVITY_POZICIE!$M$53:$M$64))/AKTIVITY_POZICIE!$B$53)),0)</f>
        <v>0</v>
      </c>
      <c r="U168" s="576">
        <f>IFERROR(IF((POZICIE_INTERNE!$B$52-12*('TCO TO BE- SW'!$D158-1))&gt;12,((U$4+'TCO TO BE - HW'!U$4)/($E$4+'TCO TO BE - HW'!$E$4)*SUM(POZICIE_INTERNE!$I$52:$I$63))/POZICIE_INTERNE!$B$52*12,IF((POZICIE_INTERNE!$B$52-12*('TCO TO BE- SW'!$D158-1))&lt;0,0,(POZICIE_INTERNE!$B$52-12*('TCO TO BE- SW'!$D158-1))*((U$4+'TCO TO BE - HW'!U$4)/($E$4+'TCO TO BE - HW'!$E$4)*SUM(POZICIE_INTERNE!$I$52:$I$63))/POZICIE_INTERNE!$B$52)),0)+IFERROR(IF((AKTIVITY_POZICIE!$B$53-12*('TCO TO BE- SW'!$D158-1))&gt;12,((U$4+'TCO TO BE - HW'!U$4)/($E$4+'TCO TO BE - HW'!$E$4)*SUM(AKTIVITY_POZICIE!$M$53:$M$64))/AKTIVITY_POZICIE!$B$41*12,IF((AKTIVITY_POZICIE!$B$53-12*('TCO TO BE- SW'!$D158-1))&lt;0,0,(AKTIVITY_POZICIE!$B$53-12*('TCO TO BE- SW'!$D158-1))*((U$4+'TCO TO BE - HW'!U$4)/($E$4+'TCO TO BE - HW'!$E$4)*SUM(AKTIVITY_POZICIE!$M$53:$M$64))/AKTIVITY_POZICIE!$B$53)),0)</f>
        <v>0</v>
      </c>
      <c r="V168" s="576">
        <f>IFERROR(IF((POZICIE_INTERNE!$B$52-12*('TCO TO BE- SW'!$D158-1))&gt;12,((V$4+'TCO TO BE - HW'!V$4)/($E$4+'TCO TO BE - HW'!$E$4)*SUM(POZICIE_INTERNE!$I$52:$I$63))/POZICIE_INTERNE!$B$52*12,IF((POZICIE_INTERNE!$B$52-12*('TCO TO BE- SW'!$D158-1))&lt;0,0,(POZICIE_INTERNE!$B$52-12*('TCO TO BE- SW'!$D158-1))*((V$4+'TCO TO BE - HW'!V$4)/($E$4+'TCO TO BE - HW'!$E$4)*SUM(POZICIE_INTERNE!$I$52:$I$63))/POZICIE_INTERNE!$B$52)),0)+IFERROR(IF((AKTIVITY_POZICIE!$B$53-12*('TCO TO BE- SW'!$D158-1))&gt;12,((V$4+'TCO TO BE - HW'!V$4)/($E$4+'TCO TO BE - HW'!$E$4)*SUM(AKTIVITY_POZICIE!$M$53:$M$64))/AKTIVITY_POZICIE!$B$41*12,IF((AKTIVITY_POZICIE!$B$53-12*('TCO TO BE- SW'!$D158-1))&lt;0,0,(AKTIVITY_POZICIE!$B$53-12*('TCO TO BE- SW'!$D158-1))*((V$4+'TCO TO BE - HW'!V$4)/($E$4+'TCO TO BE - HW'!$E$4)*SUM(AKTIVITY_POZICIE!$M$53:$M$64))/AKTIVITY_POZICIE!$B$53)),0)</f>
        <v>0</v>
      </c>
      <c r="W168" s="576">
        <f>IFERROR(IF((POZICIE_INTERNE!$B$52-12*('TCO TO BE- SW'!$D158-1))&gt;12,((W$4+'TCO TO BE - HW'!W$4)/($E$4+'TCO TO BE - HW'!$E$4)*SUM(POZICIE_INTERNE!$I$52:$I$63))/POZICIE_INTERNE!$B$52*12,IF((POZICIE_INTERNE!$B$52-12*('TCO TO BE- SW'!$D158-1))&lt;0,0,(POZICIE_INTERNE!$B$52-12*('TCO TO BE- SW'!$D158-1))*((W$4+'TCO TO BE - HW'!W$4)/($E$4+'TCO TO BE - HW'!$E$4)*SUM(POZICIE_INTERNE!$I$52:$I$63))/POZICIE_INTERNE!$B$52)),0)+IFERROR(IF((AKTIVITY_POZICIE!$B$53-12*('TCO TO BE- SW'!$D158-1))&gt;12,((W$4+'TCO TO BE - HW'!W$4)/($E$4+'TCO TO BE - HW'!$E$4)*SUM(AKTIVITY_POZICIE!$M$53:$M$64))/AKTIVITY_POZICIE!$B$41*12,IF((AKTIVITY_POZICIE!$B$53-12*('TCO TO BE- SW'!$D158-1))&lt;0,0,(AKTIVITY_POZICIE!$B$53-12*('TCO TO BE- SW'!$D158-1))*((W$4+'TCO TO BE - HW'!W$4)/($E$4+'TCO TO BE - HW'!$E$4)*SUM(AKTIVITY_POZICIE!$M$53:$M$64))/AKTIVITY_POZICIE!$B$53)),0)</f>
        <v>0</v>
      </c>
      <c r="X168" s="576">
        <f>IFERROR(IF((POZICIE_INTERNE!$B$52-12*('TCO TO BE- SW'!$D158-1))&gt;12,((X$4+'TCO TO BE - HW'!X$4)/($E$4+'TCO TO BE - HW'!$E$4)*SUM(POZICIE_INTERNE!$I$52:$I$63))/POZICIE_INTERNE!$B$52*12,IF((POZICIE_INTERNE!$B$52-12*('TCO TO BE- SW'!$D158-1))&lt;0,0,(POZICIE_INTERNE!$B$52-12*('TCO TO BE- SW'!$D158-1))*((X$4+'TCO TO BE - HW'!X$4)/($E$4+'TCO TO BE - HW'!$E$4)*SUM(POZICIE_INTERNE!$I$52:$I$63))/POZICIE_INTERNE!$B$52)),0)+IFERROR(IF((AKTIVITY_POZICIE!$B$53-12*('TCO TO BE- SW'!$D158-1))&gt;12,((X$4+'TCO TO BE - HW'!X$4)/($E$4+'TCO TO BE - HW'!$E$4)*SUM(AKTIVITY_POZICIE!$M$53:$M$64))/AKTIVITY_POZICIE!$B$41*12,IF((AKTIVITY_POZICIE!$B$53-12*('TCO TO BE- SW'!$D158-1))&lt;0,0,(AKTIVITY_POZICIE!$B$53-12*('TCO TO BE- SW'!$D158-1))*((X$4+'TCO TO BE - HW'!X$4)/($E$4+'TCO TO BE - HW'!$E$4)*SUM(AKTIVITY_POZICIE!$M$53:$M$64))/AKTIVITY_POZICIE!$B$53)),0)</f>
        <v>0</v>
      </c>
      <c r="Y168" s="576">
        <f>IFERROR(IF((POZICIE_INTERNE!$B$52-12*('TCO TO BE- SW'!$D158-1))&gt;12,((Y$4+'TCO TO BE - HW'!Y$4)/($E$4+'TCO TO BE - HW'!$E$4)*SUM(POZICIE_INTERNE!$I$52:$I$63))/POZICIE_INTERNE!$B$52*12,IF((POZICIE_INTERNE!$B$52-12*('TCO TO BE- SW'!$D158-1))&lt;0,0,(POZICIE_INTERNE!$B$52-12*('TCO TO BE- SW'!$D158-1))*((Y$4+'TCO TO BE - HW'!Y$4)/($E$4+'TCO TO BE - HW'!$E$4)*SUM(POZICIE_INTERNE!$I$52:$I$63))/POZICIE_INTERNE!$B$52)),0)+IFERROR(IF((AKTIVITY_POZICIE!$B$53-12*('TCO TO BE- SW'!$D158-1))&gt;12,((Y$4+'TCO TO BE - HW'!Y$4)/($E$4+'TCO TO BE - HW'!$E$4)*SUM(AKTIVITY_POZICIE!$M$53:$M$64))/AKTIVITY_POZICIE!$B$41*12,IF((AKTIVITY_POZICIE!$B$53-12*('TCO TO BE- SW'!$D158-1))&lt;0,0,(AKTIVITY_POZICIE!$B$53-12*('TCO TO BE- SW'!$D158-1))*((Y$4+'TCO TO BE - HW'!Y$4)/($E$4+'TCO TO BE - HW'!$E$4)*SUM(AKTIVITY_POZICIE!$M$53:$M$64))/AKTIVITY_POZICIE!$B$53)),0)</f>
        <v>0</v>
      </c>
      <c r="Z168" s="576">
        <f>IFERROR(IF((POZICIE_INTERNE!$B$52-12*('TCO TO BE- SW'!$D158-1))&gt;12,((Z$4+'TCO TO BE - HW'!Z$4)/($E$4+'TCO TO BE - HW'!$E$4)*SUM(POZICIE_INTERNE!$I$52:$I$63))/POZICIE_INTERNE!$B$52*12,IF((POZICIE_INTERNE!$B$52-12*('TCO TO BE- SW'!$D158-1))&lt;0,0,(POZICIE_INTERNE!$B$52-12*('TCO TO BE- SW'!$D158-1))*((Z$4+'TCO TO BE - HW'!Z$4)/($E$4+'TCO TO BE - HW'!$E$4)*SUM(POZICIE_INTERNE!$I$52:$I$63))/POZICIE_INTERNE!$B$52)),0)+IFERROR(IF((AKTIVITY_POZICIE!$B$53-12*('TCO TO BE- SW'!$D158-1))&gt;12,((Z$4+'TCO TO BE - HW'!Z$4)/($E$4+'TCO TO BE - HW'!$E$4)*SUM(AKTIVITY_POZICIE!$M$53:$M$64))/AKTIVITY_POZICIE!$B$41*12,IF((AKTIVITY_POZICIE!$B$53-12*('TCO TO BE- SW'!$D158-1))&lt;0,0,(AKTIVITY_POZICIE!$B$53-12*('TCO TO BE- SW'!$D158-1))*((Z$4+'TCO TO BE - HW'!Z$4)/($E$4+'TCO TO BE - HW'!$E$4)*SUM(AKTIVITY_POZICIE!$M$53:$M$64))/AKTIVITY_POZICIE!$B$53)),0)</f>
        <v>0</v>
      </c>
    </row>
    <row r="169" spans="1:26">
      <c r="A169" s="875"/>
      <c r="B169" s="876"/>
      <c r="C169" s="876"/>
      <c r="D169" s="64">
        <v>9</v>
      </c>
      <c r="E169" s="68">
        <f t="shared" si="16"/>
        <v>0</v>
      </c>
      <c r="F169" s="576">
        <f>IFERROR(IF((POZICIE_INTERNE!$B$52-12*('TCO TO BE- SW'!$D159-1))&gt;12,((F$4+'TCO TO BE - HW'!F$4)/($E$4+'TCO TO BE - HW'!$E$4)*SUM(POZICIE_INTERNE!$I$52:$I$63))/POZICIE_INTERNE!$B$52*12,IF((POZICIE_INTERNE!$B$52-12*('TCO TO BE- SW'!$D159-1))&lt;0,0,(POZICIE_INTERNE!$B$52-12*('TCO TO BE- SW'!$D159-1))*((F$4+'TCO TO BE - HW'!F$4)/($E$4+'TCO TO BE - HW'!$E$4)*SUM(POZICIE_INTERNE!$I$52:$I$63))/POZICIE_INTERNE!$B$52)),0)+IFERROR(IF((AKTIVITY_POZICIE!$B$53-12*('TCO TO BE- SW'!$D159-1))&gt;12,((F$4+'TCO TO BE - HW'!F$4)/($E$4+'TCO TO BE - HW'!$E$4)*SUM(AKTIVITY_POZICIE!$M$53:$M$64))/AKTIVITY_POZICIE!$B$41*12,IF((AKTIVITY_POZICIE!$B$53-12*('TCO TO BE- SW'!$D159-1))&lt;0,0,(AKTIVITY_POZICIE!$B$53-12*('TCO TO BE- SW'!$D159-1))*((F$4+'TCO TO BE - HW'!F$4)/($E$4+'TCO TO BE - HW'!$E$4)*SUM(AKTIVITY_POZICIE!$M$53:$M$64))/AKTIVITY_POZICIE!$B$53)),0)</f>
        <v>0</v>
      </c>
      <c r="G169" s="576">
        <f>IFERROR(IF((POZICIE_INTERNE!$B$52-12*('TCO TO BE- SW'!$D159-1))&gt;12,((G$4+'TCO TO BE - HW'!G$4)/($E$4+'TCO TO BE - HW'!$E$4)*SUM(POZICIE_INTERNE!$I$52:$I$63))/POZICIE_INTERNE!$B$52*12,IF((POZICIE_INTERNE!$B$52-12*('TCO TO BE- SW'!$D159-1))&lt;0,0,(POZICIE_INTERNE!$B$52-12*('TCO TO BE- SW'!$D159-1))*((G$4+'TCO TO BE - HW'!G$4)/($E$4+'TCO TO BE - HW'!$E$4)*SUM(POZICIE_INTERNE!$I$52:$I$63))/POZICIE_INTERNE!$B$52)),0)+IFERROR(IF((AKTIVITY_POZICIE!$B$53-12*('TCO TO BE- SW'!$D159-1))&gt;12,((G$4+'TCO TO BE - HW'!G$4)/($E$4+'TCO TO BE - HW'!$E$4)*SUM(AKTIVITY_POZICIE!$M$53:$M$64))/AKTIVITY_POZICIE!$B$41*12,IF((AKTIVITY_POZICIE!$B$53-12*('TCO TO BE- SW'!$D159-1))&lt;0,0,(AKTIVITY_POZICIE!$B$53-12*('TCO TO BE- SW'!$D159-1))*((G$4+'TCO TO BE - HW'!G$4)/($E$4+'TCO TO BE - HW'!$E$4)*SUM(AKTIVITY_POZICIE!$M$53:$M$64))/AKTIVITY_POZICIE!$B$53)),0)</f>
        <v>0</v>
      </c>
      <c r="H169" s="576">
        <f>IFERROR(IF((POZICIE_INTERNE!$B$52-12*('TCO TO BE- SW'!$D159-1))&gt;12,((H$4+'TCO TO BE - HW'!H$4)/($E$4+'TCO TO BE - HW'!$E$4)*SUM(POZICIE_INTERNE!$I$52:$I$63))/POZICIE_INTERNE!$B$52*12,IF((POZICIE_INTERNE!$B$52-12*('TCO TO BE- SW'!$D159-1))&lt;0,0,(POZICIE_INTERNE!$B$52-12*('TCO TO BE- SW'!$D159-1))*((H$4+'TCO TO BE - HW'!H$4)/($E$4+'TCO TO BE - HW'!$E$4)*SUM(POZICIE_INTERNE!$I$52:$I$63))/POZICIE_INTERNE!$B$52)),0)+IFERROR(IF((AKTIVITY_POZICIE!$B$53-12*('TCO TO BE- SW'!$D159-1))&gt;12,((H$4+'TCO TO BE - HW'!H$4)/($E$4+'TCO TO BE - HW'!$E$4)*SUM(AKTIVITY_POZICIE!$M$53:$M$64))/AKTIVITY_POZICIE!$B$41*12,IF((AKTIVITY_POZICIE!$B$53-12*('TCO TO BE- SW'!$D159-1))&lt;0,0,(AKTIVITY_POZICIE!$B$53-12*('TCO TO BE- SW'!$D159-1))*((H$4+'TCO TO BE - HW'!H$4)/($E$4+'TCO TO BE - HW'!$E$4)*SUM(AKTIVITY_POZICIE!$M$53:$M$64))/AKTIVITY_POZICIE!$B$53)),0)</f>
        <v>0</v>
      </c>
      <c r="I169" s="576">
        <f>IFERROR(IF((POZICIE_INTERNE!$B$52-12*('TCO TO BE- SW'!$D159-1))&gt;12,((I$4+'TCO TO BE - HW'!I$4)/($E$4+'TCO TO BE - HW'!$E$4)*SUM(POZICIE_INTERNE!$I$52:$I$63))/POZICIE_INTERNE!$B$52*12,IF((POZICIE_INTERNE!$B$52-12*('TCO TO BE- SW'!$D159-1))&lt;0,0,(POZICIE_INTERNE!$B$52-12*('TCO TO BE- SW'!$D159-1))*((I$4+'TCO TO BE - HW'!I$4)/($E$4+'TCO TO BE - HW'!$E$4)*SUM(POZICIE_INTERNE!$I$52:$I$63))/POZICIE_INTERNE!$B$52)),0)+IFERROR(IF((AKTIVITY_POZICIE!$B$53-12*('TCO TO BE- SW'!$D159-1))&gt;12,((I$4+'TCO TO BE - HW'!I$4)/($E$4+'TCO TO BE - HW'!$E$4)*SUM(AKTIVITY_POZICIE!$M$53:$M$64))/AKTIVITY_POZICIE!$B$41*12,IF((AKTIVITY_POZICIE!$B$53-12*('TCO TO BE- SW'!$D159-1))&lt;0,0,(AKTIVITY_POZICIE!$B$53-12*('TCO TO BE- SW'!$D159-1))*((I$4+'TCO TO BE - HW'!I$4)/($E$4+'TCO TO BE - HW'!$E$4)*SUM(AKTIVITY_POZICIE!$M$53:$M$64))/AKTIVITY_POZICIE!$B$53)),0)</f>
        <v>0</v>
      </c>
      <c r="J169" s="576">
        <f>IFERROR(IF((POZICIE_INTERNE!$B$52-12*('TCO TO BE- SW'!$D159-1))&gt;12,((J$4+'TCO TO BE - HW'!J$4)/($E$4+'TCO TO BE - HW'!$E$4)*SUM(POZICIE_INTERNE!$I$52:$I$63))/POZICIE_INTERNE!$B$52*12,IF((POZICIE_INTERNE!$B$52-12*('TCO TO BE- SW'!$D159-1))&lt;0,0,(POZICIE_INTERNE!$B$52-12*('TCO TO BE- SW'!$D159-1))*((J$4+'TCO TO BE - HW'!J$4)/($E$4+'TCO TO BE - HW'!$E$4)*SUM(POZICIE_INTERNE!$I$52:$I$63))/POZICIE_INTERNE!$B$52)),0)+IFERROR(IF((AKTIVITY_POZICIE!$B$53-12*('TCO TO BE- SW'!$D159-1))&gt;12,((J$4+'TCO TO BE - HW'!J$4)/($E$4+'TCO TO BE - HW'!$E$4)*SUM(AKTIVITY_POZICIE!$M$53:$M$64))/AKTIVITY_POZICIE!$B$41*12,IF((AKTIVITY_POZICIE!$B$53-12*('TCO TO BE- SW'!$D159-1))&lt;0,0,(AKTIVITY_POZICIE!$B$53-12*('TCO TO BE- SW'!$D159-1))*((J$4+'TCO TO BE - HW'!J$4)/($E$4+'TCO TO BE - HW'!$E$4)*SUM(AKTIVITY_POZICIE!$M$53:$M$64))/AKTIVITY_POZICIE!$B$53)),0)</f>
        <v>0</v>
      </c>
      <c r="K169" s="576">
        <f>IFERROR(IF((POZICIE_INTERNE!$B$52-12*('TCO TO BE- SW'!$D159-1))&gt;12,((K$4+'TCO TO BE - HW'!K$4)/($E$4+'TCO TO BE - HW'!$E$4)*SUM(POZICIE_INTERNE!$I$52:$I$63))/POZICIE_INTERNE!$B$52*12,IF((POZICIE_INTERNE!$B$52-12*('TCO TO BE- SW'!$D159-1))&lt;0,0,(POZICIE_INTERNE!$B$52-12*('TCO TO BE- SW'!$D159-1))*((K$4+'TCO TO BE - HW'!K$4)/($E$4+'TCO TO BE - HW'!$E$4)*SUM(POZICIE_INTERNE!$I$52:$I$63))/POZICIE_INTERNE!$B$52)),0)+IFERROR(IF((AKTIVITY_POZICIE!$B$53-12*('TCO TO BE- SW'!$D159-1))&gt;12,((K$4+'TCO TO BE - HW'!K$4)/($E$4+'TCO TO BE - HW'!$E$4)*SUM(AKTIVITY_POZICIE!$M$53:$M$64))/AKTIVITY_POZICIE!$B$41*12,IF((AKTIVITY_POZICIE!$B$53-12*('TCO TO BE- SW'!$D159-1))&lt;0,0,(AKTIVITY_POZICIE!$B$53-12*('TCO TO BE- SW'!$D159-1))*((K$4+'TCO TO BE - HW'!K$4)/($E$4+'TCO TO BE - HW'!$E$4)*SUM(AKTIVITY_POZICIE!$M$53:$M$64))/AKTIVITY_POZICIE!$B$53)),0)</f>
        <v>0</v>
      </c>
      <c r="L169" s="576">
        <f>IFERROR(IF((POZICIE_INTERNE!$B$52-12*('TCO TO BE- SW'!$D159-1))&gt;12,((L$4+'TCO TO BE - HW'!L$4)/($E$4+'TCO TO BE - HW'!$E$4)*SUM(POZICIE_INTERNE!$I$52:$I$63))/POZICIE_INTERNE!$B$52*12,IF((POZICIE_INTERNE!$B$52-12*('TCO TO BE- SW'!$D159-1))&lt;0,0,(POZICIE_INTERNE!$B$52-12*('TCO TO BE- SW'!$D159-1))*((L$4+'TCO TO BE - HW'!L$4)/($E$4+'TCO TO BE - HW'!$E$4)*SUM(POZICIE_INTERNE!$I$52:$I$63))/POZICIE_INTERNE!$B$52)),0)+IFERROR(IF((AKTIVITY_POZICIE!$B$53-12*('TCO TO BE- SW'!$D159-1))&gt;12,((L$4+'TCO TO BE - HW'!L$4)/($E$4+'TCO TO BE - HW'!$E$4)*SUM(AKTIVITY_POZICIE!$M$53:$M$64))/AKTIVITY_POZICIE!$B$41*12,IF((AKTIVITY_POZICIE!$B$53-12*('TCO TO BE- SW'!$D159-1))&lt;0,0,(AKTIVITY_POZICIE!$B$53-12*('TCO TO BE- SW'!$D159-1))*((L$4+'TCO TO BE - HW'!L$4)/($E$4+'TCO TO BE - HW'!$E$4)*SUM(AKTIVITY_POZICIE!$M$53:$M$64))/AKTIVITY_POZICIE!$B$53)),0)</f>
        <v>0</v>
      </c>
      <c r="M169" s="576">
        <f>IFERROR(IF((POZICIE_INTERNE!$B$52-12*('TCO TO BE- SW'!$D159-1))&gt;12,((M$4+'TCO TO BE - HW'!M$4)/($E$4+'TCO TO BE - HW'!$E$4)*SUM(POZICIE_INTERNE!$I$52:$I$63))/POZICIE_INTERNE!$B$52*12,IF((POZICIE_INTERNE!$B$52-12*('TCO TO BE- SW'!$D159-1))&lt;0,0,(POZICIE_INTERNE!$B$52-12*('TCO TO BE- SW'!$D159-1))*((M$4+'TCO TO BE - HW'!M$4)/($E$4+'TCO TO BE - HW'!$E$4)*SUM(POZICIE_INTERNE!$I$52:$I$63))/POZICIE_INTERNE!$B$52)),0)+IFERROR(IF((AKTIVITY_POZICIE!$B$53-12*('TCO TO BE- SW'!$D159-1))&gt;12,((M$4+'TCO TO BE - HW'!M$4)/($E$4+'TCO TO BE - HW'!$E$4)*SUM(AKTIVITY_POZICIE!$M$53:$M$64))/AKTIVITY_POZICIE!$B$41*12,IF((AKTIVITY_POZICIE!$B$53-12*('TCO TO BE- SW'!$D159-1))&lt;0,0,(AKTIVITY_POZICIE!$B$53-12*('TCO TO BE- SW'!$D159-1))*((M$4+'TCO TO BE - HW'!M$4)/($E$4+'TCO TO BE - HW'!$E$4)*SUM(AKTIVITY_POZICIE!$M$53:$M$64))/AKTIVITY_POZICIE!$B$53)),0)</f>
        <v>0</v>
      </c>
      <c r="N169" s="576">
        <f>IFERROR(IF((POZICIE_INTERNE!$B$52-12*('TCO TO BE- SW'!$D159-1))&gt;12,((N$4+'TCO TO BE - HW'!N$4)/($E$4+'TCO TO BE - HW'!$E$4)*SUM(POZICIE_INTERNE!$I$52:$I$63))/POZICIE_INTERNE!$B$52*12,IF((POZICIE_INTERNE!$B$52-12*('TCO TO BE- SW'!$D159-1))&lt;0,0,(POZICIE_INTERNE!$B$52-12*('TCO TO BE- SW'!$D159-1))*((N$4+'TCO TO BE - HW'!N$4)/($E$4+'TCO TO BE - HW'!$E$4)*SUM(POZICIE_INTERNE!$I$52:$I$63))/POZICIE_INTERNE!$B$52)),0)+IFERROR(IF((AKTIVITY_POZICIE!$B$53-12*('TCO TO BE- SW'!$D159-1))&gt;12,((N$4+'TCO TO BE - HW'!N$4)/($E$4+'TCO TO BE - HW'!$E$4)*SUM(AKTIVITY_POZICIE!$M$53:$M$64))/AKTIVITY_POZICIE!$B$41*12,IF((AKTIVITY_POZICIE!$B$53-12*('TCO TO BE- SW'!$D159-1))&lt;0,0,(AKTIVITY_POZICIE!$B$53-12*('TCO TO BE- SW'!$D159-1))*((N$4+'TCO TO BE - HW'!N$4)/($E$4+'TCO TO BE - HW'!$E$4)*SUM(AKTIVITY_POZICIE!$M$53:$M$64))/AKTIVITY_POZICIE!$B$53)),0)</f>
        <v>0</v>
      </c>
      <c r="O169" s="576">
        <f>IFERROR(IF((POZICIE_INTERNE!$B$52-12*('TCO TO BE- SW'!$D159-1))&gt;12,((O$4+'TCO TO BE - HW'!O$4)/($E$4+'TCO TO BE - HW'!$E$4)*SUM(POZICIE_INTERNE!$I$52:$I$63))/POZICIE_INTERNE!$B$52*12,IF((POZICIE_INTERNE!$B$52-12*('TCO TO BE- SW'!$D159-1))&lt;0,0,(POZICIE_INTERNE!$B$52-12*('TCO TO BE- SW'!$D159-1))*((O$4+'TCO TO BE - HW'!O$4)/($E$4+'TCO TO BE - HW'!$E$4)*SUM(POZICIE_INTERNE!$I$52:$I$63))/POZICIE_INTERNE!$B$52)),0)+IFERROR(IF((AKTIVITY_POZICIE!$B$53-12*('TCO TO BE- SW'!$D159-1))&gt;12,((O$4+'TCO TO BE - HW'!O$4)/($E$4+'TCO TO BE - HW'!$E$4)*SUM(AKTIVITY_POZICIE!$M$53:$M$64))/AKTIVITY_POZICIE!$B$41*12,IF((AKTIVITY_POZICIE!$B$53-12*('TCO TO BE- SW'!$D159-1))&lt;0,0,(AKTIVITY_POZICIE!$B$53-12*('TCO TO BE- SW'!$D159-1))*((O$4+'TCO TO BE - HW'!O$4)/($E$4+'TCO TO BE - HW'!$E$4)*SUM(AKTIVITY_POZICIE!$M$53:$M$64))/AKTIVITY_POZICIE!$B$53)),0)</f>
        <v>0</v>
      </c>
      <c r="P169" s="576">
        <f>IFERROR(IF((POZICIE_INTERNE!$B$52-12*('TCO TO BE- SW'!$D159-1))&gt;12,((P$4+'TCO TO BE - HW'!P$4)/($E$4+'TCO TO BE - HW'!$E$4)*SUM(POZICIE_INTERNE!$I$52:$I$63))/POZICIE_INTERNE!$B$52*12,IF((POZICIE_INTERNE!$B$52-12*('TCO TO BE- SW'!$D159-1))&lt;0,0,(POZICIE_INTERNE!$B$52-12*('TCO TO BE- SW'!$D159-1))*((P$4+'TCO TO BE - HW'!P$4)/($E$4+'TCO TO BE - HW'!$E$4)*SUM(POZICIE_INTERNE!$I$52:$I$63))/POZICIE_INTERNE!$B$52)),0)+IFERROR(IF((AKTIVITY_POZICIE!$B$53-12*('TCO TO BE- SW'!$D159-1))&gt;12,((P$4+'TCO TO BE - HW'!P$4)/($E$4+'TCO TO BE - HW'!$E$4)*SUM(AKTIVITY_POZICIE!$M$53:$M$64))/AKTIVITY_POZICIE!$B$41*12,IF((AKTIVITY_POZICIE!$B$53-12*('TCO TO BE- SW'!$D159-1))&lt;0,0,(AKTIVITY_POZICIE!$B$53-12*('TCO TO BE- SW'!$D159-1))*((P$4+'TCO TO BE - HW'!P$4)/($E$4+'TCO TO BE - HW'!$E$4)*SUM(AKTIVITY_POZICIE!$M$53:$M$64))/AKTIVITY_POZICIE!$B$53)),0)</f>
        <v>0</v>
      </c>
      <c r="Q169" s="576">
        <f>IFERROR(IF((POZICIE_INTERNE!$B$52-12*('TCO TO BE- SW'!$D159-1))&gt;12,((Q$4+'TCO TO BE - HW'!Q$4)/($E$4+'TCO TO BE - HW'!$E$4)*SUM(POZICIE_INTERNE!$I$52:$I$63))/POZICIE_INTERNE!$B$52*12,IF((POZICIE_INTERNE!$B$52-12*('TCO TO BE- SW'!$D159-1))&lt;0,0,(POZICIE_INTERNE!$B$52-12*('TCO TO BE- SW'!$D159-1))*((Q$4+'TCO TO BE - HW'!Q$4)/($E$4+'TCO TO BE - HW'!$E$4)*SUM(POZICIE_INTERNE!$I$52:$I$63))/POZICIE_INTERNE!$B$52)),0)+IFERROR(IF((AKTIVITY_POZICIE!$B$53-12*('TCO TO BE- SW'!$D159-1))&gt;12,((Q$4+'TCO TO BE - HW'!Q$4)/($E$4+'TCO TO BE - HW'!$E$4)*SUM(AKTIVITY_POZICIE!$M$53:$M$64))/AKTIVITY_POZICIE!$B$41*12,IF((AKTIVITY_POZICIE!$B$53-12*('TCO TO BE- SW'!$D159-1))&lt;0,0,(AKTIVITY_POZICIE!$B$53-12*('TCO TO BE- SW'!$D159-1))*((Q$4+'TCO TO BE - HW'!Q$4)/($E$4+'TCO TO BE - HW'!$E$4)*SUM(AKTIVITY_POZICIE!$M$53:$M$64))/AKTIVITY_POZICIE!$B$53)),0)</f>
        <v>0</v>
      </c>
      <c r="R169" s="576">
        <f>IFERROR(IF((POZICIE_INTERNE!$B$52-12*('TCO TO BE- SW'!$D159-1))&gt;12,((R$4+'TCO TO BE - HW'!R$4)/($E$4+'TCO TO BE - HW'!$E$4)*SUM(POZICIE_INTERNE!$I$52:$I$63))/POZICIE_INTERNE!$B$52*12,IF((POZICIE_INTERNE!$B$52-12*('TCO TO BE- SW'!$D159-1))&lt;0,0,(POZICIE_INTERNE!$B$52-12*('TCO TO BE- SW'!$D159-1))*((R$4+'TCO TO BE - HW'!R$4)/($E$4+'TCO TO BE - HW'!$E$4)*SUM(POZICIE_INTERNE!$I$52:$I$63))/POZICIE_INTERNE!$B$52)),0)+IFERROR(IF((AKTIVITY_POZICIE!$B$53-12*('TCO TO BE- SW'!$D159-1))&gt;12,((R$4+'TCO TO BE - HW'!R$4)/($E$4+'TCO TO BE - HW'!$E$4)*SUM(AKTIVITY_POZICIE!$M$53:$M$64))/AKTIVITY_POZICIE!$B$41*12,IF((AKTIVITY_POZICIE!$B$53-12*('TCO TO BE- SW'!$D159-1))&lt;0,0,(AKTIVITY_POZICIE!$B$53-12*('TCO TO BE- SW'!$D159-1))*((R$4+'TCO TO BE - HW'!R$4)/($E$4+'TCO TO BE - HW'!$E$4)*SUM(AKTIVITY_POZICIE!$M$53:$M$64))/AKTIVITY_POZICIE!$B$53)),0)</f>
        <v>0</v>
      </c>
      <c r="S169" s="576">
        <f>IFERROR(IF((POZICIE_INTERNE!$B$52-12*('TCO TO BE- SW'!$D159-1))&gt;12,((S$4+'TCO TO BE - HW'!S$4)/($E$4+'TCO TO BE - HW'!$E$4)*SUM(POZICIE_INTERNE!$I$52:$I$63))/POZICIE_INTERNE!$B$52*12,IF((POZICIE_INTERNE!$B$52-12*('TCO TO BE- SW'!$D159-1))&lt;0,0,(POZICIE_INTERNE!$B$52-12*('TCO TO BE- SW'!$D159-1))*((S$4+'TCO TO BE - HW'!S$4)/($E$4+'TCO TO BE - HW'!$E$4)*SUM(POZICIE_INTERNE!$I$52:$I$63))/POZICIE_INTERNE!$B$52)),0)+IFERROR(IF((AKTIVITY_POZICIE!$B$53-12*('TCO TO BE- SW'!$D159-1))&gt;12,((S$4+'TCO TO BE - HW'!S$4)/($E$4+'TCO TO BE - HW'!$E$4)*SUM(AKTIVITY_POZICIE!$M$53:$M$64))/AKTIVITY_POZICIE!$B$41*12,IF((AKTIVITY_POZICIE!$B$53-12*('TCO TO BE- SW'!$D159-1))&lt;0,0,(AKTIVITY_POZICIE!$B$53-12*('TCO TO BE- SW'!$D159-1))*((S$4+'TCO TO BE - HW'!S$4)/($E$4+'TCO TO BE - HW'!$E$4)*SUM(AKTIVITY_POZICIE!$M$53:$M$64))/AKTIVITY_POZICIE!$B$53)),0)</f>
        <v>0</v>
      </c>
      <c r="T169" s="576">
        <f>IFERROR(IF((POZICIE_INTERNE!$B$52-12*('TCO TO BE- SW'!$D159-1))&gt;12,((T$4+'TCO TO BE - HW'!T$4)/($E$4+'TCO TO BE - HW'!$E$4)*SUM(POZICIE_INTERNE!$I$52:$I$63))/POZICIE_INTERNE!$B$52*12,IF((POZICIE_INTERNE!$B$52-12*('TCO TO BE- SW'!$D159-1))&lt;0,0,(POZICIE_INTERNE!$B$52-12*('TCO TO BE- SW'!$D159-1))*((T$4+'TCO TO BE - HW'!T$4)/($E$4+'TCO TO BE - HW'!$E$4)*SUM(POZICIE_INTERNE!$I$52:$I$63))/POZICIE_INTERNE!$B$52)),0)+IFERROR(IF((AKTIVITY_POZICIE!$B$53-12*('TCO TO BE- SW'!$D159-1))&gt;12,((T$4+'TCO TO BE - HW'!T$4)/($E$4+'TCO TO BE - HW'!$E$4)*SUM(AKTIVITY_POZICIE!$M$53:$M$64))/AKTIVITY_POZICIE!$B$41*12,IF((AKTIVITY_POZICIE!$B$53-12*('TCO TO BE- SW'!$D159-1))&lt;0,0,(AKTIVITY_POZICIE!$B$53-12*('TCO TO BE- SW'!$D159-1))*((T$4+'TCO TO BE - HW'!T$4)/($E$4+'TCO TO BE - HW'!$E$4)*SUM(AKTIVITY_POZICIE!$M$53:$M$64))/AKTIVITY_POZICIE!$B$53)),0)</f>
        <v>0</v>
      </c>
      <c r="U169" s="576">
        <f>IFERROR(IF((POZICIE_INTERNE!$B$52-12*('TCO TO BE- SW'!$D159-1))&gt;12,((U$4+'TCO TO BE - HW'!U$4)/($E$4+'TCO TO BE - HW'!$E$4)*SUM(POZICIE_INTERNE!$I$52:$I$63))/POZICIE_INTERNE!$B$52*12,IF((POZICIE_INTERNE!$B$52-12*('TCO TO BE- SW'!$D159-1))&lt;0,0,(POZICIE_INTERNE!$B$52-12*('TCO TO BE- SW'!$D159-1))*((U$4+'TCO TO BE - HW'!U$4)/($E$4+'TCO TO BE - HW'!$E$4)*SUM(POZICIE_INTERNE!$I$52:$I$63))/POZICIE_INTERNE!$B$52)),0)+IFERROR(IF((AKTIVITY_POZICIE!$B$53-12*('TCO TO BE- SW'!$D159-1))&gt;12,((U$4+'TCO TO BE - HW'!U$4)/($E$4+'TCO TO BE - HW'!$E$4)*SUM(AKTIVITY_POZICIE!$M$53:$M$64))/AKTIVITY_POZICIE!$B$41*12,IF((AKTIVITY_POZICIE!$B$53-12*('TCO TO BE- SW'!$D159-1))&lt;0,0,(AKTIVITY_POZICIE!$B$53-12*('TCO TO BE- SW'!$D159-1))*((U$4+'TCO TO BE - HW'!U$4)/($E$4+'TCO TO BE - HW'!$E$4)*SUM(AKTIVITY_POZICIE!$M$53:$M$64))/AKTIVITY_POZICIE!$B$53)),0)</f>
        <v>0</v>
      </c>
      <c r="V169" s="576">
        <f>IFERROR(IF((POZICIE_INTERNE!$B$52-12*('TCO TO BE- SW'!$D159-1))&gt;12,((V$4+'TCO TO BE - HW'!V$4)/($E$4+'TCO TO BE - HW'!$E$4)*SUM(POZICIE_INTERNE!$I$52:$I$63))/POZICIE_INTERNE!$B$52*12,IF((POZICIE_INTERNE!$B$52-12*('TCO TO BE- SW'!$D159-1))&lt;0,0,(POZICIE_INTERNE!$B$52-12*('TCO TO BE- SW'!$D159-1))*((V$4+'TCO TO BE - HW'!V$4)/($E$4+'TCO TO BE - HW'!$E$4)*SUM(POZICIE_INTERNE!$I$52:$I$63))/POZICIE_INTERNE!$B$52)),0)+IFERROR(IF((AKTIVITY_POZICIE!$B$53-12*('TCO TO BE- SW'!$D159-1))&gt;12,((V$4+'TCO TO BE - HW'!V$4)/($E$4+'TCO TO BE - HW'!$E$4)*SUM(AKTIVITY_POZICIE!$M$53:$M$64))/AKTIVITY_POZICIE!$B$41*12,IF((AKTIVITY_POZICIE!$B$53-12*('TCO TO BE- SW'!$D159-1))&lt;0,0,(AKTIVITY_POZICIE!$B$53-12*('TCO TO BE- SW'!$D159-1))*((V$4+'TCO TO BE - HW'!V$4)/($E$4+'TCO TO BE - HW'!$E$4)*SUM(AKTIVITY_POZICIE!$M$53:$M$64))/AKTIVITY_POZICIE!$B$53)),0)</f>
        <v>0</v>
      </c>
      <c r="W169" s="576">
        <f>IFERROR(IF((POZICIE_INTERNE!$B$52-12*('TCO TO BE- SW'!$D159-1))&gt;12,((W$4+'TCO TO BE - HW'!W$4)/($E$4+'TCO TO BE - HW'!$E$4)*SUM(POZICIE_INTERNE!$I$52:$I$63))/POZICIE_INTERNE!$B$52*12,IF((POZICIE_INTERNE!$B$52-12*('TCO TO BE- SW'!$D159-1))&lt;0,0,(POZICIE_INTERNE!$B$52-12*('TCO TO BE- SW'!$D159-1))*((W$4+'TCO TO BE - HW'!W$4)/($E$4+'TCO TO BE - HW'!$E$4)*SUM(POZICIE_INTERNE!$I$52:$I$63))/POZICIE_INTERNE!$B$52)),0)+IFERROR(IF((AKTIVITY_POZICIE!$B$53-12*('TCO TO BE- SW'!$D159-1))&gt;12,((W$4+'TCO TO BE - HW'!W$4)/($E$4+'TCO TO BE - HW'!$E$4)*SUM(AKTIVITY_POZICIE!$M$53:$M$64))/AKTIVITY_POZICIE!$B$41*12,IF((AKTIVITY_POZICIE!$B$53-12*('TCO TO BE- SW'!$D159-1))&lt;0,0,(AKTIVITY_POZICIE!$B$53-12*('TCO TO BE- SW'!$D159-1))*((W$4+'TCO TO BE - HW'!W$4)/($E$4+'TCO TO BE - HW'!$E$4)*SUM(AKTIVITY_POZICIE!$M$53:$M$64))/AKTIVITY_POZICIE!$B$53)),0)</f>
        <v>0</v>
      </c>
      <c r="X169" s="576">
        <f>IFERROR(IF((POZICIE_INTERNE!$B$52-12*('TCO TO BE- SW'!$D159-1))&gt;12,((X$4+'TCO TO BE - HW'!X$4)/($E$4+'TCO TO BE - HW'!$E$4)*SUM(POZICIE_INTERNE!$I$52:$I$63))/POZICIE_INTERNE!$B$52*12,IF((POZICIE_INTERNE!$B$52-12*('TCO TO BE- SW'!$D159-1))&lt;0,0,(POZICIE_INTERNE!$B$52-12*('TCO TO BE- SW'!$D159-1))*((X$4+'TCO TO BE - HW'!X$4)/($E$4+'TCO TO BE - HW'!$E$4)*SUM(POZICIE_INTERNE!$I$52:$I$63))/POZICIE_INTERNE!$B$52)),0)+IFERROR(IF((AKTIVITY_POZICIE!$B$53-12*('TCO TO BE- SW'!$D159-1))&gt;12,((X$4+'TCO TO BE - HW'!X$4)/($E$4+'TCO TO BE - HW'!$E$4)*SUM(AKTIVITY_POZICIE!$M$53:$M$64))/AKTIVITY_POZICIE!$B$41*12,IF((AKTIVITY_POZICIE!$B$53-12*('TCO TO BE- SW'!$D159-1))&lt;0,0,(AKTIVITY_POZICIE!$B$53-12*('TCO TO BE- SW'!$D159-1))*((X$4+'TCO TO BE - HW'!X$4)/($E$4+'TCO TO BE - HW'!$E$4)*SUM(AKTIVITY_POZICIE!$M$53:$M$64))/AKTIVITY_POZICIE!$B$53)),0)</f>
        <v>0</v>
      </c>
      <c r="Y169" s="576">
        <f>IFERROR(IF((POZICIE_INTERNE!$B$52-12*('TCO TO BE- SW'!$D159-1))&gt;12,((Y$4+'TCO TO BE - HW'!Y$4)/($E$4+'TCO TO BE - HW'!$E$4)*SUM(POZICIE_INTERNE!$I$52:$I$63))/POZICIE_INTERNE!$B$52*12,IF((POZICIE_INTERNE!$B$52-12*('TCO TO BE- SW'!$D159-1))&lt;0,0,(POZICIE_INTERNE!$B$52-12*('TCO TO BE- SW'!$D159-1))*((Y$4+'TCO TO BE - HW'!Y$4)/($E$4+'TCO TO BE - HW'!$E$4)*SUM(POZICIE_INTERNE!$I$52:$I$63))/POZICIE_INTERNE!$B$52)),0)+IFERROR(IF((AKTIVITY_POZICIE!$B$53-12*('TCO TO BE- SW'!$D159-1))&gt;12,((Y$4+'TCO TO BE - HW'!Y$4)/($E$4+'TCO TO BE - HW'!$E$4)*SUM(AKTIVITY_POZICIE!$M$53:$M$64))/AKTIVITY_POZICIE!$B$41*12,IF((AKTIVITY_POZICIE!$B$53-12*('TCO TO BE- SW'!$D159-1))&lt;0,0,(AKTIVITY_POZICIE!$B$53-12*('TCO TO BE- SW'!$D159-1))*((Y$4+'TCO TO BE - HW'!Y$4)/($E$4+'TCO TO BE - HW'!$E$4)*SUM(AKTIVITY_POZICIE!$M$53:$M$64))/AKTIVITY_POZICIE!$B$53)),0)</f>
        <v>0</v>
      </c>
      <c r="Z169" s="576">
        <f>IFERROR(IF((POZICIE_INTERNE!$B$52-12*('TCO TO BE- SW'!$D159-1))&gt;12,((Z$4+'TCO TO BE - HW'!Z$4)/($E$4+'TCO TO BE - HW'!$E$4)*SUM(POZICIE_INTERNE!$I$52:$I$63))/POZICIE_INTERNE!$B$52*12,IF((POZICIE_INTERNE!$B$52-12*('TCO TO BE- SW'!$D159-1))&lt;0,0,(POZICIE_INTERNE!$B$52-12*('TCO TO BE- SW'!$D159-1))*((Z$4+'TCO TO BE - HW'!Z$4)/($E$4+'TCO TO BE - HW'!$E$4)*SUM(POZICIE_INTERNE!$I$52:$I$63))/POZICIE_INTERNE!$B$52)),0)+IFERROR(IF((AKTIVITY_POZICIE!$B$53-12*('TCO TO BE- SW'!$D159-1))&gt;12,((Z$4+'TCO TO BE - HW'!Z$4)/($E$4+'TCO TO BE - HW'!$E$4)*SUM(AKTIVITY_POZICIE!$M$53:$M$64))/AKTIVITY_POZICIE!$B$41*12,IF((AKTIVITY_POZICIE!$B$53-12*('TCO TO BE- SW'!$D159-1))&lt;0,0,(AKTIVITY_POZICIE!$B$53-12*('TCO TO BE- SW'!$D159-1))*((Z$4+'TCO TO BE - HW'!Z$4)/($E$4+'TCO TO BE - HW'!$E$4)*SUM(AKTIVITY_POZICIE!$M$53:$M$64))/AKTIVITY_POZICIE!$B$53)),0)</f>
        <v>0</v>
      </c>
    </row>
    <row r="170" spans="1:26" ht="15.75" thickBot="1">
      <c r="A170" s="875"/>
      <c r="B170" s="876"/>
      <c r="C170" s="876"/>
      <c r="D170" s="65">
        <v>10</v>
      </c>
      <c r="E170" s="69">
        <f t="shared" si="16"/>
        <v>0</v>
      </c>
      <c r="F170" s="577">
        <f>IFERROR(IF((POZICIE_INTERNE!$B$52-12*('TCO TO BE- SW'!$D160-1))&gt;12,((F$4+'TCO TO BE - HW'!F$4)/($E$4+'TCO TO BE - HW'!$E$4)*SUM(POZICIE_INTERNE!$I$52:$I$63))/POZICIE_INTERNE!$B$52*12,IF((POZICIE_INTERNE!$B$52-12*('TCO TO BE- SW'!$D160-1))&lt;0,0,(POZICIE_INTERNE!$B$52-12*('TCO TO BE- SW'!$D160-1))*((F$4+'TCO TO BE - HW'!F$4)/($E$4+'TCO TO BE - HW'!$E$4)*SUM(POZICIE_INTERNE!$I$52:$I$63))/POZICIE_INTERNE!$B$52)),0)+IFERROR(IF((AKTIVITY_POZICIE!$B$53-12*('TCO TO BE- SW'!$D160-1))&gt;12,((F$4+'TCO TO BE - HW'!F$4)/($E$4+'TCO TO BE - HW'!$E$4)*SUM(AKTIVITY_POZICIE!$M$53:$M$64))/AKTIVITY_POZICIE!$B$41*12,IF((AKTIVITY_POZICIE!$B$53-12*('TCO TO BE- SW'!$D160-1))&lt;0,0,(AKTIVITY_POZICIE!$B$53-12*('TCO TO BE- SW'!$D160-1))*((F$4+'TCO TO BE - HW'!F$4)/($E$4+'TCO TO BE - HW'!$E$4)*SUM(AKTIVITY_POZICIE!$M$53:$M$64))/AKTIVITY_POZICIE!$B$53)),0)</f>
        <v>0</v>
      </c>
      <c r="G170" s="577">
        <f>IFERROR(IF((POZICIE_INTERNE!$B$52-12*('TCO TO BE- SW'!$D160-1))&gt;12,((G$4+'TCO TO BE - HW'!G$4)/($E$4+'TCO TO BE - HW'!$E$4)*SUM(POZICIE_INTERNE!$I$52:$I$63))/POZICIE_INTERNE!$B$52*12,IF((POZICIE_INTERNE!$B$52-12*('TCO TO BE- SW'!$D160-1))&lt;0,0,(POZICIE_INTERNE!$B$52-12*('TCO TO BE- SW'!$D160-1))*((G$4+'TCO TO BE - HW'!G$4)/($E$4+'TCO TO BE - HW'!$E$4)*SUM(POZICIE_INTERNE!$I$52:$I$63))/POZICIE_INTERNE!$B$52)),0)+IFERROR(IF((AKTIVITY_POZICIE!$B$53-12*('TCO TO BE- SW'!$D160-1))&gt;12,((G$4+'TCO TO BE - HW'!G$4)/($E$4+'TCO TO BE - HW'!$E$4)*SUM(AKTIVITY_POZICIE!$M$53:$M$64))/AKTIVITY_POZICIE!$B$41*12,IF((AKTIVITY_POZICIE!$B$53-12*('TCO TO BE- SW'!$D160-1))&lt;0,0,(AKTIVITY_POZICIE!$B$53-12*('TCO TO BE- SW'!$D160-1))*((G$4+'TCO TO BE - HW'!G$4)/($E$4+'TCO TO BE - HW'!$E$4)*SUM(AKTIVITY_POZICIE!$M$53:$M$64))/AKTIVITY_POZICIE!$B$53)),0)</f>
        <v>0</v>
      </c>
      <c r="H170" s="577">
        <f>IFERROR(IF((POZICIE_INTERNE!$B$52-12*('TCO TO BE- SW'!$D160-1))&gt;12,((H$4+'TCO TO BE - HW'!H$4)/($E$4+'TCO TO BE - HW'!$E$4)*SUM(POZICIE_INTERNE!$I$52:$I$63))/POZICIE_INTERNE!$B$52*12,IF((POZICIE_INTERNE!$B$52-12*('TCO TO BE- SW'!$D160-1))&lt;0,0,(POZICIE_INTERNE!$B$52-12*('TCO TO BE- SW'!$D160-1))*((H$4+'TCO TO BE - HW'!H$4)/($E$4+'TCO TO BE - HW'!$E$4)*SUM(POZICIE_INTERNE!$I$52:$I$63))/POZICIE_INTERNE!$B$52)),0)+IFERROR(IF((AKTIVITY_POZICIE!$B$53-12*('TCO TO BE- SW'!$D160-1))&gt;12,((H$4+'TCO TO BE - HW'!H$4)/($E$4+'TCO TO BE - HW'!$E$4)*SUM(AKTIVITY_POZICIE!$M$53:$M$64))/AKTIVITY_POZICIE!$B$41*12,IF((AKTIVITY_POZICIE!$B$53-12*('TCO TO BE- SW'!$D160-1))&lt;0,0,(AKTIVITY_POZICIE!$B$53-12*('TCO TO BE- SW'!$D160-1))*((H$4+'TCO TO BE - HW'!H$4)/($E$4+'TCO TO BE - HW'!$E$4)*SUM(AKTIVITY_POZICIE!$M$53:$M$64))/AKTIVITY_POZICIE!$B$53)),0)</f>
        <v>0</v>
      </c>
      <c r="I170" s="577">
        <f>IFERROR(IF((POZICIE_INTERNE!$B$52-12*('TCO TO BE- SW'!$D160-1))&gt;12,((I$4+'TCO TO BE - HW'!I$4)/($E$4+'TCO TO BE - HW'!$E$4)*SUM(POZICIE_INTERNE!$I$52:$I$63))/POZICIE_INTERNE!$B$52*12,IF((POZICIE_INTERNE!$B$52-12*('TCO TO BE- SW'!$D160-1))&lt;0,0,(POZICIE_INTERNE!$B$52-12*('TCO TO BE- SW'!$D160-1))*((I$4+'TCO TO BE - HW'!I$4)/($E$4+'TCO TO BE - HW'!$E$4)*SUM(POZICIE_INTERNE!$I$52:$I$63))/POZICIE_INTERNE!$B$52)),0)+IFERROR(IF((AKTIVITY_POZICIE!$B$53-12*('TCO TO BE- SW'!$D160-1))&gt;12,((I$4+'TCO TO BE - HW'!I$4)/($E$4+'TCO TO BE - HW'!$E$4)*SUM(AKTIVITY_POZICIE!$M$53:$M$64))/AKTIVITY_POZICIE!$B$41*12,IF((AKTIVITY_POZICIE!$B$53-12*('TCO TO BE- SW'!$D160-1))&lt;0,0,(AKTIVITY_POZICIE!$B$53-12*('TCO TO BE- SW'!$D160-1))*((I$4+'TCO TO BE - HW'!I$4)/($E$4+'TCO TO BE - HW'!$E$4)*SUM(AKTIVITY_POZICIE!$M$53:$M$64))/AKTIVITY_POZICIE!$B$53)),0)</f>
        <v>0</v>
      </c>
      <c r="J170" s="577">
        <f>IFERROR(IF((POZICIE_INTERNE!$B$52-12*('TCO TO BE- SW'!$D160-1))&gt;12,((J$4+'TCO TO BE - HW'!J$4)/($E$4+'TCO TO BE - HW'!$E$4)*SUM(POZICIE_INTERNE!$I$52:$I$63))/POZICIE_INTERNE!$B$52*12,IF((POZICIE_INTERNE!$B$52-12*('TCO TO BE- SW'!$D160-1))&lt;0,0,(POZICIE_INTERNE!$B$52-12*('TCO TO BE- SW'!$D160-1))*((J$4+'TCO TO BE - HW'!J$4)/($E$4+'TCO TO BE - HW'!$E$4)*SUM(POZICIE_INTERNE!$I$52:$I$63))/POZICIE_INTERNE!$B$52)),0)+IFERROR(IF((AKTIVITY_POZICIE!$B$53-12*('TCO TO BE- SW'!$D160-1))&gt;12,((J$4+'TCO TO BE - HW'!J$4)/($E$4+'TCO TO BE - HW'!$E$4)*SUM(AKTIVITY_POZICIE!$M$53:$M$64))/AKTIVITY_POZICIE!$B$41*12,IF((AKTIVITY_POZICIE!$B$53-12*('TCO TO BE- SW'!$D160-1))&lt;0,0,(AKTIVITY_POZICIE!$B$53-12*('TCO TO BE- SW'!$D160-1))*((J$4+'TCO TO BE - HW'!J$4)/($E$4+'TCO TO BE - HW'!$E$4)*SUM(AKTIVITY_POZICIE!$M$53:$M$64))/AKTIVITY_POZICIE!$B$53)),0)</f>
        <v>0</v>
      </c>
      <c r="K170" s="577">
        <f>IFERROR(IF((POZICIE_INTERNE!$B$52-12*('TCO TO BE- SW'!$D160-1))&gt;12,((K$4+'TCO TO BE - HW'!K$4)/($E$4+'TCO TO BE - HW'!$E$4)*SUM(POZICIE_INTERNE!$I$52:$I$63))/POZICIE_INTERNE!$B$52*12,IF((POZICIE_INTERNE!$B$52-12*('TCO TO BE- SW'!$D160-1))&lt;0,0,(POZICIE_INTERNE!$B$52-12*('TCO TO BE- SW'!$D160-1))*((K$4+'TCO TO BE - HW'!K$4)/($E$4+'TCO TO BE - HW'!$E$4)*SUM(POZICIE_INTERNE!$I$52:$I$63))/POZICIE_INTERNE!$B$52)),0)+IFERROR(IF((AKTIVITY_POZICIE!$B$53-12*('TCO TO BE- SW'!$D160-1))&gt;12,((K$4+'TCO TO BE - HW'!K$4)/($E$4+'TCO TO BE - HW'!$E$4)*SUM(AKTIVITY_POZICIE!$M$53:$M$64))/AKTIVITY_POZICIE!$B$41*12,IF((AKTIVITY_POZICIE!$B$53-12*('TCO TO BE- SW'!$D160-1))&lt;0,0,(AKTIVITY_POZICIE!$B$53-12*('TCO TO BE- SW'!$D160-1))*((K$4+'TCO TO BE - HW'!K$4)/($E$4+'TCO TO BE - HW'!$E$4)*SUM(AKTIVITY_POZICIE!$M$53:$M$64))/AKTIVITY_POZICIE!$B$53)),0)</f>
        <v>0</v>
      </c>
      <c r="L170" s="577">
        <f>IFERROR(IF((POZICIE_INTERNE!$B$52-12*('TCO TO BE- SW'!$D160-1))&gt;12,((L$4+'TCO TO BE - HW'!L$4)/($E$4+'TCO TO BE - HW'!$E$4)*SUM(POZICIE_INTERNE!$I$52:$I$63))/POZICIE_INTERNE!$B$52*12,IF((POZICIE_INTERNE!$B$52-12*('TCO TO BE- SW'!$D160-1))&lt;0,0,(POZICIE_INTERNE!$B$52-12*('TCO TO BE- SW'!$D160-1))*((L$4+'TCO TO BE - HW'!L$4)/($E$4+'TCO TO BE - HW'!$E$4)*SUM(POZICIE_INTERNE!$I$52:$I$63))/POZICIE_INTERNE!$B$52)),0)+IFERROR(IF((AKTIVITY_POZICIE!$B$53-12*('TCO TO BE- SW'!$D160-1))&gt;12,((L$4+'TCO TO BE - HW'!L$4)/($E$4+'TCO TO BE - HW'!$E$4)*SUM(AKTIVITY_POZICIE!$M$53:$M$64))/AKTIVITY_POZICIE!$B$41*12,IF((AKTIVITY_POZICIE!$B$53-12*('TCO TO BE- SW'!$D160-1))&lt;0,0,(AKTIVITY_POZICIE!$B$53-12*('TCO TO BE- SW'!$D160-1))*((L$4+'TCO TO BE - HW'!L$4)/($E$4+'TCO TO BE - HW'!$E$4)*SUM(AKTIVITY_POZICIE!$M$53:$M$64))/AKTIVITY_POZICIE!$B$53)),0)</f>
        <v>0</v>
      </c>
      <c r="M170" s="577">
        <f>IFERROR(IF((POZICIE_INTERNE!$B$52-12*('TCO TO BE- SW'!$D160-1))&gt;12,((M$4+'TCO TO BE - HW'!M$4)/($E$4+'TCO TO BE - HW'!$E$4)*SUM(POZICIE_INTERNE!$I$52:$I$63))/POZICIE_INTERNE!$B$52*12,IF((POZICIE_INTERNE!$B$52-12*('TCO TO BE- SW'!$D160-1))&lt;0,0,(POZICIE_INTERNE!$B$52-12*('TCO TO BE- SW'!$D160-1))*((M$4+'TCO TO BE - HW'!M$4)/($E$4+'TCO TO BE - HW'!$E$4)*SUM(POZICIE_INTERNE!$I$52:$I$63))/POZICIE_INTERNE!$B$52)),0)+IFERROR(IF((AKTIVITY_POZICIE!$B$53-12*('TCO TO BE- SW'!$D160-1))&gt;12,((M$4+'TCO TO BE - HW'!M$4)/($E$4+'TCO TO BE - HW'!$E$4)*SUM(AKTIVITY_POZICIE!$M$53:$M$64))/AKTIVITY_POZICIE!$B$41*12,IF((AKTIVITY_POZICIE!$B$53-12*('TCO TO BE- SW'!$D160-1))&lt;0,0,(AKTIVITY_POZICIE!$B$53-12*('TCO TO BE- SW'!$D160-1))*((M$4+'TCO TO BE - HW'!M$4)/($E$4+'TCO TO BE - HW'!$E$4)*SUM(AKTIVITY_POZICIE!$M$53:$M$64))/AKTIVITY_POZICIE!$B$53)),0)</f>
        <v>0</v>
      </c>
      <c r="N170" s="577">
        <f>IFERROR(IF((POZICIE_INTERNE!$B$52-12*('TCO TO BE- SW'!$D160-1))&gt;12,((N$4+'TCO TO BE - HW'!N$4)/($E$4+'TCO TO BE - HW'!$E$4)*SUM(POZICIE_INTERNE!$I$52:$I$63))/POZICIE_INTERNE!$B$52*12,IF((POZICIE_INTERNE!$B$52-12*('TCO TO BE- SW'!$D160-1))&lt;0,0,(POZICIE_INTERNE!$B$52-12*('TCO TO BE- SW'!$D160-1))*((N$4+'TCO TO BE - HW'!N$4)/($E$4+'TCO TO BE - HW'!$E$4)*SUM(POZICIE_INTERNE!$I$52:$I$63))/POZICIE_INTERNE!$B$52)),0)+IFERROR(IF((AKTIVITY_POZICIE!$B$53-12*('TCO TO BE- SW'!$D160-1))&gt;12,((N$4+'TCO TO BE - HW'!N$4)/($E$4+'TCO TO BE - HW'!$E$4)*SUM(AKTIVITY_POZICIE!$M$53:$M$64))/AKTIVITY_POZICIE!$B$41*12,IF((AKTIVITY_POZICIE!$B$53-12*('TCO TO BE- SW'!$D160-1))&lt;0,0,(AKTIVITY_POZICIE!$B$53-12*('TCO TO BE- SW'!$D160-1))*((N$4+'TCO TO BE - HW'!N$4)/($E$4+'TCO TO BE - HW'!$E$4)*SUM(AKTIVITY_POZICIE!$M$53:$M$64))/AKTIVITY_POZICIE!$B$53)),0)</f>
        <v>0</v>
      </c>
      <c r="O170" s="577">
        <f>IFERROR(IF((POZICIE_INTERNE!$B$52-12*('TCO TO BE- SW'!$D160-1))&gt;12,((O$4+'TCO TO BE - HW'!O$4)/($E$4+'TCO TO BE - HW'!$E$4)*SUM(POZICIE_INTERNE!$I$52:$I$63))/POZICIE_INTERNE!$B$52*12,IF((POZICIE_INTERNE!$B$52-12*('TCO TO BE- SW'!$D160-1))&lt;0,0,(POZICIE_INTERNE!$B$52-12*('TCO TO BE- SW'!$D160-1))*((O$4+'TCO TO BE - HW'!O$4)/($E$4+'TCO TO BE - HW'!$E$4)*SUM(POZICIE_INTERNE!$I$52:$I$63))/POZICIE_INTERNE!$B$52)),0)+IFERROR(IF((AKTIVITY_POZICIE!$B$53-12*('TCO TO BE- SW'!$D160-1))&gt;12,((O$4+'TCO TO BE - HW'!O$4)/($E$4+'TCO TO BE - HW'!$E$4)*SUM(AKTIVITY_POZICIE!$M$53:$M$64))/AKTIVITY_POZICIE!$B$41*12,IF((AKTIVITY_POZICIE!$B$53-12*('TCO TO BE- SW'!$D160-1))&lt;0,0,(AKTIVITY_POZICIE!$B$53-12*('TCO TO BE- SW'!$D160-1))*((O$4+'TCO TO BE - HW'!O$4)/($E$4+'TCO TO BE - HW'!$E$4)*SUM(AKTIVITY_POZICIE!$M$53:$M$64))/AKTIVITY_POZICIE!$B$53)),0)</f>
        <v>0</v>
      </c>
      <c r="P170" s="577">
        <f>IFERROR(IF((POZICIE_INTERNE!$B$52-12*('TCO TO BE- SW'!$D160-1))&gt;12,((P$4+'TCO TO BE - HW'!P$4)/($E$4+'TCO TO BE - HW'!$E$4)*SUM(POZICIE_INTERNE!$I$52:$I$63))/POZICIE_INTERNE!$B$52*12,IF((POZICIE_INTERNE!$B$52-12*('TCO TO BE- SW'!$D160-1))&lt;0,0,(POZICIE_INTERNE!$B$52-12*('TCO TO BE- SW'!$D160-1))*((P$4+'TCO TO BE - HW'!P$4)/($E$4+'TCO TO BE - HW'!$E$4)*SUM(POZICIE_INTERNE!$I$52:$I$63))/POZICIE_INTERNE!$B$52)),0)+IFERROR(IF((AKTIVITY_POZICIE!$B$53-12*('TCO TO BE- SW'!$D160-1))&gt;12,((P$4+'TCO TO BE - HW'!P$4)/($E$4+'TCO TO BE - HW'!$E$4)*SUM(AKTIVITY_POZICIE!$M$53:$M$64))/AKTIVITY_POZICIE!$B$41*12,IF((AKTIVITY_POZICIE!$B$53-12*('TCO TO BE- SW'!$D160-1))&lt;0,0,(AKTIVITY_POZICIE!$B$53-12*('TCO TO BE- SW'!$D160-1))*((P$4+'TCO TO BE - HW'!P$4)/($E$4+'TCO TO BE - HW'!$E$4)*SUM(AKTIVITY_POZICIE!$M$53:$M$64))/AKTIVITY_POZICIE!$B$53)),0)</f>
        <v>0</v>
      </c>
      <c r="Q170" s="577">
        <f>IFERROR(IF((POZICIE_INTERNE!$B$52-12*('TCO TO BE- SW'!$D160-1))&gt;12,((Q$4+'TCO TO BE - HW'!Q$4)/($E$4+'TCO TO BE - HW'!$E$4)*SUM(POZICIE_INTERNE!$I$52:$I$63))/POZICIE_INTERNE!$B$52*12,IF((POZICIE_INTERNE!$B$52-12*('TCO TO BE- SW'!$D160-1))&lt;0,0,(POZICIE_INTERNE!$B$52-12*('TCO TO BE- SW'!$D160-1))*((Q$4+'TCO TO BE - HW'!Q$4)/($E$4+'TCO TO BE - HW'!$E$4)*SUM(POZICIE_INTERNE!$I$52:$I$63))/POZICIE_INTERNE!$B$52)),0)+IFERROR(IF((AKTIVITY_POZICIE!$B$53-12*('TCO TO BE- SW'!$D160-1))&gt;12,((Q$4+'TCO TO BE - HW'!Q$4)/($E$4+'TCO TO BE - HW'!$E$4)*SUM(AKTIVITY_POZICIE!$M$53:$M$64))/AKTIVITY_POZICIE!$B$41*12,IF((AKTIVITY_POZICIE!$B$53-12*('TCO TO BE- SW'!$D160-1))&lt;0,0,(AKTIVITY_POZICIE!$B$53-12*('TCO TO BE- SW'!$D160-1))*((Q$4+'TCO TO BE - HW'!Q$4)/($E$4+'TCO TO BE - HW'!$E$4)*SUM(AKTIVITY_POZICIE!$M$53:$M$64))/AKTIVITY_POZICIE!$B$53)),0)</f>
        <v>0</v>
      </c>
      <c r="R170" s="577">
        <f>IFERROR(IF((POZICIE_INTERNE!$B$52-12*('TCO TO BE- SW'!$D160-1))&gt;12,((R$4+'TCO TO BE - HW'!R$4)/($E$4+'TCO TO BE - HW'!$E$4)*SUM(POZICIE_INTERNE!$I$52:$I$63))/POZICIE_INTERNE!$B$52*12,IF((POZICIE_INTERNE!$B$52-12*('TCO TO BE- SW'!$D160-1))&lt;0,0,(POZICIE_INTERNE!$B$52-12*('TCO TO BE- SW'!$D160-1))*((R$4+'TCO TO BE - HW'!R$4)/($E$4+'TCO TO BE - HW'!$E$4)*SUM(POZICIE_INTERNE!$I$52:$I$63))/POZICIE_INTERNE!$B$52)),0)+IFERROR(IF((AKTIVITY_POZICIE!$B$53-12*('TCO TO BE- SW'!$D160-1))&gt;12,((R$4+'TCO TO BE - HW'!R$4)/($E$4+'TCO TO BE - HW'!$E$4)*SUM(AKTIVITY_POZICIE!$M$53:$M$64))/AKTIVITY_POZICIE!$B$41*12,IF((AKTIVITY_POZICIE!$B$53-12*('TCO TO BE- SW'!$D160-1))&lt;0,0,(AKTIVITY_POZICIE!$B$53-12*('TCO TO BE- SW'!$D160-1))*((R$4+'TCO TO BE - HW'!R$4)/($E$4+'TCO TO BE - HW'!$E$4)*SUM(AKTIVITY_POZICIE!$M$53:$M$64))/AKTIVITY_POZICIE!$B$53)),0)</f>
        <v>0</v>
      </c>
      <c r="S170" s="577">
        <f>IFERROR(IF((POZICIE_INTERNE!$B$52-12*('TCO TO BE- SW'!$D160-1))&gt;12,((S$4+'TCO TO BE - HW'!S$4)/($E$4+'TCO TO BE - HW'!$E$4)*SUM(POZICIE_INTERNE!$I$52:$I$63))/POZICIE_INTERNE!$B$52*12,IF((POZICIE_INTERNE!$B$52-12*('TCO TO BE- SW'!$D160-1))&lt;0,0,(POZICIE_INTERNE!$B$52-12*('TCO TO BE- SW'!$D160-1))*((S$4+'TCO TO BE - HW'!S$4)/($E$4+'TCO TO BE - HW'!$E$4)*SUM(POZICIE_INTERNE!$I$52:$I$63))/POZICIE_INTERNE!$B$52)),0)+IFERROR(IF((AKTIVITY_POZICIE!$B$53-12*('TCO TO BE- SW'!$D160-1))&gt;12,((S$4+'TCO TO BE - HW'!S$4)/($E$4+'TCO TO BE - HW'!$E$4)*SUM(AKTIVITY_POZICIE!$M$53:$M$64))/AKTIVITY_POZICIE!$B$41*12,IF((AKTIVITY_POZICIE!$B$53-12*('TCO TO BE- SW'!$D160-1))&lt;0,0,(AKTIVITY_POZICIE!$B$53-12*('TCO TO BE- SW'!$D160-1))*((S$4+'TCO TO BE - HW'!S$4)/($E$4+'TCO TO BE - HW'!$E$4)*SUM(AKTIVITY_POZICIE!$M$53:$M$64))/AKTIVITY_POZICIE!$B$53)),0)</f>
        <v>0</v>
      </c>
      <c r="T170" s="577">
        <f>IFERROR(IF((POZICIE_INTERNE!$B$52-12*('TCO TO BE- SW'!$D160-1))&gt;12,((T$4+'TCO TO BE - HW'!T$4)/($E$4+'TCO TO BE - HW'!$E$4)*SUM(POZICIE_INTERNE!$I$52:$I$63))/POZICIE_INTERNE!$B$52*12,IF((POZICIE_INTERNE!$B$52-12*('TCO TO BE- SW'!$D160-1))&lt;0,0,(POZICIE_INTERNE!$B$52-12*('TCO TO BE- SW'!$D160-1))*((T$4+'TCO TO BE - HW'!T$4)/($E$4+'TCO TO BE - HW'!$E$4)*SUM(POZICIE_INTERNE!$I$52:$I$63))/POZICIE_INTERNE!$B$52)),0)+IFERROR(IF((AKTIVITY_POZICIE!$B$53-12*('TCO TO BE- SW'!$D160-1))&gt;12,((T$4+'TCO TO BE - HW'!T$4)/($E$4+'TCO TO BE - HW'!$E$4)*SUM(AKTIVITY_POZICIE!$M$53:$M$64))/AKTIVITY_POZICIE!$B$41*12,IF((AKTIVITY_POZICIE!$B$53-12*('TCO TO BE- SW'!$D160-1))&lt;0,0,(AKTIVITY_POZICIE!$B$53-12*('TCO TO BE- SW'!$D160-1))*((T$4+'TCO TO BE - HW'!T$4)/($E$4+'TCO TO BE - HW'!$E$4)*SUM(AKTIVITY_POZICIE!$M$53:$M$64))/AKTIVITY_POZICIE!$B$53)),0)</f>
        <v>0</v>
      </c>
      <c r="U170" s="577">
        <f>IFERROR(IF((POZICIE_INTERNE!$B$52-12*('TCO TO BE- SW'!$D160-1))&gt;12,((U$4+'TCO TO BE - HW'!U$4)/($E$4+'TCO TO BE - HW'!$E$4)*SUM(POZICIE_INTERNE!$I$52:$I$63))/POZICIE_INTERNE!$B$52*12,IF((POZICIE_INTERNE!$B$52-12*('TCO TO BE- SW'!$D160-1))&lt;0,0,(POZICIE_INTERNE!$B$52-12*('TCO TO BE- SW'!$D160-1))*((U$4+'TCO TO BE - HW'!U$4)/($E$4+'TCO TO BE - HW'!$E$4)*SUM(POZICIE_INTERNE!$I$52:$I$63))/POZICIE_INTERNE!$B$52)),0)+IFERROR(IF((AKTIVITY_POZICIE!$B$53-12*('TCO TO BE- SW'!$D160-1))&gt;12,((U$4+'TCO TO BE - HW'!U$4)/($E$4+'TCO TO BE - HW'!$E$4)*SUM(AKTIVITY_POZICIE!$M$53:$M$64))/AKTIVITY_POZICIE!$B$41*12,IF((AKTIVITY_POZICIE!$B$53-12*('TCO TO BE- SW'!$D160-1))&lt;0,0,(AKTIVITY_POZICIE!$B$53-12*('TCO TO BE- SW'!$D160-1))*((U$4+'TCO TO BE - HW'!U$4)/($E$4+'TCO TO BE - HW'!$E$4)*SUM(AKTIVITY_POZICIE!$M$53:$M$64))/AKTIVITY_POZICIE!$B$53)),0)</f>
        <v>0</v>
      </c>
      <c r="V170" s="577">
        <f>IFERROR(IF((POZICIE_INTERNE!$B$52-12*('TCO TO BE- SW'!$D160-1))&gt;12,((V$4+'TCO TO BE - HW'!V$4)/($E$4+'TCO TO BE - HW'!$E$4)*SUM(POZICIE_INTERNE!$I$52:$I$63))/POZICIE_INTERNE!$B$52*12,IF((POZICIE_INTERNE!$B$52-12*('TCO TO BE- SW'!$D160-1))&lt;0,0,(POZICIE_INTERNE!$B$52-12*('TCO TO BE- SW'!$D160-1))*((V$4+'TCO TO BE - HW'!V$4)/($E$4+'TCO TO BE - HW'!$E$4)*SUM(POZICIE_INTERNE!$I$52:$I$63))/POZICIE_INTERNE!$B$52)),0)+IFERROR(IF((AKTIVITY_POZICIE!$B$53-12*('TCO TO BE- SW'!$D160-1))&gt;12,((V$4+'TCO TO BE - HW'!V$4)/($E$4+'TCO TO BE - HW'!$E$4)*SUM(AKTIVITY_POZICIE!$M$53:$M$64))/AKTIVITY_POZICIE!$B$41*12,IF((AKTIVITY_POZICIE!$B$53-12*('TCO TO BE- SW'!$D160-1))&lt;0,0,(AKTIVITY_POZICIE!$B$53-12*('TCO TO BE- SW'!$D160-1))*((V$4+'TCO TO BE - HW'!V$4)/($E$4+'TCO TO BE - HW'!$E$4)*SUM(AKTIVITY_POZICIE!$M$53:$M$64))/AKTIVITY_POZICIE!$B$53)),0)</f>
        <v>0</v>
      </c>
      <c r="W170" s="577">
        <f>IFERROR(IF((POZICIE_INTERNE!$B$52-12*('TCO TO BE- SW'!$D160-1))&gt;12,((W$4+'TCO TO BE - HW'!W$4)/($E$4+'TCO TO BE - HW'!$E$4)*SUM(POZICIE_INTERNE!$I$52:$I$63))/POZICIE_INTERNE!$B$52*12,IF((POZICIE_INTERNE!$B$52-12*('TCO TO BE- SW'!$D160-1))&lt;0,0,(POZICIE_INTERNE!$B$52-12*('TCO TO BE- SW'!$D160-1))*((W$4+'TCO TO BE - HW'!W$4)/($E$4+'TCO TO BE - HW'!$E$4)*SUM(POZICIE_INTERNE!$I$52:$I$63))/POZICIE_INTERNE!$B$52)),0)+IFERROR(IF((AKTIVITY_POZICIE!$B$53-12*('TCO TO BE- SW'!$D160-1))&gt;12,((W$4+'TCO TO BE - HW'!W$4)/($E$4+'TCO TO BE - HW'!$E$4)*SUM(AKTIVITY_POZICIE!$M$53:$M$64))/AKTIVITY_POZICIE!$B$41*12,IF((AKTIVITY_POZICIE!$B$53-12*('TCO TO BE- SW'!$D160-1))&lt;0,0,(AKTIVITY_POZICIE!$B$53-12*('TCO TO BE- SW'!$D160-1))*((W$4+'TCO TO BE - HW'!W$4)/($E$4+'TCO TO BE - HW'!$E$4)*SUM(AKTIVITY_POZICIE!$M$53:$M$64))/AKTIVITY_POZICIE!$B$53)),0)</f>
        <v>0</v>
      </c>
      <c r="X170" s="577">
        <f>IFERROR(IF((POZICIE_INTERNE!$B$52-12*('TCO TO BE- SW'!$D160-1))&gt;12,((X$4+'TCO TO BE - HW'!X$4)/($E$4+'TCO TO BE - HW'!$E$4)*SUM(POZICIE_INTERNE!$I$52:$I$63))/POZICIE_INTERNE!$B$52*12,IF((POZICIE_INTERNE!$B$52-12*('TCO TO BE- SW'!$D160-1))&lt;0,0,(POZICIE_INTERNE!$B$52-12*('TCO TO BE- SW'!$D160-1))*((X$4+'TCO TO BE - HW'!X$4)/($E$4+'TCO TO BE - HW'!$E$4)*SUM(POZICIE_INTERNE!$I$52:$I$63))/POZICIE_INTERNE!$B$52)),0)+IFERROR(IF((AKTIVITY_POZICIE!$B$53-12*('TCO TO BE- SW'!$D160-1))&gt;12,((X$4+'TCO TO BE - HW'!X$4)/($E$4+'TCO TO BE - HW'!$E$4)*SUM(AKTIVITY_POZICIE!$M$53:$M$64))/AKTIVITY_POZICIE!$B$41*12,IF((AKTIVITY_POZICIE!$B$53-12*('TCO TO BE- SW'!$D160-1))&lt;0,0,(AKTIVITY_POZICIE!$B$53-12*('TCO TO BE- SW'!$D160-1))*((X$4+'TCO TO BE - HW'!X$4)/($E$4+'TCO TO BE - HW'!$E$4)*SUM(AKTIVITY_POZICIE!$M$53:$M$64))/AKTIVITY_POZICIE!$B$53)),0)</f>
        <v>0</v>
      </c>
      <c r="Y170" s="577">
        <f>IFERROR(IF((POZICIE_INTERNE!$B$52-12*('TCO TO BE- SW'!$D160-1))&gt;12,((Y$4+'TCO TO BE - HW'!Y$4)/($E$4+'TCO TO BE - HW'!$E$4)*SUM(POZICIE_INTERNE!$I$52:$I$63))/POZICIE_INTERNE!$B$52*12,IF((POZICIE_INTERNE!$B$52-12*('TCO TO BE- SW'!$D160-1))&lt;0,0,(POZICIE_INTERNE!$B$52-12*('TCO TO BE- SW'!$D160-1))*((Y$4+'TCO TO BE - HW'!Y$4)/($E$4+'TCO TO BE - HW'!$E$4)*SUM(POZICIE_INTERNE!$I$52:$I$63))/POZICIE_INTERNE!$B$52)),0)+IFERROR(IF((AKTIVITY_POZICIE!$B$53-12*('TCO TO BE- SW'!$D160-1))&gt;12,((Y$4+'TCO TO BE - HW'!Y$4)/($E$4+'TCO TO BE - HW'!$E$4)*SUM(AKTIVITY_POZICIE!$M$53:$M$64))/AKTIVITY_POZICIE!$B$41*12,IF((AKTIVITY_POZICIE!$B$53-12*('TCO TO BE- SW'!$D160-1))&lt;0,0,(AKTIVITY_POZICIE!$B$53-12*('TCO TO BE- SW'!$D160-1))*((Y$4+'TCO TO BE - HW'!Y$4)/($E$4+'TCO TO BE - HW'!$E$4)*SUM(AKTIVITY_POZICIE!$M$53:$M$64))/AKTIVITY_POZICIE!$B$53)),0)</f>
        <v>0</v>
      </c>
      <c r="Z170" s="577">
        <f>IFERROR(IF((POZICIE_INTERNE!$B$52-12*('TCO TO BE- SW'!$D160-1))&gt;12,((Z$4+'TCO TO BE - HW'!Z$4)/($E$4+'TCO TO BE - HW'!$E$4)*SUM(POZICIE_INTERNE!$I$52:$I$63))/POZICIE_INTERNE!$B$52*12,IF((POZICIE_INTERNE!$B$52-12*('TCO TO BE- SW'!$D160-1))&lt;0,0,(POZICIE_INTERNE!$B$52-12*('TCO TO BE- SW'!$D160-1))*((Z$4+'TCO TO BE - HW'!Z$4)/($E$4+'TCO TO BE - HW'!$E$4)*SUM(POZICIE_INTERNE!$I$52:$I$63))/POZICIE_INTERNE!$B$52)),0)+IFERROR(IF((AKTIVITY_POZICIE!$B$53-12*('TCO TO BE- SW'!$D160-1))&gt;12,((Z$4+'TCO TO BE - HW'!Z$4)/($E$4+'TCO TO BE - HW'!$E$4)*SUM(AKTIVITY_POZICIE!$M$53:$M$64))/AKTIVITY_POZICIE!$B$41*12,IF((AKTIVITY_POZICIE!$B$53-12*('TCO TO BE- SW'!$D160-1))&lt;0,0,(AKTIVITY_POZICIE!$B$53-12*('TCO TO BE- SW'!$D160-1))*((Z$4+'TCO TO BE - HW'!Z$4)/($E$4+'TCO TO BE - HW'!$E$4)*SUM(AKTIVITY_POZICIE!$M$53:$M$64))/AKTIVITY_POZICIE!$B$53)),0)</f>
        <v>0</v>
      </c>
    </row>
    <row r="171" spans="1:26" ht="15.75" thickBot="1">
      <c r="A171" s="882" t="s">
        <v>246</v>
      </c>
      <c r="B171" s="883"/>
      <c r="C171" s="883"/>
      <c r="D171" s="75"/>
      <c r="E171" s="72">
        <f t="shared" ref="E171:Z171" si="17">SUM(E172:E191)</f>
        <v>0</v>
      </c>
      <c r="F171" s="73">
        <f t="shared" si="17"/>
        <v>0</v>
      </c>
      <c r="G171" s="73">
        <f t="shared" si="17"/>
        <v>0</v>
      </c>
      <c r="H171" s="73">
        <f t="shared" si="17"/>
        <v>0</v>
      </c>
      <c r="I171" s="73">
        <f t="shared" si="17"/>
        <v>0</v>
      </c>
      <c r="J171" s="73">
        <f t="shared" si="17"/>
        <v>0</v>
      </c>
      <c r="K171" s="73">
        <f t="shared" si="17"/>
        <v>0</v>
      </c>
      <c r="L171" s="73">
        <f t="shared" si="17"/>
        <v>0</v>
      </c>
      <c r="M171" s="73">
        <f t="shared" si="17"/>
        <v>0</v>
      </c>
      <c r="N171" s="73">
        <f t="shared" si="17"/>
        <v>0</v>
      </c>
      <c r="O171" s="73">
        <f t="shared" si="17"/>
        <v>0</v>
      </c>
      <c r="P171" s="73">
        <f t="shared" si="17"/>
        <v>0</v>
      </c>
      <c r="Q171" s="73">
        <f t="shared" si="17"/>
        <v>0</v>
      </c>
      <c r="R171" s="73">
        <f t="shared" si="17"/>
        <v>0</v>
      </c>
      <c r="S171" s="73">
        <f t="shared" si="17"/>
        <v>0</v>
      </c>
      <c r="T171" s="73">
        <f t="shared" si="17"/>
        <v>0</v>
      </c>
      <c r="U171" s="73">
        <f t="shared" si="17"/>
        <v>0</v>
      </c>
      <c r="V171" s="73">
        <f t="shared" si="17"/>
        <v>0</v>
      </c>
      <c r="W171" s="73">
        <f t="shared" si="17"/>
        <v>0</v>
      </c>
      <c r="X171" s="73">
        <f t="shared" si="17"/>
        <v>0</v>
      </c>
      <c r="Y171" s="73">
        <f t="shared" si="17"/>
        <v>0</v>
      </c>
      <c r="Z171" s="73">
        <f t="shared" si="17"/>
        <v>0</v>
      </c>
    </row>
    <row r="172" spans="1:26">
      <c r="A172" s="875" t="s">
        <v>247</v>
      </c>
      <c r="B172" s="876" t="s">
        <v>76</v>
      </c>
      <c r="C172" s="876">
        <v>633013</v>
      </c>
      <c r="D172" s="63">
        <v>1</v>
      </c>
      <c r="E172" s="60">
        <f t="shared" ref="E172:E191" si="18">SUM(F172:Z172)</f>
        <v>0</v>
      </c>
      <c r="F172" s="580">
        <v>0</v>
      </c>
      <c r="G172" s="580">
        <v>0</v>
      </c>
      <c r="H172" s="580">
        <v>0</v>
      </c>
      <c r="I172" s="580">
        <v>0</v>
      </c>
      <c r="J172" s="580">
        <v>0</v>
      </c>
      <c r="K172" s="580">
        <v>0</v>
      </c>
      <c r="L172" s="580">
        <v>0</v>
      </c>
      <c r="M172" s="580">
        <v>0</v>
      </c>
      <c r="N172" s="580">
        <v>0</v>
      </c>
      <c r="O172" s="580">
        <v>0</v>
      </c>
      <c r="P172" s="580">
        <v>0</v>
      </c>
      <c r="Q172" s="580">
        <v>0</v>
      </c>
      <c r="R172" s="580">
        <v>0</v>
      </c>
      <c r="S172" s="580">
        <v>0</v>
      </c>
      <c r="T172" s="580">
        <v>0</v>
      </c>
      <c r="U172" s="580">
        <v>0</v>
      </c>
      <c r="V172" s="580">
        <v>0</v>
      </c>
      <c r="W172" s="580">
        <v>0</v>
      </c>
      <c r="X172" s="580">
        <v>0</v>
      </c>
      <c r="Y172" s="580">
        <v>0</v>
      </c>
      <c r="Z172" s="580">
        <v>0</v>
      </c>
    </row>
    <row r="173" spans="1:26">
      <c r="A173" s="875"/>
      <c r="B173" s="876"/>
      <c r="C173" s="876"/>
      <c r="D173" s="64">
        <v>2</v>
      </c>
      <c r="E173" s="61">
        <f t="shared" si="18"/>
        <v>0</v>
      </c>
      <c r="F173" s="581">
        <v>0</v>
      </c>
      <c r="G173" s="581">
        <v>0</v>
      </c>
      <c r="H173" s="581">
        <v>0</v>
      </c>
      <c r="I173" s="581">
        <v>0</v>
      </c>
      <c r="J173" s="581">
        <v>0</v>
      </c>
      <c r="K173" s="581">
        <v>0</v>
      </c>
      <c r="L173" s="581">
        <v>0</v>
      </c>
      <c r="M173" s="581">
        <v>0</v>
      </c>
      <c r="N173" s="581">
        <v>0</v>
      </c>
      <c r="O173" s="581">
        <v>0</v>
      </c>
      <c r="P173" s="581">
        <v>0</v>
      </c>
      <c r="Q173" s="581">
        <v>0</v>
      </c>
      <c r="R173" s="581">
        <v>0</v>
      </c>
      <c r="S173" s="581">
        <v>0</v>
      </c>
      <c r="T173" s="581">
        <v>0</v>
      </c>
      <c r="U173" s="581">
        <v>0</v>
      </c>
      <c r="V173" s="581">
        <v>0</v>
      </c>
      <c r="W173" s="581">
        <v>0</v>
      </c>
      <c r="X173" s="581">
        <v>0</v>
      </c>
      <c r="Y173" s="581">
        <v>0</v>
      </c>
      <c r="Z173" s="581">
        <v>0</v>
      </c>
    </row>
    <row r="174" spans="1:26">
      <c r="A174" s="875"/>
      <c r="B174" s="876"/>
      <c r="C174" s="876"/>
      <c r="D174" s="64">
        <v>3</v>
      </c>
      <c r="E174" s="61">
        <f t="shared" si="18"/>
        <v>0</v>
      </c>
      <c r="F174" s="581">
        <v>0</v>
      </c>
      <c r="G174" s="581">
        <v>0</v>
      </c>
      <c r="H174" s="581">
        <v>0</v>
      </c>
      <c r="I174" s="581">
        <v>0</v>
      </c>
      <c r="J174" s="581">
        <v>0</v>
      </c>
      <c r="K174" s="581">
        <v>0</v>
      </c>
      <c r="L174" s="581">
        <v>0</v>
      </c>
      <c r="M174" s="581">
        <v>0</v>
      </c>
      <c r="N174" s="581">
        <v>0</v>
      </c>
      <c r="O174" s="581">
        <v>0</v>
      </c>
      <c r="P174" s="581">
        <v>0</v>
      </c>
      <c r="Q174" s="581">
        <v>0</v>
      </c>
      <c r="R174" s="581">
        <v>0</v>
      </c>
      <c r="S174" s="581">
        <v>0</v>
      </c>
      <c r="T174" s="581">
        <v>0</v>
      </c>
      <c r="U174" s="581">
        <v>0</v>
      </c>
      <c r="V174" s="581">
        <v>0</v>
      </c>
      <c r="W174" s="581">
        <v>0</v>
      </c>
      <c r="X174" s="581">
        <v>0</v>
      </c>
      <c r="Y174" s="581">
        <v>0</v>
      </c>
      <c r="Z174" s="581">
        <v>0</v>
      </c>
    </row>
    <row r="175" spans="1:26">
      <c r="A175" s="875"/>
      <c r="B175" s="876"/>
      <c r="C175" s="876"/>
      <c r="D175" s="64">
        <v>4</v>
      </c>
      <c r="E175" s="61">
        <f t="shared" si="18"/>
        <v>0</v>
      </c>
      <c r="F175" s="581">
        <v>0</v>
      </c>
      <c r="G175" s="581">
        <v>0</v>
      </c>
      <c r="H175" s="581">
        <v>0</v>
      </c>
      <c r="I175" s="581">
        <v>0</v>
      </c>
      <c r="J175" s="581">
        <v>0</v>
      </c>
      <c r="K175" s="581">
        <v>0</v>
      </c>
      <c r="L175" s="581">
        <v>0</v>
      </c>
      <c r="M175" s="581">
        <v>0</v>
      </c>
      <c r="N175" s="581">
        <v>0</v>
      </c>
      <c r="O175" s="581">
        <v>0</v>
      </c>
      <c r="P175" s="581">
        <v>0</v>
      </c>
      <c r="Q175" s="581">
        <v>0</v>
      </c>
      <c r="R175" s="581">
        <v>0</v>
      </c>
      <c r="S175" s="581">
        <v>0</v>
      </c>
      <c r="T175" s="581">
        <v>0</v>
      </c>
      <c r="U175" s="581">
        <v>0</v>
      </c>
      <c r="V175" s="581">
        <v>0</v>
      </c>
      <c r="W175" s="581">
        <v>0</v>
      </c>
      <c r="X175" s="581">
        <v>0</v>
      </c>
      <c r="Y175" s="581">
        <v>0</v>
      </c>
      <c r="Z175" s="581">
        <v>0</v>
      </c>
    </row>
    <row r="176" spans="1:26">
      <c r="A176" s="875"/>
      <c r="B176" s="876"/>
      <c r="C176" s="876"/>
      <c r="D176" s="64">
        <v>5</v>
      </c>
      <c r="E176" s="61">
        <f t="shared" si="18"/>
        <v>0</v>
      </c>
      <c r="F176" s="581">
        <v>0</v>
      </c>
      <c r="G176" s="581">
        <v>0</v>
      </c>
      <c r="H176" s="581">
        <v>0</v>
      </c>
      <c r="I176" s="581">
        <v>0</v>
      </c>
      <c r="J176" s="581">
        <v>0</v>
      </c>
      <c r="K176" s="581">
        <v>0</v>
      </c>
      <c r="L176" s="581">
        <v>0</v>
      </c>
      <c r="M176" s="581">
        <v>0</v>
      </c>
      <c r="N176" s="581">
        <v>0</v>
      </c>
      <c r="O176" s="581">
        <v>0</v>
      </c>
      <c r="P176" s="581">
        <v>0</v>
      </c>
      <c r="Q176" s="581">
        <v>0</v>
      </c>
      <c r="R176" s="581">
        <v>0</v>
      </c>
      <c r="S176" s="581">
        <v>0</v>
      </c>
      <c r="T176" s="581">
        <v>0</v>
      </c>
      <c r="U176" s="581">
        <v>0</v>
      </c>
      <c r="V176" s="581">
        <v>0</v>
      </c>
      <c r="W176" s="581">
        <v>0</v>
      </c>
      <c r="X176" s="581">
        <v>0</v>
      </c>
      <c r="Y176" s="581">
        <v>0</v>
      </c>
      <c r="Z176" s="581">
        <v>0</v>
      </c>
    </row>
    <row r="177" spans="1:26">
      <c r="A177" s="875"/>
      <c r="B177" s="876"/>
      <c r="C177" s="876"/>
      <c r="D177" s="64">
        <v>6</v>
      </c>
      <c r="E177" s="61">
        <f t="shared" si="18"/>
        <v>0</v>
      </c>
      <c r="F177" s="581">
        <v>0</v>
      </c>
      <c r="G177" s="581">
        <v>0</v>
      </c>
      <c r="H177" s="581">
        <v>0</v>
      </c>
      <c r="I177" s="581">
        <v>0</v>
      </c>
      <c r="J177" s="581">
        <v>0</v>
      </c>
      <c r="K177" s="581">
        <v>0</v>
      </c>
      <c r="L177" s="581">
        <v>0</v>
      </c>
      <c r="M177" s="581">
        <v>0</v>
      </c>
      <c r="N177" s="581">
        <v>0</v>
      </c>
      <c r="O177" s="581">
        <v>0</v>
      </c>
      <c r="P177" s="581">
        <v>0</v>
      </c>
      <c r="Q177" s="581">
        <v>0</v>
      </c>
      <c r="R177" s="581">
        <v>0</v>
      </c>
      <c r="S177" s="581">
        <v>0</v>
      </c>
      <c r="T177" s="581">
        <v>0</v>
      </c>
      <c r="U177" s="581">
        <v>0</v>
      </c>
      <c r="V177" s="581">
        <v>0</v>
      </c>
      <c r="W177" s="581">
        <v>0</v>
      </c>
      <c r="X177" s="581">
        <v>0</v>
      </c>
      <c r="Y177" s="581">
        <v>0</v>
      </c>
      <c r="Z177" s="581">
        <v>0</v>
      </c>
    </row>
    <row r="178" spans="1:26">
      <c r="A178" s="875"/>
      <c r="B178" s="876"/>
      <c r="C178" s="876"/>
      <c r="D178" s="64">
        <v>7</v>
      </c>
      <c r="E178" s="61">
        <f t="shared" si="18"/>
        <v>0</v>
      </c>
      <c r="F178" s="581">
        <v>0</v>
      </c>
      <c r="G178" s="581">
        <v>0</v>
      </c>
      <c r="H178" s="581">
        <v>0</v>
      </c>
      <c r="I178" s="581">
        <v>0</v>
      </c>
      <c r="J178" s="581">
        <v>0</v>
      </c>
      <c r="K178" s="581">
        <v>0</v>
      </c>
      <c r="L178" s="581">
        <v>0</v>
      </c>
      <c r="M178" s="581">
        <v>0</v>
      </c>
      <c r="N178" s="581">
        <v>0</v>
      </c>
      <c r="O178" s="581">
        <v>0</v>
      </c>
      <c r="P178" s="581">
        <v>0</v>
      </c>
      <c r="Q178" s="581">
        <v>0</v>
      </c>
      <c r="R178" s="581">
        <v>0</v>
      </c>
      <c r="S178" s="581">
        <v>0</v>
      </c>
      <c r="T178" s="581">
        <v>0</v>
      </c>
      <c r="U178" s="581">
        <v>0</v>
      </c>
      <c r="V178" s="581">
        <v>0</v>
      </c>
      <c r="W178" s="581">
        <v>0</v>
      </c>
      <c r="X178" s="581">
        <v>0</v>
      </c>
      <c r="Y178" s="581">
        <v>0</v>
      </c>
      <c r="Z178" s="581">
        <v>0</v>
      </c>
    </row>
    <row r="179" spans="1:26">
      <c r="A179" s="875"/>
      <c r="B179" s="876"/>
      <c r="C179" s="876"/>
      <c r="D179" s="64">
        <v>8</v>
      </c>
      <c r="E179" s="61">
        <f t="shared" si="18"/>
        <v>0</v>
      </c>
      <c r="F179" s="581">
        <v>0</v>
      </c>
      <c r="G179" s="581">
        <v>0</v>
      </c>
      <c r="H179" s="581">
        <v>0</v>
      </c>
      <c r="I179" s="581">
        <v>0</v>
      </c>
      <c r="J179" s="581">
        <v>0</v>
      </c>
      <c r="K179" s="581">
        <v>0</v>
      </c>
      <c r="L179" s="581">
        <v>0</v>
      </c>
      <c r="M179" s="581">
        <v>0</v>
      </c>
      <c r="N179" s="581">
        <v>0</v>
      </c>
      <c r="O179" s="581">
        <v>0</v>
      </c>
      <c r="P179" s="581">
        <v>0</v>
      </c>
      <c r="Q179" s="581">
        <v>0</v>
      </c>
      <c r="R179" s="581">
        <v>0</v>
      </c>
      <c r="S179" s="581">
        <v>0</v>
      </c>
      <c r="T179" s="581">
        <v>0</v>
      </c>
      <c r="U179" s="581">
        <v>0</v>
      </c>
      <c r="V179" s="581">
        <v>0</v>
      </c>
      <c r="W179" s="581">
        <v>0</v>
      </c>
      <c r="X179" s="581">
        <v>0</v>
      </c>
      <c r="Y179" s="581">
        <v>0</v>
      </c>
      <c r="Z179" s="581">
        <v>0</v>
      </c>
    </row>
    <row r="180" spans="1:26">
      <c r="A180" s="875"/>
      <c r="B180" s="876"/>
      <c r="C180" s="876"/>
      <c r="D180" s="64">
        <v>9</v>
      </c>
      <c r="E180" s="61">
        <f t="shared" si="18"/>
        <v>0</v>
      </c>
      <c r="F180" s="581">
        <v>0</v>
      </c>
      <c r="G180" s="581">
        <v>0</v>
      </c>
      <c r="H180" s="581">
        <v>0</v>
      </c>
      <c r="I180" s="581">
        <v>0</v>
      </c>
      <c r="J180" s="581">
        <v>0</v>
      </c>
      <c r="K180" s="581">
        <v>0</v>
      </c>
      <c r="L180" s="581">
        <v>0</v>
      </c>
      <c r="M180" s="581">
        <v>0</v>
      </c>
      <c r="N180" s="581">
        <v>0</v>
      </c>
      <c r="O180" s="581">
        <v>0</v>
      </c>
      <c r="P180" s="581">
        <v>0</v>
      </c>
      <c r="Q180" s="581">
        <v>0</v>
      </c>
      <c r="R180" s="581">
        <v>0</v>
      </c>
      <c r="S180" s="581">
        <v>0</v>
      </c>
      <c r="T180" s="581">
        <v>0</v>
      </c>
      <c r="U180" s="581">
        <v>0</v>
      </c>
      <c r="V180" s="581">
        <v>0</v>
      </c>
      <c r="W180" s="581">
        <v>0</v>
      </c>
      <c r="X180" s="581">
        <v>0</v>
      </c>
      <c r="Y180" s="581">
        <v>0</v>
      </c>
      <c r="Z180" s="581">
        <v>0</v>
      </c>
    </row>
    <row r="181" spans="1:26" ht="15.75" thickBot="1">
      <c r="A181" s="875"/>
      <c r="B181" s="876"/>
      <c r="C181" s="876"/>
      <c r="D181" s="65">
        <v>10</v>
      </c>
      <c r="E181" s="62">
        <f t="shared" si="18"/>
        <v>0</v>
      </c>
      <c r="F181" s="582">
        <v>0</v>
      </c>
      <c r="G181" s="582">
        <v>0</v>
      </c>
      <c r="H181" s="582">
        <v>0</v>
      </c>
      <c r="I181" s="582">
        <v>0</v>
      </c>
      <c r="J181" s="582">
        <v>0</v>
      </c>
      <c r="K181" s="582">
        <v>0</v>
      </c>
      <c r="L181" s="582">
        <v>0</v>
      </c>
      <c r="M181" s="582">
        <v>0</v>
      </c>
      <c r="N181" s="582">
        <v>0</v>
      </c>
      <c r="O181" s="582">
        <v>0</v>
      </c>
      <c r="P181" s="582">
        <v>0</v>
      </c>
      <c r="Q181" s="582">
        <v>0</v>
      </c>
      <c r="R181" s="582">
        <v>0</v>
      </c>
      <c r="S181" s="582">
        <v>0</v>
      </c>
      <c r="T181" s="582">
        <v>0</v>
      </c>
      <c r="U181" s="582">
        <v>0</v>
      </c>
      <c r="V181" s="582">
        <v>0</v>
      </c>
      <c r="W181" s="582">
        <v>0</v>
      </c>
      <c r="X181" s="582">
        <v>0</v>
      </c>
      <c r="Y181" s="582">
        <v>0</v>
      </c>
      <c r="Z181" s="582">
        <v>0</v>
      </c>
    </row>
    <row r="182" spans="1:26">
      <c r="A182" s="875" t="s">
        <v>531</v>
      </c>
      <c r="B182" s="876"/>
      <c r="C182" s="876">
        <v>637031</v>
      </c>
      <c r="D182" s="63">
        <v>1</v>
      </c>
      <c r="E182" s="61">
        <f t="shared" si="18"/>
        <v>0</v>
      </c>
      <c r="F182" s="580">
        <v>0</v>
      </c>
      <c r="G182" s="580">
        <v>0</v>
      </c>
      <c r="H182" s="580">
        <v>0</v>
      </c>
      <c r="I182" s="580">
        <v>0</v>
      </c>
      <c r="J182" s="580">
        <v>0</v>
      </c>
      <c r="K182" s="580">
        <v>0</v>
      </c>
      <c r="L182" s="580">
        <v>0</v>
      </c>
      <c r="M182" s="580">
        <v>0</v>
      </c>
      <c r="N182" s="580">
        <v>0</v>
      </c>
      <c r="O182" s="580">
        <v>0</v>
      </c>
      <c r="P182" s="580">
        <v>0</v>
      </c>
      <c r="Q182" s="580">
        <v>0</v>
      </c>
      <c r="R182" s="580">
        <v>0</v>
      </c>
      <c r="S182" s="580">
        <v>0</v>
      </c>
      <c r="T182" s="580">
        <v>0</v>
      </c>
      <c r="U182" s="580">
        <v>0</v>
      </c>
      <c r="V182" s="580">
        <v>0</v>
      </c>
      <c r="W182" s="580">
        <v>0</v>
      </c>
      <c r="X182" s="580">
        <v>0</v>
      </c>
      <c r="Y182" s="580">
        <v>0</v>
      </c>
      <c r="Z182" s="580">
        <v>0</v>
      </c>
    </row>
    <row r="183" spans="1:26">
      <c r="A183" s="875"/>
      <c r="B183" s="876"/>
      <c r="C183" s="876"/>
      <c r="D183" s="64">
        <v>2</v>
      </c>
      <c r="E183" s="61">
        <f t="shared" si="18"/>
        <v>0</v>
      </c>
      <c r="F183" s="581">
        <v>0</v>
      </c>
      <c r="G183" s="581">
        <v>0</v>
      </c>
      <c r="H183" s="581">
        <v>0</v>
      </c>
      <c r="I183" s="581">
        <v>0</v>
      </c>
      <c r="J183" s="581">
        <v>0</v>
      </c>
      <c r="K183" s="581">
        <v>0</v>
      </c>
      <c r="L183" s="581">
        <v>0</v>
      </c>
      <c r="M183" s="581">
        <v>0</v>
      </c>
      <c r="N183" s="581">
        <v>0</v>
      </c>
      <c r="O183" s="581">
        <v>0</v>
      </c>
      <c r="P183" s="581">
        <v>0</v>
      </c>
      <c r="Q183" s="581">
        <v>0</v>
      </c>
      <c r="R183" s="581">
        <v>0</v>
      </c>
      <c r="S183" s="581">
        <v>0</v>
      </c>
      <c r="T183" s="581">
        <v>0</v>
      </c>
      <c r="U183" s="581">
        <v>0</v>
      </c>
      <c r="V183" s="581">
        <v>0</v>
      </c>
      <c r="W183" s="581">
        <v>0</v>
      </c>
      <c r="X183" s="581">
        <v>0</v>
      </c>
      <c r="Y183" s="581">
        <v>0</v>
      </c>
      <c r="Z183" s="581">
        <v>0</v>
      </c>
    </row>
    <row r="184" spans="1:26">
      <c r="A184" s="875"/>
      <c r="B184" s="876"/>
      <c r="C184" s="876"/>
      <c r="D184" s="64">
        <v>3</v>
      </c>
      <c r="E184" s="61">
        <f t="shared" si="18"/>
        <v>0</v>
      </c>
      <c r="F184" s="581">
        <v>0</v>
      </c>
      <c r="G184" s="581">
        <v>0</v>
      </c>
      <c r="H184" s="581">
        <v>0</v>
      </c>
      <c r="I184" s="581">
        <v>0</v>
      </c>
      <c r="J184" s="581">
        <v>0</v>
      </c>
      <c r="K184" s="581">
        <v>0</v>
      </c>
      <c r="L184" s="581">
        <v>0</v>
      </c>
      <c r="M184" s="581">
        <v>0</v>
      </c>
      <c r="N184" s="581">
        <v>0</v>
      </c>
      <c r="O184" s="581">
        <v>0</v>
      </c>
      <c r="P184" s="581">
        <v>0</v>
      </c>
      <c r="Q184" s="581">
        <v>0</v>
      </c>
      <c r="R184" s="581">
        <v>0</v>
      </c>
      <c r="S184" s="581">
        <v>0</v>
      </c>
      <c r="T184" s="581">
        <v>0</v>
      </c>
      <c r="U184" s="581">
        <v>0</v>
      </c>
      <c r="V184" s="581">
        <v>0</v>
      </c>
      <c r="W184" s="581">
        <v>0</v>
      </c>
      <c r="X184" s="581">
        <v>0</v>
      </c>
      <c r="Y184" s="581">
        <v>0</v>
      </c>
      <c r="Z184" s="581">
        <v>0</v>
      </c>
    </row>
    <row r="185" spans="1:26">
      <c r="A185" s="875"/>
      <c r="B185" s="876"/>
      <c r="C185" s="876"/>
      <c r="D185" s="64">
        <v>4</v>
      </c>
      <c r="E185" s="61">
        <f t="shared" si="18"/>
        <v>0</v>
      </c>
      <c r="F185" s="581">
        <v>0</v>
      </c>
      <c r="G185" s="581">
        <v>0</v>
      </c>
      <c r="H185" s="581">
        <v>0</v>
      </c>
      <c r="I185" s="581">
        <v>0</v>
      </c>
      <c r="J185" s="581">
        <v>0</v>
      </c>
      <c r="K185" s="581">
        <v>0</v>
      </c>
      <c r="L185" s="581">
        <v>0</v>
      </c>
      <c r="M185" s="581">
        <v>0</v>
      </c>
      <c r="N185" s="581">
        <v>0</v>
      </c>
      <c r="O185" s="581">
        <v>0</v>
      </c>
      <c r="P185" s="581">
        <v>0</v>
      </c>
      <c r="Q185" s="581">
        <v>0</v>
      </c>
      <c r="R185" s="581">
        <v>0</v>
      </c>
      <c r="S185" s="581">
        <v>0</v>
      </c>
      <c r="T185" s="581">
        <v>0</v>
      </c>
      <c r="U185" s="581">
        <v>0</v>
      </c>
      <c r="V185" s="581">
        <v>0</v>
      </c>
      <c r="W185" s="581">
        <v>0</v>
      </c>
      <c r="X185" s="581">
        <v>0</v>
      </c>
      <c r="Y185" s="581">
        <v>0</v>
      </c>
      <c r="Z185" s="581">
        <v>0</v>
      </c>
    </row>
    <row r="186" spans="1:26">
      <c r="A186" s="875"/>
      <c r="B186" s="876"/>
      <c r="C186" s="876"/>
      <c r="D186" s="64">
        <v>5</v>
      </c>
      <c r="E186" s="61">
        <f t="shared" si="18"/>
        <v>0</v>
      </c>
      <c r="F186" s="581">
        <v>0</v>
      </c>
      <c r="G186" s="581">
        <v>0</v>
      </c>
      <c r="H186" s="581">
        <v>0</v>
      </c>
      <c r="I186" s="581">
        <v>0</v>
      </c>
      <c r="J186" s="581">
        <v>0</v>
      </c>
      <c r="K186" s="581">
        <v>0</v>
      </c>
      <c r="L186" s="581">
        <v>0</v>
      </c>
      <c r="M186" s="581">
        <v>0</v>
      </c>
      <c r="N186" s="581">
        <v>0</v>
      </c>
      <c r="O186" s="581">
        <v>0</v>
      </c>
      <c r="P186" s="581">
        <v>0</v>
      </c>
      <c r="Q186" s="581">
        <v>0</v>
      </c>
      <c r="R186" s="581">
        <v>0</v>
      </c>
      <c r="S186" s="581">
        <v>0</v>
      </c>
      <c r="T186" s="581">
        <v>0</v>
      </c>
      <c r="U186" s="581">
        <v>0</v>
      </c>
      <c r="V186" s="581">
        <v>0</v>
      </c>
      <c r="W186" s="581">
        <v>0</v>
      </c>
      <c r="X186" s="581">
        <v>0</v>
      </c>
      <c r="Y186" s="581">
        <v>0</v>
      </c>
      <c r="Z186" s="581">
        <v>0</v>
      </c>
    </row>
    <row r="187" spans="1:26">
      <c r="A187" s="875"/>
      <c r="B187" s="876"/>
      <c r="C187" s="876"/>
      <c r="D187" s="64">
        <v>6</v>
      </c>
      <c r="E187" s="61">
        <f t="shared" si="18"/>
        <v>0</v>
      </c>
      <c r="F187" s="581">
        <v>0</v>
      </c>
      <c r="G187" s="581">
        <v>0</v>
      </c>
      <c r="H187" s="581">
        <v>0</v>
      </c>
      <c r="I187" s="581">
        <v>0</v>
      </c>
      <c r="J187" s="581">
        <v>0</v>
      </c>
      <c r="K187" s="581">
        <v>0</v>
      </c>
      <c r="L187" s="581">
        <v>0</v>
      </c>
      <c r="M187" s="581">
        <v>0</v>
      </c>
      <c r="N187" s="581">
        <v>0</v>
      </c>
      <c r="O187" s="581">
        <v>0</v>
      </c>
      <c r="P187" s="581">
        <v>0</v>
      </c>
      <c r="Q187" s="581">
        <v>0</v>
      </c>
      <c r="R187" s="581">
        <v>0</v>
      </c>
      <c r="S187" s="581">
        <v>0</v>
      </c>
      <c r="T187" s="581">
        <v>0</v>
      </c>
      <c r="U187" s="581">
        <v>0</v>
      </c>
      <c r="V187" s="581">
        <v>0</v>
      </c>
      <c r="W187" s="581">
        <v>0</v>
      </c>
      <c r="X187" s="581">
        <v>0</v>
      </c>
      <c r="Y187" s="581">
        <v>0</v>
      </c>
      <c r="Z187" s="581">
        <v>0</v>
      </c>
    </row>
    <row r="188" spans="1:26">
      <c r="A188" s="875"/>
      <c r="B188" s="876"/>
      <c r="C188" s="876"/>
      <c r="D188" s="64">
        <v>7</v>
      </c>
      <c r="E188" s="61">
        <f t="shared" si="18"/>
        <v>0</v>
      </c>
      <c r="F188" s="581">
        <v>0</v>
      </c>
      <c r="G188" s="581">
        <v>0</v>
      </c>
      <c r="H188" s="581">
        <v>0</v>
      </c>
      <c r="I188" s="581">
        <v>0</v>
      </c>
      <c r="J188" s="581">
        <v>0</v>
      </c>
      <c r="K188" s="581">
        <v>0</v>
      </c>
      <c r="L188" s="581">
        <v>0</v>
      </c>
      <c r="M188" s="581">
        <v>0</v>
      </c>
      <c r="N188" s="581">
        <v>0</v>
      </c>
      <c r="O188" s="581">
        <v>0</v>
      </c>
      <c r="P188" s="581">
        <v>0</v>
      </c>
      <c r="Q188" s="581">
        <v>0</v>
      </c>
      <c r="R188" s="581">
        <v>0</v>
      </c>
      <c r="S188" s="581">
        <v>0</v>
      </c>
      <c r="T188" s="581">
        <v>0</v>
      </c>
      <c r="U188" s="581">
        <v>0</v>
      </c>
      <c r="V188" s="581">
        <v>0</v>
      </c>
      <c r="W188" s="581">
        <v>0</v>
      </c>
      <c r="X188" s="581">
        <v>0</v>
      </c>
      <c r="Y188" s="581">
        <v>0</v>
      </c>
      <c r="Z188" s="581">
        <v>0</v>
      </c>
    </row>
    <row r="189" spans="1:26">
      <c r="A189" s="875"/>
      <c r="B189" s="876"/>
      <c r="C189" s="876"/>
      <c r="D189" s="64">
        <v>8</v>
      </c>
      <c r="E189" s="61">
        <f t="shared" si="18"/>
        <v>0</v>
      </c>
      <c r="F189" s="581">
        <v>0</v>
      </c>
      <c r="G189" s="581">
        <v>0</v>
      </c>
      <c r="H189" s="581">
        <v>0</v>
      </c>
      <c r="I189" s="581">
        <v>0</v>
      </c>
      <c r="J189" s="581">
        <v>0</v>
      </c>
      <c r="K189" s="581">
        <v>0</v>
      </c>
      <c r="L189" s="581">
        <v>0</v>
      </c>
      <c r="M189" s="581">
        <v>0</v>
      </c>
      <c r="N189" s="581">
        <v>0</v>
      </c>
      <c r="O189" s="581">
        <v>0</v>
      </c>
      <c r="P189" s="581">
        <v>0</v>
      </c>
      <c r="Q189" s="581">
        <v>0</v>
      </c>
      <c r="R189" s="581">
        <v>0</v>
      </c>
      <c r="S189" s="581">
        <v>0</v>
      </c>
      <c r="T189" s="581">
        <v>0</v>
      </c>
      <c r="U189" s="581">
        <v>0</v>
      </c>
      <c r="V189" s="581">
        <v>0</v>
      </c>
      <c r="W189" s="581">
        <v>0</v>
      </c>
      <c r="X189" s="581">
        <v>0</v>
      </c>
      <c r="Y189" s="581">
        <v>0</v>
      </c>
      <c r="Z189" s="581">
        <v>0</v>
      </c>
    </row>
    <row r="190" spans="1:26">
      <c r="A190" s="875"/>
      <c r="B190" s="876"/>
      <c r="C190" s="876"/>
      <c r="D190" s="64">
        <v>9</v>
      </c>
      <c r="E190" s="61">
        <f t="shared" si="18"/>
        <v>0</v>
      </c>
      <c r="F190" s="581">
        <v>0</v>
      </c>
      <c r="G190" s="581">
        <v>0</v>
      </c>
      <c r="H190" s="581">
        <v>0</v>
      </c>
      <c r="I190" s="581">
        <v>0</v>
      </c>
      <c r="J190" s="581">
        <v>0</v>
      </c>
      <c r="K190" s="581">
        <v>0</v>
      </c>
      <c r="L190" s="581">
        <v>0</v>
      </c>
      <c r="M190" s="581">
        <v>0</v>
      </c>
      <c r="N190" s="581">
        <v>0</v>
      </c>
      <c r="O190" s="581">
        <v>0</v>
      </c>
      <c r="P190" s="581">
        <v>0</v>
      </c>
      <c r="Q190" s="581">
        <v>0</v>
      </c>
      <c r="R190" s="581">
        <v>0</v>
      </c>
      <c r="S190" s="581">
        <v>0</v>
      </c>
      <c r="T190" s="581">
        <v>0</v>
      </c>
      <c r="U190" s="581">
        <v>0</v>
      </c>
      <c r="V190" s="581">
        <v>0</v>
      </c>
      <c r="W190" s="581">
        <v>0</v>
      </c>
      <c r="X190" s="581">
        <v>0</v>
      </c>
      <c r="Y190" s="581">
        <v>0</v>
      </c>
      <c r="Z190" s="581">
        <v>0</v>
      </c>
    </row>
    <row r="191" spans="1:26" ht="15.75" thickBot="1">
      <c r="A191" s="875"/>
      <c r="B191" s="876"/>
      <c r="C191" s="876"/>
      <c r="D191" s="65">
        <v>10</v>
      </c>
      <c r="E191" s="62">
        <f t="shared" si="18"/>
        <v>0</v>
      </c>
      <c r="F191" s="582">
        <v>0</v>
      </c>
      <c r="G191" s="582">
        <v>0</v>
      </c>
      <c r="H191" s="582">
        <v>0</v>
      </c>
      <c r="I191" s="582">
        <v>0</v>
      </c>
      <c r="J191" s="582">
        <v>0</v>
      </c>
      <c r="K191" s="582">
        <v>0</v>
      </c>
      <c r="L191" s="582">
        <v>0</v>
      </c>
      <c r="M191" s="582">
        <v>0</v>
      </c>
      <c r="N191" s="582">
        <v>0</v>
      </c>
      <c r="O191" s="582">
        <v>0</v>
      </c>
      <c r="P191" s="582">
        <v>0</v>
      </c>
      <c r="Q191" s="582">
        <v>0</v>
      </c>
      <c r="R191" s="582">
        <v>0</v>
      </c>
      <c r="S191" s="582">
        <v>0</v>
      </c>
      <c r="T191" s="582">
        <v>0</v>
      </c>
      <c r="U191" s="582">
        <v>0</v>
      </c>
      <c r="V191" s="582">
        <v>0</v>
      </c>
      <c r="W191" s="582">
        <v>0</v>
      </c>
      <c r="X191" s="582">
        <v>0</v>
      </c>
      <c r="Y191" s="582">
        <v>0</v>
      </c>
      <c r="Z191" s="582">
        <v>0</v>
      </c>
    </row>
  </sheetData>
  <mergeCells count="60">
    <mergeCell ref="A120:A129"/>
    <mergeCell ref="B120:B129"/>
    <mergeCell ref="C120:C129"/>
    <mergeCell ref="A130:A139"/>
    <mergeCell ref="B130:B139"/>
    <mergeCell ref="C130:C139"/>
    <mergeCell ref="A161:A170"/>
    <mergeCell ref="B161:B170"/>
    <mergeCell ref="C161:C170"/>
    <mergeCell ref="A140:A149"/>
    <mergeCell ref="B140:B149"/>
    <mergeCell ref="A151:A160"/>
    <mergeCell ref="B151:B160"/>
    <mergeCell ref="C151:C160"/>
    <mergeCell ref="C140:C149"/>
    <mergeCell ref="A110:A119"/>
    <mergeCell ref="B110:B119"/>
    <mergeCell ref="A77:C77"/>
    <mergeCell ref="A79:A88"/>
    <mergeCell ref="B79:B88"/>
    <mergeCell ref="C79:C88"/>
    <mergeCell ref="A89:A98"/>
    <mergeCell ref="B89:B98"/>
    <mergeCell ref="C89:C98"/>
    <mergeCell ref="A100:A109"/>
    <mergeCell ref="B100:B109"/>
    <mergeCell ref="C100:C109"/>
    <mergeCell ref="C110:C119"/>
    <mergeCell ref="A67:A76"/>
    <mergeCell ref="B67:B76"/>
    <mergeCell ref="A26:A35"/>
    <mergeCell ref="B26:B35"/>
    <mergeCell ref="C26:C35"/>
    <mergeCell ref="A37:A46"/>
    <mergeCell ref="B37:B46"/>
    <mergeCell ref="C37:C46"/>
    <mergeCell ref="C67:C76"/>
    <mergeCell ref="A171:C171"/>
    <mergeCell ref="A172:A181"/>
    <mergeCell ref="B172:B181"/>
    <mergeCell ref="C172:C181"/>
    <mergeCell ref="A182:A191"/>
    <mergeCell ref="B182:B191"/>
    <mergeCell ref="C182:C191"/>
    <mergeCell ref="F1:Z1"/>
    <mergeCell ref="A16:A25"/>
    <mergeCell ref="B16:B25"/>
    <mergeCell ref="C16:C25"/>
    <mergeCell ref="A57:A66"/>
    <mergeCell ref="B57:B66"/>
    <mergeCell ref="C57:C66"/>
    <mergeCell ref="A47:A56"/>
    <mergeCell ref="B47:B56"/>
    <mergeCell ref="C47:C56"/>
    <mergeCell ref="A4:C4"/>
    <mergeCell ref="C6:C15"/>
    <mergeCell ref="A6:A15"/>
    <mergeCell ref="B6:B15"/>
    <mergeCell ref="A1:D1"/>
    <mergeCell ref="A2:D2"/>
  </mergeCells>
  <conditionalFormatting sqref="F2:Z2">
    <cfRule type="cellIs" dxfId="1" priority="1" operator="equal">
      <formula>0</formula>
    </cfRule>
  </conditionalFormatting>
  <pageMargins left="0.7" right="0.7" top="0.75" bottom="0.75" header="0.3" footer="0.3"/>
  <pageSetup paperSize="9" scale="29" orientation="portrait" r:id="rId1"/>
  <ignoredErrors>
    <ignoredError sqref="E36 E99" formula="1"/>
  </ignoredError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13">
    <tabColor rgb="FFFFFF00"/>
    <outlinePr summaryBelow="0" summaryRight="0"/>
  </sheetPr>
  <dimension ref="A1:AB105"/>
  <sheetViews>
    <sheetView zoomScale="70" zoomScaleNormal="70" workbookViewId="0">
      <pane ySplit="3" topLeftCell="A4" activePane="bottomLeft" state="frozen"/>
      <selection activeCell="G18" sqref="G18"/>
      <selection pane="bottomLeft" activeCell="G62" sqref="G62"/>
    </sheetView>
  </sheetViews>
  <sheetFormatPr defaultColWidth="8.85546875" defaultRowHeight="15" outlineLevelRow="1" outlineLevelCol="1"/>
  <cols>
    <col min="1" max="1" width="22.42578125" customWidth="1"/>
    <col min="2" max="2" width="23.42578125" customWidth="1"/>
    <col min="3" max="3" width="22.42578125" customWidth="1"/>
    <col min="4" max="4" width="8.85546875" style="197"/>
    <col min="5" max="5" width="17.85546875" customWidth="1"/>
    <col min="6" max="25" width="18.5703125" customWidth="1" outlineLevel="1"/>
    <col min="26" max="26" width="18.5703125" customWidth="1"/>
    <col min="28" max="28" width="10.5703125" bestFit="1" customWidth="1"/>
  </cols>
  <sheetData>
    <row r="1" spans="1:26" ht="28.5">
      <c r="A1" s="885"/>
      <c r="B1" s="885"/>
      <c r="C1" s="885"/>
      <c r="D1" s="885"/>
      <c r="F1" s="884" t="s">
        <v>294</v>
      </c>
      <c r="G1" s="884"/>
      <c r="H1" s="884"/>
      <c r="I1" s="884"/>
      <c r="J1" s="884"/>
      <c r="K1" s="884"/>
      <c r="L1" s="884"/>
      <c r="M1" s="884"/>
      <c r="N1" s="884"/>
      <c r="O1" s="884"/>
      <c r="P1" s="884"/>
      <c r="Q1" s="884"/>
      <c r="R1" s="884"/>
      <c r="S1" s="884"/>
      <c r="T1" s="884"/>
      <c r="U1" s="884"/>
      <c r="V1" s="884"/>
      <c r="W1" s="884"/>
      <c r="X1" s="884"/>
      <c r="Y1" s="884"/>
      <c r="Z1" s="884"/>
    </row>
    <row r="2" spans="1:26" ht="36" customHeight="1" thickBot="1">
      <c r="A2" s="871" t="s">
        <v>95</v>
      </c>
      <c r="B2" s="871"/>
      <c r="C2" s="871"/>
      <c r="D2" s="872"/>
      <c r="E2" s="66" t="s">
        <v>35</v>
      </c>
      <c r="F2" s="572" t="str">
        <f>MODULY_CBA!B3</f>
        <v>Portál eNRI DOP</v>
      </c>
      <c r="G2" s="572" t="str">
        <f>MODULY_CBA!$B4</f>
        <v xml:space="preserve">Intranet </v>
      </c>
      <c r="H2" s="572" t="str">
        <f>MODULY_CBA!$B5</f>
        <v>API Gateway eNRI</v>
      </c>
      <c r="I2" s="572" t="str">
        <f>MODULY_CBA!$B6</f>
        <v>Transformačný modul</v>
      </c>
      <c r="J2" s="572" t="str">
        <f>MODULY_CBA!$B7</f>
        <v>Modul GIS</v>
      </c>
      <c r="K2" s="572" t="str">
        <f>MODULY_CBA!$B8</f>
        <v>Správa dopravných grafikonov</v>
      </c>
      <c r="L2" s="572" t="str">
        <f>MODULY_CBA!$B9</f>
        <v>Agendový modul bezpečných a chránených parkovacích miest pre nákladné a úžitkové vozidlá</v>
      </c>
      <c r="M2" s="572" t="str">
        <f>MODULY_CBA!$B10</f>
        <v>Rezervačný a plánovací modul pre vybrané agendy</v>
      </c>
      <c r="N2" s="572" t="str">
        <f>MODULY_CBA!$B11</f>
        <v>Modul optimalizácie osobnej verejnej dopravy a rezervácie kapacít</v>
      </c>
      <c r="O2" s="572" t="str">
        <f>MODULY_CBA!$B12</f>
        <v>Agendový modul licencovania hromadnej dopravy</v>
      </c>
      <c r="P2" s="572" t="str">
        <f>MODULY_CBA!$B13</f>
        <v>Správa licencovaných dopravných prostriedkov vo verejnej osobnej doprave</v>
      </c>
      <c r="Q2" s="572" t="str">
        <f>MODULY_CBA!$B14</f>
        <v>Agendový modul dopravných povolení</v>
      </c>
      <c r="R2" s="572" t="str">
        <f>MODULY_CBA!$B15</f>
        <v>Žurnál a log server</v>
      </c>
      <c r="S2" s="572" t="str">
        <f>MODULY_CBA!$B16</f>
        <v>Objektové úložisko dopravných informácii</v>
      </c>
      <c r="T2" s="572" t="str">
        <f>MODULY_CBA!$B17</f>
        <v>Monitoring</v>
      </c>
      <c r="U2" s="572" t="str">
        <f>MODULY_CBA!$B18</f>
        <v>IAM</v>
      </c>
      <c r="V2" s="572" t="str">
        <f>MODULY_CBA!$B19</f>
        <v>DMS</v>
      </c>
      <c r="W2" s="572" t="str">
        <f>MODULY_CBA!$B20</f>
        <v>CMS</v>
      </c>
      <c r="X2" s="572" t="str">
        <f>MODULY_CBA!$B21</f>
        <v>Správa registratúry</v>
      </c>
      <c r="Y2" s="572">
        <f>MODULY_CBA!$B22</f>
        <v>0</v>
      </c>
      <c r="Z2" s="572">
        <f>MODULY_CBA!$B23</f>
        <v>0</v>
      </c>
    </row>
    <row r="3" spans="1:26" ht="15.75" thickBot="1">
      <c r="A3" s="36" t="s">
        <v>0</v>
      </c>
      <c r="B3" s="70" t="s">
        <v>73</v>
      </c>
      <c r="C3" s="70" t="s">
        <v>72</v>
      </c>
      <c r="D3" s="157" t="s">
        <v>23</v>
      </c>
      <c r="E3" s="17"/>
      <c r="F3" s="17"/>
      <c r="G3" s="17"/>
      <c r="H3" s="17"/>
      <c r="I3" s="17"/>
      <c r="J3" s="17"/>
      <c r="K3" s="17"/>
      <c r="L3" s="17"/>
      <c r="M3" s="17"/>
      <c r="N3" s="17"/>
      <c r="O3" s="17"/>
      <c r="P3" s="17"/>
      <c r="Q3" s="17"/>
      <c r="R3" s="17"/>
      <c r="S3" s="17"/>
      <c r="T3" s="17"/>
      <c r="U3" s="17"/>
      <c r="V3" s="17"/>
      <c r="W3" s="17"/>
      <c r="X3" s="17"/>
      <c r="Y3" s="17"/>
      <c r="Z3" s="17"/>
    </row>
    <row r="4" spans="1:26" ht="15.75" collapsed="1" thickBot="1">
      <c r="A4" s="886" t="s">
        <v>85</v>
      </c>
      <c r="B4" s="886"/>
      <c r="C4" s="886"/>
      <c r="D4" s="589"/>
      <c r="E4" s="72">
        <f t="shared" ref="E4:F4" si="0">SUM(E5:E54)</f>
        <v>0</v>
      </c>
      <c r="F4" s="73">
        <f t="shared" si="0"/>
        <v>0</v>
      </c>
      <c r="G4" s="73">
        <f t="shared" ref="G4:Z4" si="1">SUM(G5:G54)</f>
        <v>0</v>
      </c>
      <c r="H4" s="73">
        <f t="shared" si="1"/>
        <v>0</v>
      </c>
      <c r="I4" s="73">
        <f t="shared" si="1"/>
        <v>0</v>
      </c>
      <c r="J4" s="73">
        <f t="shared" si="1"/>
        <v>0</v>
      </c>
      <c r="K4" s="73">
        <f t="shared" si="1"/>
        <v>0</v>
      </c>
      <c r="L4" s="73">
        <f t="shared" si="1"/>
        <v>0</v>
      </c>
      <c r="M4" s="73">
        <f t="shared" si="1"/>
        <v>0</v>
      </c>
      <c r="N4" s="73">
        <f t="shared" si="1"/>
        <v>0</v>
      </c>
      <c r="O4" s="73">
        <f t="shared" si="1"/>
        <v>0</v>
      </c>
      <c r="P4" s="73">
        <f t="shared" si="1"/>
        <v>0</v>
      </c>
      <c r="Q4" s="73">
        <f t="shared" si="1"/>
        <v>0</v>
      </c>
      <c r="R4" s="73">
        <f t="shared" si="1"/>
        <v>0</v>
      </c>
      <c r="S4" s="73">
        <f t="shared" si="1"/>
        <v>0</v>
      </c>
      <c r="T4" s="73">
        <f t="shared" si="1"/>
        <v>0</v>
      </c>
      <c r="U4" s="73">
        <f t="shared" si="1"/>
        <v>0</v>
      </c>
      <c r="V4" s="73">
        <f t="shared" si="1"/>
        <v>0</v>
      </c>
      <c r="W4" s="73">
        <f t="shared" si="1"/>
        <v>0</v>
      </c>
      <c r="X4" s="73">
        <f t="shared" si="1"/>
        <v>0</v>
      </c>
      <c r="Y4" s="73">
        <f t="shared" si="1"/>
        <v>0</v>
      </c>
      <c r="Z4" s="73">
        <f t="shared" si="1"/>
        <v>0</v>
      </c>
    </row>
    <row r="5" spans="1:26" hidden="1" outlineLevel="1">
      <c r="A5" s="875" t="s">
        <v>87</v>
      </c>
      <c r="B5" s="875" t="s">
        <v>309</v>
      </c>
      <c r="C5" s="876">
        <v>713002</v>
      </c>
      <c r="D5" s="494">
        <v>1</v>
      </c>
      <c r="E5" s="67">
        <f t="shared" ref="E5:E54" si="2">SUM(F5:Z5)</f>
        <v>0</v>
      </c>
      <c r="F5" s="576">
        <f>IFERROR(SUMIFS('Rozpočet - HW a licencie'!$I$3:$I$102,'Rozpočet - HW a licencie'!$A$3:$A$102,'TCO TO BE - HW'!F$2,'Rozpočet - HW a licencie'!$C$3:$C$102,"HW",'Rozpočet - HW a licencie'!$G$3:$G$102,'TCO TO BE - HW'!$D5,'Rozpočet - HW a licencie'!$D$3:$D$102,'TCO TO BE - HW'!$B$5)+SUMIFS('Rozpočet - HW a licencie'!$I$3:$I$102,'Rozpočet - HW a licencie'!$A$3:$A$102,'TCO TO BE - HW'!F$2,'Rozpočet - HW a licencie'!$C$3:$C$102,"SW pre HW",'Rozpočet - HW a licencie'!$G$3:$G$102,'TCO TO BE - HW'!$D5,'Rozpočet - HW a licencie'!$D$3:$D$102,'TCO TO BE - HW'!$B$5),)</f>
        <v>0</v>
      </c>
      <c r="G5" s="576">
        <f>IFERROR(SUMIFS('Rozpočet - HW a licencie'!$I$3:$I$102,'Rozpočet - HW a licencie'!$A$3:$A$102,'TCO TO BE - HW'!G$2,'Rozpočet - HW a licencie'!$C$3:$C$102,"HW",'Rozpočet - HW a licencie'!$G$3:$G$102,'TCO TO BE - HW'!$D5,'Rozpočet - HW a licencie'!$D$3:$D$102,'TCO TO BE - HW'!$B$5)+SUMIFS('Rozpočet - HW a licencie'!$I$3:$I$102,'Rozpočet - HW a licencie'!$A$3:$A$102,'TCO TO BE - HW'!G$2,'Rozpočet - HW a licencie'!$C$3:$C$102,"SW pre HW",'Rozpočet - HW a licencie'!$G$3:$G$102,'TCO TO BE - HW'!$D5,'Rozpočet - HW a licencie'!$D$3:$D$102,'TCO TO BE - HW'!$B$5),)</f>
        <v>0</v>
      </c>
      <c r="H5" s="576">
        <f>IFERROR(SUMIFS('Rozpočet - HW a licencie'!$I$3:$I$102,'Rozpočet - HW a licencie'!$A$3:$A$102,'TCO TO BE - HW'!H$2,'Rozpočet - HW a licencie'!$C$3:$C$102,"HW",'Rozpočet - HW a licencie'!$G$3:$G$102,'TCO TO BE - HW'!$D5,'Rozpočet - HW a licencie'!$D$3:$D$102,'TCO TO BE - HW'!$B$5)+SUMIFS('Rozpočet - HW a licencie'!$I$3:$I$102,'Rozpočet - HW a licencie'!$A$3:$A$102,'TCO TO BE - HW'!H$2,'Rozpočet - HW a licencie'!$C$3:$C$102,"SW pre HW",'Rozpočet - HW a licencie'!$G$3:$G$102,'TCO TO BE - HW'!$D5,'Rozpočet - HW a licencie'!$D$3:$D$102,'TCO TO BE - HW'!$B$5),)</f>
        <v>0</v>
      </c>
      <c r="I5" s="576">
        <f>IFERROR(SUMIFS('Rozpočet - HW a licencie'!$I$3:$I$102,'Rozpočet - HW a licencie'!$A$3:$A$102,'TCO TO BE - HW'!I$2,'Rozpočet - HW a licencie'!$C$3:$C$102,"HW",'Rozpočet - HW a licencie'!$G$3:$G$102,'TCO TO BE - HW'!$D5,'Rozpočet - HW a licencie'!$D$3:$D$102,'TCO TO BE - HW'!$B$5)+SUMIFS('Rozpočet - HW a licencie'!$I$3:$I$102,'Rozpočet - HW a licencie'!$A$3:$A$102,'TCO TO BE - HW'!I$2,'Rozpočet - HW a licencie'!$C$3:$C$102,"SW pre HW",'Rozpočet - HW a licencie'!$G$3:$G$102,'TCO TO BE - HW'!$D5,'Rozpočet - HW a licencie'!$D$3:$D$102,'TCO TO BE - HW'!$B$5),)</f>
        <v>0</v>
      </c>
      <c r="J5" s="576">
        <f>IFERROR(SUMIFS('Rozpočet - HW a licencie'!$I$3:$I$102,'Rozpočet - HW a licencie'!$A$3:$A$102,'TCO TO BE - HW'!J$2,'Rozpočet - HW a licencie'!$C$3:$C$102,"HW",'Rozpočet - HW a licencie'!$G$3:$G$102,'TCO TO BE - HW'!$D5,'Rozpočet - HW a licencie'!$D$3:$D$102,'TCO TO BE - HW'!$B$5)+SUMIFS('Rozpočet - HW a licencie'!$I$3:$I$102,'Rozpočet - HW a licencie'!$A$3:$A$102,'TCO TO BE - HW'!J$2,'Rozpočet - HW a licencie'!$C$3:$C$102,"SW pre HW",'Rozpočet - HW a licencie'!$G$3:$G$102,'TCO TO BE - HW'!$D5,'Rozpočet - HW a licencie'!$D$3:$D$102,'TCO TO BE - HW'!$B$5),)</f>
        <v>0</v>
      </c>
      <c r="K5" s="576">
        <f>IFERROR(SUMIFS('Rozpočet - HW a licencie'!$I$3:$I$102,'Rozpočet - HW a licencie'!$A$3:$A$102,'TCO TO BE - HW'!K$2,'Rozpočet - HW a licencie'!$C$3:$C$102,"HW",'Rozpočet - HW a licencie'!$G$3:$G$102,'TCO TO BE - HW'!$D5,'Rozpočet - HW a licencie'!$D$3:$D$102,'TCO TO BE - HW'!$B$5)+SUMIFS('Rozpočet - HW a licencie'!$I$3:$I$102,'Rozpočet - HW a licencie'!$A$3:$A$102,'TCO TO BE - HW'!K$2,'Rozpočet - HW a licencie'!$C$3:$C$102,"SW pre HW",'Rozpočet - HW a licencie'!$G$3:$G$102,'TCO TO BE - HW'!$D5,'Rozpočet - HW a licencie'!$D$3:$D$102,'TCO TO BE - HW'!$B$5),)</f>
        <v>0</v>
      </c>
      <c r="L5" s="576">
        <f>IFERROR(SUMIFS('Rozpočet - HW a licencie'!$I$3:$I$102,'Rozpočet - HW a licencie'!$A$3:$A$102,'TCO TO BE - HW'!L$2,'Rozpočet - HW a licencie'!$C$3:$C$102,"HW",'Rozpočet - HW a licencie'!$G$3:$G$102,'TCO TO BE - HW'!$D5,'Rozpočet - HW a licencie'!$D$3:$D$102,'TCO TO BE - HW'!$B$5)+SUMIFS('Rozpočet - HW a licencie'!$I$3:$I$102,'Rozpočet - HW a licencie'!$A$3:$A$102,'TCO TO BE - HW'!L$2,'Rozpočet - HW a licencie'!$C$3:$C$102,"SW pre HW",'Rozpočet - HW a licencie'!$G$3:$G$102,'TCO TO BE - HW'!$D5,'Rozpočet - HW a licencie'!$D$3:$D$102,'TCO TO BE - HW'!$B$5),)</f>
        <v>0</v>
      </c>
      <c r="M5" s="576">
        <f>IFERROR(SUMIFS('Rozpočet - HW a licencie'!$I$3:$I$102,'Rozpočet - HW a licencie'!$A$3:$A$102,'TCO TO BE - HW'!M$2,'Rozpočet - HW a licencie'!$C$3:$C$102,"HW",'Rozpočet - HW a licencie'!$G$3:$G$102,'TCO TO BE - HW'!$D5,'Rozpočet - HW a licencie'!$D$3:$D$102,'TCO TO BE - HW'!$B$5)+SUMIFS('Rozpočet - HW a licencie'!$I$3:$I$102,'Rozpočet - HW a licencie'!$A$3:$A$102,'TCO TO BE - HW'!M$2,'Rozpočet - HW a licencie'!$C$3:$C$102,"SW pre HW",'Rozpočet - HW a licencie'!$G$3:$G$102,'TCO TO BE - HW'!$D5,'Rozpočet - HW a licencie'!$D$3:$D$102,'TCO TO BE - HW'!$B$5),)</f>
        <v>0</v>
      </c>
      <c r="N5" s="576">
        <f>IFERROR(SUMIFS('Rozpočet - HW a licencie'!$I$3:$I$102,'Rozpočet - HW a licencie'!$A$3:$A$102,'TCO TO BE - HW'!N$2,'Rozpočet - HW a licencie'!$C$3:$C$102,"HW",'Rozpočet - HW a licencie'!$G$3:$G$102,'TCO TO BE - HW'!$D5,'Rozpočet - HW a licencie'!$D$3:$D$102,'TCO TO BE - HW'!$B$5)+SUMIFS('Rozpočet - HW a licencie'!$I$3:$I$102,'Rozpočet - HW a licencie'!$A$3:$A$102,'TCO TO BE - HW'!N$2,'Rozpočet - HW a licencie'!$C$3:$C$102,"SW pre HW",'Rozpočet - HW a licencie'!$G$3:$G$102,'TCO TO BE - HW'!$D5,'Rozpočet - HW a licencie'!$D$3:$D$102,'TCO TO BE - HW'!$B$5),)</f>
        <v>0</v>
      </c>
      <c r="O5" s="576">
        <f>IFERROR(SUMIFS('Rozpočet - HW a licencie'!$I$3:$I$102,'Rozpočet - HW a licencie'!$A$3:$A$102,'TCO TO BE - HW'!O$2,'Rozpočet - HW a licencie'!$C$3:$C$102,"HW",'Rozpočet - HW a licencie'!$G$3:$G$102,'TCO TO BE - HW'!$D5,'Rozpočet - HW a licencie'!$D$3:$D$102,'TCO TO BE - HW'!$B$5)+SUMIFS('Rozpočet - HW a licencie'!$I$3:$I$102,'Rozpočet - HW a licencie'!$A$3:$A$102,'TCO TO BE - HW'!O$2,'Rozpočet - HW a licencie'!$C$3:$C$102,"SW pre HW",'Rozpočet - HW a licencie'!$G$3:$G$102,'TCO TO BE - HW'!$D5,'Rozpočet - HW a licencie'!$D$3:$D$102,'TCO TO BE - HW'!$B$5),)</f>
        <v>0</v>
      </c>
      <c r="P5" s="576">
        <f>IFERROR(SUMIFS('Rozpočet - HW a licencie'!$I$3:$I$102,'Rozpočet - HW a licencie'!$A$3:$A$102,'TCO TO BE - HW'!P$2,'Rozpočet - HW a licencie'!$C$3:$C$102,"HW",'Rozpočet - HW a licencie'!$G$3:$G$102,'TCO TO BE - HW'!$D5,'Rozpočet - HW a licencie'!$D$3:$D$102,'TCO TO BE - HW'!$B$5)+SUMIFS('Rozpočet - HW a licencie'!$I$3:$I$102,'Rozpočet - HW a licencie'!$A$3:$A$102,'TCO TO BE - HW'!P$2,'Rozpočet - HW a licencie'!$C$3:$C$102,"SW pre HW",'Rozpočet - HW a licencie'!$G$3:$G$102,'TCO TO BE - HW'!$D5,'Rozpočet - HW a licencie'!$D$3:$D$102,'TCO TO BE - HW'!$B$5),)</f>
        <v>0</v>
      </c>
      <c r="Q5" s="576">
        <f>IFERROR(SUMIFS('Rozpočet - HW a licencie'!$I$3:$I$102,'Rozpočet - HW a licencie'!$A$3:$A$102,'TCO TO BE - HW'!Q$2,'Rozpočet - HW a licencie'!$C$3:$C$102,"HW",'Rozpočet - HW a licencie'!$G$3:$G$102,'TCO TO BE - HW'!$D5,'Rozpočet - HW a licencie'!$D$3:$D$102,'TCO TO BE - HW'!$B$5)+SUMIFS('Rozpočet - HW a licencie'!$I$3:$I$102,'Rozpočet - HW a licencie'!$A$3:$A$102,'TCO TO BE - HW'!Q$2,'Rozpočet - HW a licencie'!$C$3:$C$102,"SW pre HW",'Rozpočet - HW a licencie'!$G$3:$G$102,'TCO TO BE - HW'!$D5,'Rozpočet - HW a licencie'!$D$3:$D$102,'TCO TO BE - HW'!$B$5),)</f>
        <v>0</v>
      </c>
      <c r="R5" s="576">
        <f>IFERROR(SUMIFS('Rozpočet - HW a licencie'!$I$3:$I$102,'Rozpočet - HW a licencie'!$A$3:$A$102,'TCO TO BE - HW'!R$2,'Rozpočet - HW a licencie'!$C$3:$C$102,"HW",'Rozpočet - HW a licencie'!$G$3:$G$102,'TCO TO BE - HW'!$D5,'Rozpočet - HW a licencie'!$D$3:$D$102,'TCO TO BE - HW'!$B$5)+SUMIFS('Rozpočet - HW a licencie'!$I$3:$I$102,'Rozpočet - HW a licencie'!$A$3:$A$102,'TCO TO BE - HW'!R$2,'Rozpočet - HW a licencie'!$C$3:$C$102,"SW pre HW",'Rozpočet - HW a licencie'!$G$3:$G$102,'TCO TO BE - HW'!$D5,'Rozpočet - HW a licencie'!$D$3:$D$102,'TCO TO BE - HW'!$B$5),)</f>
        <v>0</v>
      </c>
      <c r="S5" s="576">
        <f>IFERROR(SUMIFS('Rozpočet - HW a licencie'!$I$3:$I$102,'Rozpočet - HW a licencie'!$A$3:$A$102,'TCO TO BE - HW'!S$2,'Rozpočet - HW a licencie'!$C$3:$C$102,"HW",'Rozpočet - HW a licencie'!$G$3:$G$102,'TCO TO BE - HW'!$D5,'Rozpočet - HW a licencie'!$D$3:$D$102,'TCO TO BE - HW'!$B$5)+SUMIFS('Rozpočet - HW a licencie'!$I$3:$I$102,'Rozpočet - HW a licencie'!$A$3:$A$102,'TCO TO BE - HW'!S$2,'Rozpočet - HW a licencie'!$C$3:$C$102,"SW pre HW",'Rozpočet - HW a licencie'!$G$3:$G$102,'TCO TO BE - HW'!$D5,'Rozpočet - HW a licencie'!$D$3:$D$102,'TCO TO BE - HW'!$B$5),)</f>
        <v>0</v>
      </c>
      <c r="T5" s="576">
        <f>IFERROR(SUMIFS('Rozpočet - HW a licencie'!$I$3:$I$102,'Rozpočet - HW a licencie'!$A$3:$A$102,'TCO TO BE - HW'!T$2,'Rozpočet - HW a licencie'!$C$3:$C$102,"HW",'Rozpočet - HW a licencie'!$G$3:$G$102,'TCO TO BE - HW'!$D5,'Rozpočet - HW a licencie'!$D$3:$D$102,'TCO TO BE - HW'!$B$5)+SUMIFS('Rozpočet - HW a licencie'!$I$3:$I$102,'Rozpočet - HW a licencie'!$A$3:$A$102,'TCO TO BE - HW'!T$2,'Rozpočet - HW a licencie'!$C$3:$C$102,"SW pre HW",'Rozpočet - HW a licencie'!$G$3:$G$102,'TCO TO BE - HW'!$D5,'Rozpočet - HW a licencie'!$D$3:$D$102,'TCO TO BE - HW'!$B$5),)</f>
        <v>0</v>
      </c>
      <c r="U5" s="576">
        <f>IFERROR(SUMIFS('Rozpočet - HW a licencie'!$I$3:$I$102,'Rozpočet - HW a licencie'!$A$3:$A$102,'TCO TO BE - HW'!U$2,'Rozpočet - HW a licencie'!$C$3:$C$102,"HW",'Rozpočet - HW a licencie'!$G$3:$G$102,'TCO TO BE - HW'!$D5,'Rozpočet - HW a licencie'!$D$3:$D$102,'TCO TO BE - HW'!$B$5)+SUMIFS('Rozpočet - HW a licencie'!$I$3:$I$102,'Rozpočet - HW a licencie'!$A$3:$A$102,'TCO TO BE - HW'!U$2,'Rozpočet - HW a licencie'!$C$3:$C$102,"SW pre HW",'Rozpočet - HW a licencie'!$G$3:$G$102,'TCO TO BE - HW'!$D5,'Rozpočet - HW a licencie'!$D$3:$D$102,'TCO TO BE - HW'!$B$5),)</f>
        <v>0</v>
      </c>
      <c r="V5" s="576">
        <f>IFERROR(SUMIFS('Rozpočet - HW a licencie'!$I$3:$I$102,'Rozpočet - HW a licencie'!$A$3:$A$102,'TCO TO BE - HW'!V$2,'Rozpočet - HW a licencie'!$C$3:$C$102,"HW",'Rozpočet - HW a licencie'!$G$3:$G$102,'TCO TO BE - HW'!$D5,'Rozpočet - HW a licencie'!$D$3:$D$102,'TCO TO BE - HW'!$B$5)+SUMIFS('Rozpočet - HW a licencie'!$I$3:$I$102,'Rozpočet - HW a licencie'!$A$3:$A$102,'TCO TO BE - HW'!V$2,'Rozpočet - HW a licencie'!$C$3:$C$102,"SW pre HW",'Rozpočet - HW a licencie'!$G$3:$G$102,'TCO TO BE - HW'!$D5,'Rozpočet - HW a licencie'!$D$3:$D$102,'TCO TO BE - HW'!$B$5),)</f>
        <v>0</v>
      </c>
      <c r="W5" s="576">
        <f>IFERROR(SUMIFS('Rozpočet - HW a licencie'!$I$3:$I$102,'Rozpočet - HW a licencie'!$A$3:$A$102,'TCO TO BE - HW'!W$2,'Rozpočet - HW a licencie'!$C$3:$C$102,"HW",'Rozpočet - HW a licencie'!$G$3:$G$102,'TCO TO BE - HW'!$D5,'Rozpočet - HW a licencie'!$D$3:$D$102,'TCO TO BE - HW'!$B$5)+SUMIFS('Rozpočet - HW a licencie'!$I$3:$I$102,'Rozpočet - HW a licencie'!$A$3:$A$102,'TCO TO BE - HW'!W$2,'Rozpočet - HW a licencie'!$C$3:$C$102,"SW pre HW",'Rozpočet - HW a licencie'!$G$3:$G$102,'TCO TO BE - HW'!$D5,'Rozpočet - HW a licencie'!$D$3:$D$102,'TCO TO BE - HW'!$B$5),)</f>
        <v>0</v>
      </c>
      <c r="X5" s="576">
        <f>IFERROR(SUMIFS('Rozpočet - HW a licencie'!$I$3:$I$102,'Rozpočet - HW a licencie'!$A$3:$A$102,'TCO TO BE - HW'!X$2,'Rozpočet - HW a licencie'!$C$3:$C$102,"HW",'Rozpočet - HW a licencie'!$G$3:$G$102,'TCO TO BE - HW'!$D5,'Rozpočet - HW a licencie'!$D$3:$D$102,'TCO TO BE - HW'!$B$5)+SUMIFS('Rozpočet - HW a licencie'!$I$3:$I$102,'Rozpočet - HW a licencie'!$A$3:$A$102,'TCO TO BE - HW'!X$2,'Rozpočet - HW a licencie'!$C$3:$C$102,"SW pre HW",'Rozpočet - HW a licencie'!$G$3:$G$102,'TCO TO BE - HW'!$D5,'Rozpočet - HW a licencie'!$D$3:$D$102,'TCO TO BE - HW'!$B$5),)</f>
        <v>0</v>
      </c>
      <c r="Y5" s="576">
        <f>IFERROR(SUMIFS('Rozpočet - HW a licencie'!$I$3:$I$102,'Rozpočet - HW a licencie'!$A$3:$A$102,'TCO TO BE - HW'!Y$2,'Rozpočet - HW a licencie'!$C$3:$C$102,"HW",'Rozpočet - HW a licencie'!$G$3:$G$102,'TCO TO BE - HW'!$D5,'Rozpočet - HW a licencie'!$D$3:$D$102,'TCO TO BE - HW'!$B$5)+SUMIFS('Rozpočet - HW a licencie'!$I$3:$I$102,'Rozpočet - HW a licencie'!$A$3:$A$102,'TCO TO BE - HW'!Y$2,'Rozpočet - HW a licencie'!$C$3:$C$102,"SW pre HW",'Rozpočet - HW a licencie'!$G$3:$G$102,'TCO TO BE - HW'!$D5,'Rozpočet - HW a licencie'!$D$3:$D$102,'TCO TO BE - HW'!$B$5),)</f>
        <v>0</v>
      </c>
      <c r="Z5" s="576">
        <f>IFERROR(SUMIFS('Rozpočet - HW a licencie'!$I$3:$I$102,'Rozpočet - HW a licencie'!$A$3:$A$102,'TCO TO BE - HW'!Z$2,'Rozpočet - HW a licencie'!$C$3:$C$102,"HW",'Rozpočet - HW a licencie'!$G$3:$G$102,'TCO TO BE - HW'!$D5,'Rozpočet - HW a licencie'!$D$3:$D$102,'TCO TO BE - HW'!$B$5)+SUMIFS('Rozpočet - HW a licencie'!$I$3:$I$102,'Rozpočet - HW a licencie'!$A$3:$A$102,'TCO TO BE - HW'!Z$2,'Rozpočet - HW a licencie'!$C$3:$C$102,"SW pre HW",'Rozpočet - HW a licencie'!$G$3:$G$102,'TCO TO BE - HW'!$D5,'Rozpočet - HW a licencie'!$D$3:$D$102,'TCO TO BE - HW'!$B$5),)</f>
        <v>0</v>
      </c>
    </row>
    <row r="6" spans="1:26" hidden="1" outlineLevel="1">
      <c r="A6" s="875"/>
      <c r="B6" s="876"/>
      <c r="C6" s="876"/>
      <c r="D6" s="495">
        <v>2</v>
      </c>
      <c r="E6" s="68">
        <f t="shared" si="2"/>
        <v>0</v>
      </c>
      <c r="F6" s="576">
        <f>IFERROR(SUMIFS('Rozpočet - HW a licencie'!$I$3:$I$102,'Rozpočet - HW a licencie'!$A$3:$A$102,'TCO TO BE - HW'!F$2,'Rozpočet - HW a licencie'!$C$3:$C$102,"HW",'Rozpočet - HW a licencie'!$G$3:$G$102,'TCO TO BE - HW'!$D6,'Rozpočet - HW a licencie'!$D$3:$D$102,'TCO TO BE - HW'!$B$5)+SUMIFS('Rozpočet - HW a licencie'!$I$3:$I$102,'Rozpočet - HW a licencie'!$A$3:$A$102,'TCO TO BE - HW'!F$2,'Rozpočet - HW a licencie'!$C$3:$C$102,"SW pre HW",'Rozpočet - HW a licencie'!$G$3:$G$102,'TCO TO BE - HW'!$D6,'Rozpočet - HW a licencie'!$D$3:$D$102,'TCO TO BE - HW'!$B$5),)</f>
        <v>0</v>
      </c>
      <c r="G6" s="576">
        <f>IFERROR(SUMIFS('Rozpočet - HW a licencie'!$I$3:$I$102,'Rozpočet - HW a licencie'!$A$3:$A$102,'TCO TO BE - HW'!G$2,'Rozpočet - HW a licencie'!$C$3:$C$102,"HW",'Rozpočet - HW a licencie'!$G$3:$G$102,'TCO TO BE - HW'!$D6,'Rozpočet - HW a licencie'!$D$3:$D$102,'TCO TO BE - HW'!$B$5)+SUMIFS('Rozpočet - HW a licencie'!$I$3:$I$102,'Rozpočet - HW a licencie'!$A$3:$A$102,'TCO TO BE - HW'!G$2,'Rozpočet - HW a licencie'!$C$3:$C$102,"SW pre HW",'Rozpočet - HW a licencie'!$G$3:$G$102,'TCO TO BE - HW'!$D6,'Rozpočet - HW a licencie'!$D$3:$D$102,'TCO TO BE - HW'!$B$5),)</f>
        <v>0</v>
      </c>
      <c r="H6" s="576">
        <f>IFERROR(SUMIFS('Rozpočet - HW a licencie'!$I$3:$I$102,'Rozpočet - HW a licencie'!$A$3:$A$102,'TCO TO BE - HW'!H$2,'Rozpočet - HW a licencie'!$C$3:$C$102,"HW",'Rozpočet - HW a licencie'!$G$3:$G$102,'TCO TO BE - HW'!$D6,'Rozpočet - HW a licencie'!$D$3:$D$102,'TCO TO BE - HW'!$B$5)+SUMIFS('Rozpočet - HW a licencie'!$I$3:$I$102,'Rozpočet - HW a licencie'!$A$3:$A$102,'TCO TO BE - HW'!H$2,'Rozpočet - HW a licencie'!$C$3:$C$102,"SW pre HW",'Rozpočet - HW a licencie'!$G$3:$G$102,'TCO TO BE - HW'!$D6,'Rozpočet - HW a licencie'!$D$3:$D$102,'TCO TO BE - HW'!$B$5),)</f>
        <v>0</v>
      </c>
      <c r="I6" s="576">
        <f>IFERROR(SUMIFS('Rozpočet - HW a licencie'!$I$3:$I$102,'Rozpočet - HW a licencie'!$A$3:$A$102,'TCO TO BE - HW'!I$2,'Rozpočet - HW a licencie'!$C$3:$C$102,"HW",'Rozpočet - HW a licencie'!$G$3:$G$102,'TCO TO BE - HW'!$D6,'Rozpočet - HW a licencie'!$D$3:$D$102,'TCO TO BE - HW'!$B$5)+SUMIFS('Rozpočet - HW a licencie'!$I$3:$I$102,'Rozpočet - HW a licencie'!$A$3:$A$102,'TCO TO BE - HW'!I$2,'Rozpočet - HW a licencie'!$C$3:$C$102,"SW pre HW",'Rozpočet - HW a licencie'!$G$3:$G$102,'TCO TO BE - HW'!$D6,'Rozpočet - HW a licencie'!$D$3:$D$102,'TCO TO BE - HW'!$B$5),)</f>
        <v>0</v>
      </c>
      <c r="J6" s="576">
        <f>IFERROR(SUMIFS('Rozpočet - HW a licencie'!$I$3:$I$102,'Rozpočet - HW a licencie'!$A$3:$A$102,'TCO TO BE - HW'!J$2,'Rozpočet - HW a licencie'!$C$3:$C$102,"HW",'Rozpočet - HW a licencie'!$G$3:$G$102,'TCO TO BE - HW'!$D6,'Rozpočet - HW a licencie'!$D$3:$D$102,'TCO TO BE - HW'!$B$5)+SUMIFS('Rozpočet - HW a licencie'!$I$3:$I$102,'Rozpočet - HW a licencie'!$A$3:$A$102,'TCO TO BE - HW'!J$2,'Rozpočet - HW a licencie'!$C$3:$C$102,"SW pre HW",'Rozpočet - HW a licencie'!$G$3:$G$102,'TCO TO BE - HW'!$D6,'Rozpočet - HW a licencie'!$D$3:$D$102,'TCO TO BE - HW'!$B$5),)</f>
        <v>0</v>
      </c>
      <c r="K6" s="576">
        <f>IFERROR(SUMIFS('Rozpočet - HW a licencie'!$I$3:$I$102,'Rozpočet - HW a licencie'!$A$3:$A$102,'TCO TO BE - HW'!K$2,'Rozpočet - HW a licencie'!$C$3:$C$102,"HW",'Rozpočet - HW a licencie'!$G$3:$G$102,'TCO TO BE - HW'!$D6,'Rozpočet - HW a licencie'!$D$3:$D$102,'TCO TO BE - HW'!$B$5)+SUMIFS('Rozpočet - HW a licencie'!$I$3:$I$102,'Rozpočet - HW a licencie'!$A$3:$A$102,'TCO TO BE - HW'!K$2,'Rozpočet - HW a licencie'!$C$3:$C$102,"SW pre HW",'Rozpočet - HW a licencie'!$G$3:$G$102,'TCO TO BE - HW'!$D6,'Rozpočet - HW a licencie'!$D$3:$D$102,'TCO TO BE - HW'!$B$5),)</f>
        <v>0</v>
      </c>
      <c r="L6" s="576">
        <f>IFERROR(SUMIFS('Rozpočet - HW a licencie'!$I$3:$I$102,'Rozpočet - HW a licencie'!$A$3:$A$102,'TCO TO BE - HW'!L$2,'Rozpočet - HW a licencie'!$C$3:$C$102,"HW",'Rozpočet - HW a licencie'!$G$3:$G$102,'TCO TO BE - HW'!$D6,'Rozpočet - HW a licencie'!$D$3:$D$102,'TCO TO BE - HW'!$B$5)+SUMIFS('Rozpočet - HW a licencie'!$I$3:$I$102,'Rozpočet - HW a licencie'!$A$3:$A$102,'TCO TO BE - HW'!L$2,'Rozpočet - HW a licencie'!$C$3:$C$102,"SW pre HW",'Rozpočet - HW a licencie'!$G$3:$G$102,'TCO TO BE - HW'!$D6,'Rozpočet - HW a licencie'!$D$3:$D$102,'TCO TO BE - HW'!$B$5),)</f>
        <v>0</v>
      </c>
      <c r="M6" s="576">
        <f>IFERROR(SUMIFS('Rozpočet - HW a licencie'!$I$3:$I$102,'Rozpočet - HW a licencie'!$A$3:$A$102,'TCO TO BE - HW'!M$2,'Rozpočet - HW a licencie'!$C$3:$C$102,"HW",'Rozpočet - HW a licencie'!$G$3:$G$102,'TCO TO BE - HW'!$D6,'Rozpočet - HW a licencie'!$D$3:$D$102,'TCO TO BE - HW'!$B$5)+SUMIFS('Rozpočet - HW a licencie'!$I$3:$I$102,'Rozpočet - HW a licencie'!$A$3:$A$102,'TCO TO BE - HW'!M$2,'Rozpočet - HW a licencie'!$C$3:$C$102,"SW pre HW",'Rozpočet - HW a licencie'!$G$3:$G$102,'TCO TO BE - HW'!$D6,'Rozpočet - HW a licencie'!$D$3:$D$102,'TCO TO BE - HW'!$B$5),)</f>
        <v>0</v>
      </c>
      <c r="N6" s="576">
        <f>IFERROR(SUMIFS('Rozpočet - HW a licencie'!$I$3:$I$102,'Rozpočet - HW a licencie'!$A$3:$A$102,'TCO TO BE - HW'!N$2,'Rozpočet - HW a licencie'!$C$3:$C$102,"HW",'Rozpočet - HW a licencie'!$G$3:$G$102,'TCO TO BE - HW'!$D6,'Rozpočet - HW a licencie'!$D$3:$D$102,'TCO TO BE - HW'!$B$5)+SUMIFS('Rozpočet - HW a licencie'!$I$3:$I$102,'Rozpočet - HW a licencie'!$A$3:$A$102,'TCO TO BE - HW'!N$2,'Rozpočet - HW a licencie'!$C$3:$C$102,"SW pre HW",'Rozpočet - HW a licencie'!$G$3:$G$102,'TCO TO BE - HW'!$D6,'Rozpočet - HW a licencie'!$D$3:$D$102,'TCO TO BE - HW'!$B$5),)</f>
        <v>0</v>
      </c>
      <c r="O6" s="576">
        <f>IFERROR(SUMIFS('Rozpočet - HW a licencie'!$I$3:$I$102,'Rozpočet - HW a licencie'!$A$3:$A$102,'TCO TO BE - HW'!O$2,'Rozpočet - HW a licencie'!$C$3:$C$102,"HW",'Rozpočet - HW a licencie'!$G$3:$G$102,'TCO TO BE - HW'!$D6,'Rozpočet - HW a licencie'!$D$3:$D$102,'TCO TO BE - HW'!$B$5)+SUMIFS('Rozpočet - HW a licencie'!$I$3:$I$102,'Rozpočet - HW a licencie'!$A$3:$A$102,'TCO TO BE - HW'!O$2,'Rozpočet - HW a licencie'!$C$3:$C$102,"SW pre HW",'Rozpočet - HW a licencie'!$G$3:$G$102,'TCO TO BE - HW'!$D6,'Rozpočet - HW a licencie'!$D$3:$D$102,'TCO TO BE - HW'!$B$5),)</f>
        <v>0</v>
      </c>
      <c r="P6" s="576">
        <f>IFERROR(SUMIFS('Rozpočet - HW a licencie'!$I$3:$I$102,'Rozpočet - HW a licencie'!$A$3:$A$102,'TCO TO BE - HW'!P$2,'Rozpočet - HW a licencie'!$C$3:$C$102,"HW",'Rozpočet - HW a licencie'!$G$3:$G$102,'TCO TO BE - HW'!$D6,'Rozpočet - HW a licencie'!$D$3:$D$102,'TCO TO BE - HW'!$B$5)+SUMIFS('Rozpočet - HW a licencie'!$I$3:$I$102,'Rozpočet - HW a licencie'!$A$3:$A$102,'TCO TO BE - HW'!P$2,'Rozpočet - HW a licencie'!$C$3:$C$102,"SW pre HW",'Rozpočet - HW a licencie'!$G$3:$G$102,'TCO TO BE - HW'!$D6,'Rozpočet - HW a licencie'!$D$3:$D$102,'TCO TO BE - HW'!$B$5),)</f>
        <v>0</v>
      </c>
      <c r="Q6" s="576">
        <f>IFERROR(SUMIFS('Rozpočet - HW a licencie'!$I$3:$I$102,'Rozpočet - HW a licencie'!$A$3:$A$102,'TCO TO BE - HW'!Q$2,'Rozpočet - HW a licencie'!$C$3:$C$102,"HW",'Rozpočet - HW a licencie'!$G$3:$G$102,'TCO TO BE - HW'!$D6,'Rozpočet - HW a licencie'!$D$3:$D$102,'TCO TO BE - HW'!$B$5)+SUMIFS('Rozpočet - HW a licencie'!$I$3:$I$102,'Rozpočet - HW a licencie'!$A$3:$A$102,'TCO TO BE - HW'!Q$2,'Rozpočet - HW a licencie'!$C$3:$C$102,"SW pre HW",'Rozpočet - HW a licencie'!$G$3:$G$102,'TCO TO BE - HW'!$D6,'Rozpočet - HW a licencie'!$D$3:$D$102,'TCO TO BE - HW'!$B$5),)</f>
        <v>0</v>
      </c>
      <c r="R6" s="576">
        <f>IFERROR(SUMIFS('Rozpočet - HW a licencie'!$I$3:$I$102,'Rozpočet - HW a licencie'!$A$3:$A$102,'TCO TO BE - HW'!R$2,'Rozpočet - HW a licencie'!$C$3:$C$102,"HW",'Rozpočet - HW a licencie'!$G$3:$G$102,'TCO TO BE - HW'!$D6,'Rozpočet - HW a licencie'!$D$3:$D$102,'TCO TO BE - HW'!$B$5)+SUMIFS('Rozpočet - HW a licencie'!$I$3:$I$102,'Rozpočet - HW a licencie'!$A$3:$A$102,'TCO TO BE - HW'!R$2,'Rozpočet - HW a licencie'!$C$3:$C$102,"SW pre HW",'Rozpočet - HW a licencie'!$G$3:$G$102,'TCO TO BE - HW'!$D6,'Rozpočet - HW a licencie'!$D$3:$D$102,'TCO TO BE - HW'!$B$5),)</f>
        <v>0</v>
      </c>
      <c r="S6" s="576">
        <f>IFERROR(SUMIFS('Rozpočet - HW a licencie'!$I$3:$I$102,'Rozpočet - HW a licencie'!$A$3:$A$102,'TCO TO BE - HW'!S$2,'Rozpočet - HW a licencie'!$C$3:$C$102,"HW",'Rozpočet - HW a licencie'!$G$3:$G$102,'TCO TO BE - HW'!$D6,'Rozpočet - HW a licencie'!$D$3:$D$102,'TCO TO BE - HW'!$B$5)+SUMIFS('Rozpočet - HW a licencie'!$I$3:$I$102,'Rozpočet - HW a licencie'!$A$3:$A$102,'TCO TO BE - HW'!S$2,'Rozpočet - HW a licencie'!$C$3:$C$102,"SW pre HW",'Rozpočet - HW a licencie'!$G$3:$G$102,'TCO TO BE - HW'!$D6,'Rozpočet - HW a licencie'!$D$3:$D$102,'TCO TO BE - HW'!$B$5),)</f>
        <v>0</v>
      </c>
      <c r="T6" s="576">
        <f>IFERROR(SUMIFS('Rozpočet - HW a licencie'!$I$3:$I$102,'Rozpočet - HW a licencie'!$A$3:$A$102,'TCO TO BE - HW'!T$2,'Rozpočet - HW a licencie'!$C$3:$C$102,"HW",'Rozpočet - HW a licencie'!$G$3:$G$102,'TCO TO BE - HW'!$D6,'Rozpočet - HW a licencie'!$D$3:$D$102,'TCO TO BE - HW'!$B$5)+SUMIFS('Rozpočet - HW a licencie'!$I$3:$I$102,'Rozpočet - HW a licencie'!$A$3:$A$102,'TCO TO BE - HW'!T$2,'Rozpočet - HW a licencie'!$C$3:$C$102,"SW pre HW",'Rozpočet - HW a licencie'!$G$3:$G$102,'TCO TO BE - HW'!$D6,'Rozpočet - HW a licencie'!$D$3:$D$102,'TCO TO BE - HW'!$B$5),)</f>
        <v>0</v>
      </c>
      <c r="U6" s="576">
        <f>IFERROR(SUMIFS('Rozpočet - HW a licencie'!$I$3:$I$102,'Rozpočet - HW a licencie'!$A$3:$A$102,'TCO TO BE - HW'!U$2,'Rozpočet - HW a licencie'!$C$3:$C$102,"HW",'Rozpočet - HW a licencie'!$G$3:$G$102,'TCO TO BE - HW'!$D6,'Rozpočet - HW a licencie'!$D$3:$D$102,'TCO TO BE - HW'!$B$5)+SUMIFS('Rozpočet - HW a licencie'!$I$3:$I$102,'Rozpočet - HW a licencie'!$A$3:$A$102,'TCO TO BE - HW'!U$2,'Rozpočet - HW a licencie'!$C$3:$C$102,"SW pre HW",'Rozpočet - HW a licencie'!$G$3:$G$102,'TCO TO BE - HW'!$D6,'Rozpočet - HW a licencie'!$D$3:$D$102,'TCO TO BE - HW'!$B$5),)</f>
        <v>0</v>
      </c>
      <c r="V6" s="576">
        <f>IFERROR(SUMIFS('Rozpočet - HW a licencie'!$I$3:$I$102,'Rozpočet - HW a licencie'!$A$3:$A$102,'TCO TO BE - HW'!V$2,'Rozpočet - HW a licencie'!$C$3:$C$102,"HW",'Rozpočet - HW a licencie'!$G$3:$G$102,'TCO TO BE - HW'!$D6,'Rozpočet - HW a licencie'!$D$3:$D$102,'TCO TO BE - HW'!$B$5)+SUMIFS('Rozpočet - HW a licencie'!$I$3:$I$102,'Rozpočet - HW a licencie'!$A$3:$A$102,'TCO TO BE - HW'!V$2,'Rozpočet - HW a licencie'!$C$3:$C$102,"SW pre HW",'Rozpočet - HW a licencie'!$G$3:$G$102,'TCO TO BE - HW'!$D6,'Rozpočet - HW a licencie'!$D$3:$D$102,'TCO TO BE - HW'!$B$5),)</f>
        <v>0</v>
      </c>
      <c r="W6" s="576">
        <f>IFERROR(SUMIFS('Rozpočet - HW a licencie'!$I$3:$I$102,'Rozpočet - HW a licencie'!$A$3:$A$102,'TCO TO BE - HW'!W$2,'Rozpočet - HW a licencie'!$C$3:$C$102,"HW",'Rozpočet - HW a licencie'!$G$3:$G$102,'TCO TO BE - HW'!$D6,'Rozpočet - HW a licencie'!$D$3:$D$102,'TCO TO BE - HW'!$B$5)+SUMIFS('Rozpočet - HW a licencie'!$I$3:$I$102,'Rozpočet - HW a licencie'!$A$3:$A$102,'TCO TO BE - HW'!W$2,'Rozpočet - HW a licencie'!$C$3:$C$102,"SW pre HW",'Rozpočet - HW a licencie'!$G$3:$G$102,'TCO TO BE - HW'!$D6,'Rozpočet - HW a licencie'!$D$3:$D$102,'TCO TO BE - HW'!$B$5),)</f>
        <v>0</v>
      </c>
      <c r="X6" s="576">
        <f>IFERROR(SUMIFS('Rozpočet - HW a licencie'!$I$3:$I$102,'Rozpočet - HW a licencie'!$A$3:$A$102,'TCO TO BE - HW'!X$2,'Rozpočet - HW a licencie'!$C$3:$C$102,"HW",'Rozpočet - HW a licencie'!$G$3:$G$102,'TCO TO BE - HW'!$D6,'Rozpočet - HW a licencie'!$D$3:$D$102,'TCO TO BE - HW'!$B$5)+SUMIFS('Rozpočet - HW a licencie'!$I$3:$I$102,'Rozpočet - HW a licencie'!$A$3:$A$102,'TCO TO BE - HW'!X$2,'Rozpočet - HW a licencie'!$C$3:$C$102,"SW pre HW",'Rozpočet - HW a licencie'!$G$3:$G$102,'TCO TO BE - HW'!$D6,'Rozpočet - HW a licencie'!$D$3:$D$102,'TCO TO BE - HW'!$B$5),)</f>
        <v>0</v>
      </c>
      <c r="Y6" s="576">
        <f>IFERROR(SUMIFS('Rozpočet - HW a licencie'!$I$3:$I$102,'Rozpočet - HW a licencie'!$A$3:$A$102,'TCO TO BE - HW'!Y$2,'Rozpočet - HW a licencie'!$C$3:$C$102,"HW",'Rozpočet - HW a licencie'!$G$3:$G$102,'TCO TO BE - HW'!$D6,'Rozpočet - HW a licencie'!$D$3:$D$102,'TCO TO BE - HW'!$B$5)+SUMIFS('Rozpočet - HW a licencie'!$I$3:$I$102,'Rozpočet - HW a licencie'!$A$3:$A$102,'TCO TO BE - HW'!Y$2,'Rozpočet - HW a licencie'!$C$3:$C$102,"SW pre HW",'Rozpočet - HW a licencie'!$G$3:$G$102,'TCO TO BE - HW'!$D6,'Rozpočet - HW a licencie'!$D$3:$D$102,'TCO TO BE - HW'!$B$5),)</f>
        <v>0</v>
      </c>
      <c r="Z6" s="576">
        <f>IFERROR(SUMIFS('Rozpočet - HW a licencie'!$I$3:$I$102,'Rozpočet - HW a licencie'!$A$3:$A$102,'TCO TO BE - HW'!Z$2,'Rozpočet - HW a licencie'!$C$3:$C$102,"HW",'Rozpočet - HW a licencie'!$G$3:$G$102,'TCO TO BE - HW'!$D6,'Rozpočet - HW a licencie'!$D$3:$D$102,'TCO TO BE - HW'!$B$5)+SUMIFS('Rozpočet - HW a licencie'!$I$3:$I$102,'Rozpočet - HW a licencie'!$A$3:$A$102,'TCO TO BE - HW'!Z$2,'Rozpočet - HW a licencie'!$C$3:$C$102,"SW pre HW",'Rozpočet - HW a licencie'!$G$3:$G$102,'TCO TO BE - HW'!$D6,'Rozpočet - HW a licencie'!$D$3:$D$102,'TCO TO BE - HW'!$B$5),)</f>
        <v>0</v>
      </c>
    </row>
    <row r="7" spans="1:26" hidden="1" outlineLevel="1">
      <c r="A7" s="875"/>
      <c r="B7" s="876"/>
      <c r="C7" s="876"/>
      <c r="D7" s="495">
        <v>3</v>
      </c>
      <c r="E7" s="68">
        <f t="shared" si="2"/>
        <v>0</v>
      </c>
      <c r="F7" s="576">
        <f>IFERROR(SUMIFS('Rozpočet - HW a licencie'!$I$3:$I$102,'Rozpočet - HW a licencie'!$A$3:$A$102,'TCO TO BE - HW'!F$2,'Rozpočet - HW a licencie'!$C$3:$C$102,"HW",'Rozpočet - HW a licencie'!$G$3:$G$102,'TCO TO BE - HW'!$D7,'Rozpočet - HW a licencie'!$D$3:$D$102,'TCO TO BE - HW'!$B$5)+SUMIFS('Rozpočet - HW a licencie'!$I$3:$I$102,'Rozpočet - HW a licencie'!$A$3:$A$102,'TCO TO BE - HW'!F$2,'Rozpočet - HW a licencie'!$C$3:$C$102,"SW pre HW",'Rozpočet - HW a licencie'!$G$3:$G$102,'TCO TO BE - HW'!$D7,'Rozpočet - HW a licencie'!$D$3:$D$102,'TCO TO BE - HW'!$B$5),)</f>
        <v>0</v>
      </c>
      <c r="G7" s="576">
        <f>IFERROR(SUMIFS('Rozpočet - HW a licencie'!$I$3:$I$102,'Rozpočet - HW a licencie'!$A$3:$A$102,'TCO TO BE - HW'!G$2,'Rozpočet - HW a licencie'!$C$3:$C$102,"HW",'Rozpočet - HW a licencie'!$G$3:$G$102,'TCO TO BE - HW'!$D7,'Rozpočet - HW a licencie'!$D$3:$D$102,'TCO TO BE - HW'!$B$5)+SUMIFS('Rozpočet - HW a licencie'!$I$3:$I$102,'Rozpočet - HW a licencie'!$A$3:$A$102,'TCO TO BE - HW'!G$2,'Rozpočet - HW a licencie'!$C$3:$C$102,"SW pre HW",'Rozpočet - HW a licencie'!$G$3:$G$102,'TCO TO BE - HW'!$D7,'Rozpočet - HW a licencie'!$D$3:$D$102,'TCO TO BE - HW'!$B$5),)</f>
        <v>0</v>
      </c>
      <c r="H7" s="576">
        <f>IFERROR(SUMIFS('Rozpočet - HW a licencie'!$I$3:$I$102,'Rozpočet - HW a licencie'!$A$3:$A$102,'TCO TO BE - HW'!H$2,'Rozpočet - HW a licencie'!$C$3:$C$102,"HW",'Rozpočet - HW a licencie'!$G$3:$G$102,'TCO TO BE - HW'!$D7,'Rozpočet - HW a licencie'!$D$3:$D$102,'TCO TO BE - HW'!$B$5)+SUMIFS('Rozpočet - HW a licencie'!$I$3:$I$102,'Rozpočet - HW a licencie'!$A$3:$A$102,'TCO TO BE - HW'!H$2,'Rozpočet - HW a licencie'!$C$3:$C$102,"SW pre HW",'Rozpočet - HW a licencie'!$G$3:$G$102,'TCO TO BE - HW'!$D7,'Rozpočet - HW a licencie'!$D$3:$D$102,'TCO TO BE - HW'!$B$5),)</f>
        <v>0</v>
      </c>
      <c r="I7" s="576">
        <f>IFERROR(SUMIFS('Rozpočet - HW a licencie'!$I$3:$I$102,'Rozpočet - HW a licencie'!$A$3:$A$102,'TCO TO BE - HW'!I$2,'Rozpočet - HW a licencie'!$C$3:$C$102,"HW",'Rozpočet - HW a licencie'!$G$3:$G$102,'TCO TO BE - HW'!$D7,'Rozpočet - HW a licencie'!$D$3:$D$102,'TCO TO BE - HW'!$B$5)+SUMIFS('Rozpočet - HW a licencie'!$I$3:$I$102,'Rozpočet - HW a licencie'!$A$3:$A$102,'TCO TO BE - HW'!I$2,'Rozpočet - HW a licencie'!$C$3:$C$102,"SW pre HW",'Rozpočet - HW a licencie'!$G$3:$G$102,'TCO TO BE - HW'!$D7,'Rozpočet - HW a licencie'!$D$3:$D$102,'TCO TO BE - HW'!$B$5),)</f>
        <v>0</v>
      </c>
      <c r="J7" s="576">
        <f>IFERROR(SUMIFS('Rozpočet - HW a licencie'!$I$3:$I$102,'Rozpočet - HW a licencie'!$A$3:$A$102,'TCO TO BE - HW'!J$2,'Rozpočet - HW a licencie'!$C$3:$C$102,"HW",'Rozpočet - HW a licencie'!$G$3:$G$102,'TCO TO BE - HW'!$D7,'Rozpočet - HW a licencie'!$D$3:$D$102,'TCO TO BE - HW'!$B$5)+SUMIFS('Rozpočet - HW a licencie'!$I$3:$I$102,'Rozpočet - HW a licencie'!$A$3:$A$102,'TCO TO BE - HW'!J$2,'Rozpočet - HW a licencie'!$C$3:$C$102,"SW pre HW",'Rozpočet - HW a licencie'!$G$3:$G$102,'TCO TO BE - HW'!$D7,'Rozpočet - HW a licencie'!$D$3:$D$102,'TCO TO BE - HW'!$B$5),)</f>
        <v>0</v>
      </c>
      <c r="K7" s="576">
        <f>IFERROR(SUMIFS('Rozpočet - HW a licencie'!$I$3:$I$102,'Rozpočet - HW a licencie'!$A$3:$A$102,'TCO TO BE - HW'!K$2,'Rozpočet - HW a licencie'!$C$3:$C$102,"HW",'Rozpočet - HW a licencie'!$G$3:$G$102,'TCO TO BE - HW'!$D7,'Rozpočet - HW a licencie'!$D$3:$D$102,'TCO TO BE - HW'!$B$5)+SUMIFS('Rozpočet - HW a licencie'!$I$3:$I$102,'Rozpočet - HW a licencie'!$A$3:$A$102,'TCO TO BE - HW'!K$2,'Rozpočet - HW a licencie'!$C$3:$C$102,"SW pre HW",'Rozpočet - HW a licencie'!$G$3:$G$102,'TCO TO BE - HW'!$D7,'Rozpočet - HW a licencie'!$D$3:$D$102,'TCO TO BE - HW'!$B$5),)</f>
        <v>0</v>
      </c>
      <c r="L7" s="576">
        <f>IFERROR(SUMIFS('Rozpočet - HW a licencie'!$I$3:$I$102,'Rozpočet - HW a licencie'!$A$3:$A$102,'TCO TO BE - HW'!L$2,'Rozpočet - HW a licencie'!$C$3:$C$102,"HW",'Rozpočet - HW a licencie'!$G$3:$G$102,'TCO TO BE - HW'!$D7,'Rozpočet - HW a licencie'!$D$3:$D$102,'TCO TO BE - HW'!$B$5)+SUMIFS('Rozpočet - HW a licencie'!$I$3:$I$102,'Rozpočet - HW a licencie'!$A$3:$A$102,'TCO TO BE - HW'!L$2,'Rozpočet - HW a licencie'!$C$3:$C$102,"SW pre HW",'Rozpočet - HW a licencie'!$G$3:$G$102,'TCO TO BE - HW'!$D7,'Rozpočet - HW a licencie'!$D$3:$D$102,'TCO TO BE - HW'!$B$5),)</f>
        <v>0</v>
      </c>
      <c r="M7" s="576">
        <f>IFERROR(SUMIFS('Rozpočet - HW a licencie'!$I$3:$I$102,'Rozpočet - HW a licencie'!$A$3:$A$102,'TCO TO BE - HW'!M$2,'Rozpočet - HW a licencie'!$C$3:$C$102,"HW",'Rozpočet - HW a licencie'!$G$3:$G$102,'TCO TO BE - HW'!$D7,'Rozpočet - HW a licencie'!$D$3:$D$102,'TCO TO BE - HW'!$B$5)+SUMIFS('Rozpočet - HW a licencie'!$I$3:$I$102,'Rozpočet - HW a licencie'!$A$3:$A$102,'TCO TO BE - HW'!M$2,'Rozpočet - HW a licencie'!$C$3:$C$102,"SW pre HW",'Rozpočet - HW a licencie'!$G$3:$G$102,'TCO TO BE - HW'!$D7,'Rozpočet - HW a licencie'!$D$3:$D$102,'TCO TO BE - HW'!$B$5),)</f>
        <v>0</v>
      </c>
      <c r="N7" s="576">
        <f>IFERROR(SUMIFS('Rozpočet - HW a licencie'!$I$3:$I$102,'Rozpočet - HW a licencie'!$A$3:$A$102,'TCO TO BE - HW'!N$2,'Rozpočet - HW a licencie'!$C$3:$C$102,"HW",'Rozpočet - HW a licencie'!$G$3:$G$102,'TCO TO BE - HW'!$D7,'Rozpočet - HW a licencie'!$D$3:$D$102,'TCO TO BE - HW'!$B$5)+SUMIFS('Rozpočet - HW a licencie'!$I$3:$I$102,'Rozpočet - HW a licencie'!$A$3:$A$102,'TCO TO BE - HW'!N$2,'Rozpočet - HW a licencie'!$C$3:$C$102,"SW pre HW",'Rozpočet - HW a licencie'!$G$3:$G$102,'TCO TO BE - HW'!$D7,'Rozpočet - HW a licencie'!$D$3:$D$102,'TCO TO BE - HW'!$B$5),)</f>
        <v>0</v>
      </c>
      <c r="O7" s="576">
        <f>IFERROR(SUMIFS('Rozpočet - HW a licencie'!$I$3:$I$102,'Rozpočet - HW a licencie'!$A$3:$A$102,'TCO TO BE - HW'!O$2,'Rozpočet - HW a licencie'!$C$3:$C$102,"HW",'Rozpočet - HW a licencie'!$G$3:$G$102,'TCO TO BE - HW'!$D7,'Rozpočet - HW a licencie'!$D$3:$D$102,'TCO TO BE - HW'!$B$5)+SUMIFS('Rozpočet - HW a licencie'!$I$3:$I$102,'Rozpočet - HW a licencie'!$A$3:$A$102,'TCO TO BE - HW'!O$2,'Rozpočet - HW a licencie'!$C$3:$C$102,"SW pre HW",'Rozpočet - HW a licencie'!$G$3:$G$102,'TCO TO BE - HW'!$D7,'Rozpočet - HW a licencie'!$D$3:$D$102,'TCO TO BE - HW'!$B$5),)</f>
        <v>0</v>
      </c>
      <c r="P7" s="576">
        <f>IFERROR(SUMIFS('Rozpočet - HW a licencie'!$I$3:$I$102,'Rozpočet - HW a licencie'!$A$3:$A$102,'TCO TO BE - HW'!P$2,'Rozpočet - HW a licencie'!$C$3:$C$102,"HW",'Rozpočet - HW a licencie'!$G$3:$G$102,'TCO TO BE - HW'!$D7,'Rozpočet - HW a licencie'!$D$3:$D$102,'TCO TO BE - HW'!$B$5)+SUMIFS('Rozpočet - HW a licencie'!$I$3:$I$102,'Rozpočet - HW a licencie'!$A$3:$A$102,'TCO TO BE - HW'!P$2,'Rozpočet - HW a licencie'!$C$3:$C$102,"SW pre HW",'Rozpočet - HW a licencie'!$G$3:$G$102,'TCO TO BE - HW'!$D7,'Rozpočet - HW a licencie'!$D$3:$D$102,'TCO TO BE - HW'!$B$5),)</f>
        <v>0</v>
      </c>
      <c r="Q7" s="576">
        <f>IFERROR(SUMIFS('Rozpočet - HW a licencie'!$I$3:$I$102,'Rozpočet - HW a licencie'!$A$3:$A$102,'TCO TO BE - HW'!Q$2,'Rozpočet - HW a licencie'!$C$3:$C$102,"HW",'Rozpočet - HW a licencie'!$G$3:$G$102,'TCO TO BE - HW'!$D7,'Rozpočet - HW a licencie'!$D$3:$D$102,'TCO TO BE - HW'!$B$5)+SUMIFS('Rozpočet - HW a licencie'!$I$3:$I$102,'Rozpočet - HW a licencie'!$A$3:$A$102,'TCO TO BE - HW'!Q$2,'Rozpočet - HW a licencie'!$C$3:$C$102,"SW pre HW",'Rozpočet - HW a licencie'!$G$3:$G$102,'TCO TO BE - HW'!$D7,'Rozpočet - HW a licencie'!$D$3:$D$102,'TCO TO BE - HW'!$B$5),)</f>
        <v>0</v>
      </c>
      <c r="R7" s="576">
        <f>IFERROR(SUMIFS('Rozpočet - HW a licencie'!$I$3:$I$102,'Rozpočet - HW a licencie'!$A$3:$A$102,'TCO TO BE - HW'!R$2,'Rozpočet - HW a licencie'!$C$3:$C$102,"HW",'Rozpočet - HW a licencie'!$G$3:$G$102,'TCO TO BE - HW'!$D7,'Rozpočet - HW a licencie'!$D$3:$D$102,'TCO TO BE - HW'!$B$5)+SUMIFS('Rozpočet - HW a licencie'!$I$3:$I$102,'Rozpočet - HW a licencie'!$A$3:$A$102,'TCO TO BE - HW'!R$2,'Rozpočet - HW a licencie'!$C$3:$C$102,"SW pre HW",'Rozpočet - HW a licencie'!$G$3:$G$102,'TCO TO BE - HW'!$D7,'Rozpočet - HW a licencie'!$D$3:$D$102,'TCO TO BE - HW'!$B$5),)</f>
        <v>0</v>
      </c>
      <c r="S7" s="576">
        <f>IFERROR(SUMIFS('Rozpočet - HW a licencie'!$I$3:$I$102,'Rozpočet - HW a licencie'!$A$3:$A$102,'TCO TO BE - HW'!S$2,'Rozpočet - HW a licencie'!$C$3:$C$102,"HW",'Rozpočet - HW a licencie'!$G$3:$G$102,'TCO TO BE - HW'!$D7,'Rozpočet - HW a licencie'!$D$3:$D$102,'TCO TO BE - HW'!$B$5)+SUMIFS('Rozpočet - HW a licencie'!$I$3:$I$102,'Rozpočet - HW a licencie'!$A$3:$A$102,'TCO TO BE - HW'!S$2,'Rozpočet - HW a licencie'!$C$3:$C$102,"SW pre HW",'Rozpočet - HW a licencie'!$G$3:$G$102,'TCO TO BE - HW'!$D7,'Rozpočet - HW a licencie'!$D$3:$D$102,'TCO TO BE - HW'!$B$5),)</f>
        <v>0</v>
      </c>
      <c r="T7" s="576">
        <f>IFERROR(SUMIFS('Rozpočet - HW a licencie'!$I$3:$I$102,'Rozpočet - HW a licencie'!$A$3:$A$102,'TCO TO BE - HW'!T$2,'Rozpočet - HW a licencie'!$C$3:$C$102,"HW",'Rozpočet - HW a licencie'!$G$3:$G$102,'TCO TO BE - HW'!$D7,'Rozpočet - HW a licencie'!$D$3:$D$102,'TCO TO BE - HW'!$B$5)+SUMIFS('Rozpočet - HW a licencie'!$I$3:$I$102,'Rozpočet - HW a licencie'!$A$3:$A$102,'TCO TO BE - HW'!T$2,'Rozpočet - HW a licencie'!$C$3:$C$102,"SW pre HW",'Rozpočet - HW a licencie'!$G$3:$G$102,'TCO TO BE - HW'!$D7,'Rozpočet - HW a licencie'!$D$3:$D$102,'TCO TO BE - HW'!$B$5),)</f>
        <v>0</v>
      </c>
      <c r="U7" s="576">
        <f>IFERROR(SUMIFS('Rozpočet - HW a licencie'!$I$3:$I$102,'Rozpočet - HW a licencie'!$A$3:$A$102,'TCO TO BE - HW'!U$2,'Rozpočet - HW a licencie'!$C$3:$C$102,"HW",'Rozpočet - HW a licencie'!$G$3:$G$102,'TCO TO BE - HW'!$D7,'Rozpočet - HW a licencie'!$D$3:$D$102,'TCO TO BE - HW'!$B$5)+SUMIFS('Rozpočet - HW a licencie'!$I$3:$I$102,'Rozpočet - HW a licencie'!$A$3:$A$102,'TCO TO BE - HW'!U$2,'Rozpočet - HW a licencie'!$C$3:$C$102,"SW pre HW",'Rozpočet - HW a licencie'!$G$3:$G$102,'TCO TO BE - HW'!$D7,'Rozpočet - HW a licencie'!$D$3:$D$102,'TCO TO BE - HW'!$B$5),)</f>
        <v>0</v>
      </c>
      <c r="V7" s="576">
        <f>IFERROR(SUMIFS('Rozpočet - HW a licencie'!$I$3:$I$102,'Rozpočet - HW a licencie'!$A$3:$A$102,'TCO TO BE - HW'!V$2,'Rozpočet - HW a licencie'!$C$3:$C$102,"HW",'Rozpočet - HW a licencie'!$G$3:$G$102,'TCO TO BE - HW'!$D7,'Rozpočet - HW a licencie'!$D$3:$D$102,'TCO TO BE - HW'!$B$5)+SUMIFS('Rozpočet - HW a licencie'!$I$3:$I$102,'Rozpočet - HW a licencie'!$A$3:$A$102,'TCO TO BE - HW'!V$2,'Rozpočet - HW a licencie'!$C$3:$C$102,"SW pre HW",'Rozpočet - HW a licencie'!$G$3:$G$102,'TCO TO BE - HW'!$D7,'Rozpočet - HW a licencie'!$D$3:$D$102,'TCO TO BE - HW'!$B$5),)</f>
        <v>0</v>
      </c>
      <c r="W7" s="576">
        <f>IFERROR(SUMIFS('Rozpočet - HW a licencie'!$I$3:$I$102,'Rozpočet - HW a licencie'!$A$3:$A$102,'TCO TO BE - HW'!W$2,'Rozpočet - HW a licencie'!$C$3:$C$102,"HW",'Rozpočet - HW a licencie'!$G$3:$G$102,'TCO TO BE - HW'!$D7,'Rozpočet - HW a licencie'!$D$3:$D$102,'TCO TO BE - HW'!$B$5)+SUMIFS('Rozpočet - HW a licencie'!$I$3:$I$102,'Rozpočet - HW a licencie'!$A$3:$A$102,'TCO TO BE - HW'!W$2,'Rozpočet - HW a licencie'!$C$3:$C$102,"SW pre HW",'Rozpočet - HW a licencie'!$G$3:$G$102,'TCO TO BE - HW'!$D7,'Rozpočet - HW a licencie'!$D$3:$D$102,'TCO TO BE - HW'!$B$5),)</f>
        <v>0</v>
      </c>
      <c r="X7" s="576">
        <f>IFERROR(SUMIFS('Rozpočet - HW a licencie'!$I$3:$I$102,'Rozpočet - HW a licencie'!$A$3:$A$102,'TCO TO BE - HW'!X$2,'Rozpočet - HW a licencie'!$C$3:$C$102,"HW",'Rozpočet - HW a licencie'!$G$3:$G$102,'TCO TO BE - HW'!$D7,'Rozpočet - HW a licencie'!$D$3:$D$102,'TCO TO BE - HW'!$B$5)+SUMIFS('Rozpočet - HW a licencie'!$I$3:$I$102,'Rozpočet - HW a licencie'!$A$3:$A$102,'TCO TO BE - HW'!X$2,'Rozpočet - HW a licencie'!$C$3:$C$102,"SW pre HW",'Rozpočet - HW a licencie'!$G$3:$G$102,'TCO TO BE - HW'!$D7,'Rozpočet - HW a licencie'!$D$3:$D$102,'TCO TO BE - HW'!$B$5),)</f>
        <v>0</v>
      </c>
      <c r="Y7" s="576">
        <f>IFERROR(SUMIFS('Rozpočet - HW a licencie'!$I$3:$I$102,'Rozpočet - HW a licencie'!$A$3:$A$102,'TCO TO BE - HW'!Y$2,'Rozpočet - HW a licencie'!$C$3:$C$102,"HW",'Rozpočet - HW a licencie'!$G$3:$G$102,'TCO TO BE - HW'!$D7,'Rozpočet - HW a licencie'!$D$3:$D$102,'TCO TO BE - HW'!$B$5)+SUMIFS('Rozpočet - HW a licencie'!$I$3:$I$102,'Rozpočet - HW a licencie'!$A$3:$A$102,'TCO TO BE - HW'!Y$2,'Rozpočet - HW a licencie'!$C$3:$C$102,"SW pre HW",'Rozpočet - HW a licencie'!$G$3:$G$102,'TCO TO BE - HW'!$D7,'Rozpočet - HW a licencie'!$D$3:$D$102,'TCO TO BE - HW'!$B$5),)</f>
        <v>0</v>
      </c>
      <c r="Z7" s="576">
        <f>IFERROR(SUMIFS('Rozpočet - HW a licencie'!$I$3:$I$102,'Rozpočet - HW a licencie'!$A$3:$A$102,'TCO TO BE - HW'!Z$2,'Rozpočet - HW a licencie'!$C$3:$C$102,"HW",'Rozpočet - HW a licencie'!$G$3:$G$102,'TCO TO BE - HW'!$D7,'Rozpočet - HW a licencie'!$D$3:$D$102,'TCO TO BE - HW'!$B$5)+SUMIFS('Rozpočet - HW a licencie'!$I$3:$I$102,'Rozpočet - HW a licencie'!$A$3:$A$102,'TCO TO BE - HW'!Z$2,'Rozpočet - HW a licencie'!$C$3:$C$102,"SW pre HW",'Rozpočet - HW a licencie'!$G$3:$G$102,'TCO TO BE - HW'!$D7,'Rozpočet - HW a licencie'!$D$3:$D$102,'TCO TO BE - HW'!$B$5),)</f>
        <v>0</v>
      </c>
    </row>
    <row r="8" spans="1:26" hidden="1" outlineLevel="1">
      <c r="A8" s="875"/>
      <c r="B8" s="876"/>
      <c r="C8" s="876"/>
      <c r="D8" s="495">
        <v>4</v>
      </c>
      <c r="E8" s="68">
        <f t="shared" si="2"/>
        <v>0</v>
      </c>
      <c r="F8" s="576">
        <f>IFERROR(SUMIFS('Rozpočet - HW a licencie'!$I$3:$I$102,'Rozpočet - HW a licencie'!$A$3:$A$102,'TCO TO BE - HW'!F$2,'Rozpočet - HW a licencie'!$C$3:$C$102,"HW",'Rozpočet - HW a licencie'!$G$3:$G$102,'TCO TO BE - HW'!$D8,'Rozpočet - HW a licencie'!$D$3:$D$102,'TCO TO BE - HW'!$B$5)+SUMIFS('Rozpočet - HW a licencie'!$I$3:$I$102,'Rozpočet - HW a licencie'!$A$3:$A$102,'TCO TO BE - HW'!F$2,'Rozpočet - HW a licencie'!$C$3:$C$102,"SW pre HW",'Rozpočet - HW a licencie'!$G$3:$G$102,'TCO TO BE - HW'!$D8,'Rozpočet - HW a licencie'!$D$3:$D$102,'TCO TO BE - HW'!$B$5),)</f>
        <v>0</v>
      </c>
      <c r="G8" s="576">
        <f>IFERROR(SUMIFS('Rozpočet - HW a licencie'!$I$3:$I$102,'Rozpočet - HW a licencie'!$A$3:$A$102,'TCO TO BE - HW'!G$2,'Rozpočet - HW a licencie'!$C$3:$C$102,"HW",'Rozpočet - HW a licencie'!$G$3:$G$102,'TCO TO BE - HW'!$D8,'Rozpočet - HW a licencie'!$D$3:$D$102,'TCO TO BE - HW'!$B$5)+SUMIFS('Rozpočet - HW a licencie'!$I$3:$I$102,'Rozpočet - HW a licencie'!$A$3:$A$102,'TCO TO BE - HW'!G$2,'Rozpočet - HW a licencie'!$C$3:$C$102,"SW pre HW",'Rozpočet - HW a licencie'!$G$3:$G$102,'TCO TO BE - HW'!$D8,'Rozpočet - HW a licencie'!$D$3:$D$102,'TCO TO BE - HW'!$B$5),)</f>
        <v>0</v>
      </c>
      <c r="H8" s="576">
        <f>IFERROR(SUMIFS('Rozpočet - HW a licencie'!$I$3:$I$102,'Rozpočet - HW a licencie'!$A$3:$A$102,'TCO TO BE - HW'!H$2,'Rozpočet - HW a licencie'!$C$3:$C$102,"HW",'Rozpočet - HW a licencie'!$G$3:$G$102,'TCO TO BE - HW'!$D8,'Rozpočet - HW a licencie'!$D$3:$D$102,'TCO TO BE - HW'!$B$5)+SUMIFS('Rozpočet - HW a licencie'!$I$3:$I$102,'Rozpočet - HW a licencie'!$A$3:$A$102,'TCO TO BE - HW'!H$2,'Rozpočet - HW a licencie'!$C$3:$C$102,"SW pre HW",'Rozpočet - HW a licencie'!$G$3:$G$102,'TCO TO BE - HW'!$D8,'Rozpočet - HW a licencie'!$D$3:$D$102,'TCO TO BE - HW'!$B$5),)</f>
        <v>0</v>
      </c>
      <c r="I8" s="576">
        <f>IFERROR(SUMIFS('Rozpočet - HW a licencie'!$I$3:$I$102,'Rozpočet - HW a licencie'!$A$3:$A$102,'TCO TO BE - HW'!I$2,'Rozpočet - HW a licencie'!$C$3:$C$102,"HW",'Rozpočet - HW a licencie'!$G$3:$G$102,'TCO TO BE - HW'!$D8,'Rozpočet - HW a licencie'!$D$3:$D$102,'TCO TO BE - HW'!$B$5)+SUMIFS('Rozpočet - HW a licencie'!$I$3:$I$102,'Rozpočet - HW a licencie'!$A$3:$A$102,'TCO TO BE - HW'!I$2,'Rozpočet - HW a licencie'!$C$3:$C$102,"SW pre HW",'Rozpočet - HW a licencie'!$G$3:$G$102,'TCO TO BE - HW'!$D8,'Rozpočet - HW a licencie'!$D$3:$D$102,'TCO TO BE - HW'!$B$5),)</f>
        <v>0</v>
      </c>
      <c r="J8" s="576">
        <f>IFERROR(SUMIFS('Rozpočet - HW a licencie'!$I$3:$I$102,'Rozpočet - HW a licencie'!$A$3:$A$102,'TCO TO BE - HW'!J$2,'Rozpočet - HW a licencie'!$C$3:$C$102,"HW",'Rozpočet - HW a licencie'!$G$3:$G$102,'TCO TO BE - HW'!$D8,'Rozpočet - HW a licencie'!$D$3:$D$102,'TCO TO BE - HW'!$B$5)+SUMIFS('Rozpočet - HW a licencie'!$I$3:$I$102,'Rozpočet - HW a licencie'!$A$3:$A$102,'TCO TO BE - HW'!J$2,'Rozpočet - HW a licencie'!$C$3:$C$102,"SW pre HW",'Rozpočet - HW a licencie'!$G$3:$G$102,'TCO TO BE - HW'!$D8,'Rozpočet - HW a licencie'!$D$3:$D$102,'TCO TO BE - HW'!$B$5),)</f>
        <v>0</v>
      </c>
      <c r="K8" s="576">
        <f>IFERROR(SUMIFS('Rozpočet - HW a licencie'!$I$3:$I$102,'Rozpočet - HW a licencie'!$A$3:$A$102,'TCO TO BE - HW'!K$2,'Rozpočet - HW a licencie'!$C$3:$C$102,"HW",'Rozpočet - HW a licencie'!$G$3:$G$102,'TCO TO BE - HW'!$D8,'Rozpočet - HW a licencie'!$D$3:$D$102,'TCO TO BE - HW'!$B$5)+SUMIFS('Rozpočet - HW a licencie'!$I$3:$I$102,'Rozpočet - HW a licencie'!$A$3:$A$102,'TCO TO BE - HW'!K$2,'Rozpočet - HW a licencie'!$C$3:$C$102,"SW pre HW",'Rozpočet - HW a licencie'!$G$3:$G$102,'TCO TO BE - HW'!$D8,'Rozpočet - HW a licencie'!$D$3:$D$102,'TCO TO BE - HW'!$B$5),)</f>
        <v>0</v>
      </c>
      <c r="L8" s="576">
        <f>IFERROR(SUMIFS('Rozpočet - HW a licencie'!$I$3:$I$102,'Rozpočet - HW a licencie'!$A$3:$A$102,'TCO TO BE - HW'!L$2,'Rozpočet - HW a licencie'!$C$3:$C$102,"HW",'Rozpočet - HW a licencie'!$G$3:$G$102,'TCO TO BE - HW'!$D8,'Rozpočet - HW a licencie'!$D$3:$D$102,'TCO TO BE - HW'!$B$5)+SUMIFS('Rozpočet - HW a licencie'!$I$3:$I$102,'Rozpočet - HW a licencie'!$A$3:$A$102,'TCO TO BE - HW'!L$2,'Rozpočet - HW a licencie'!$C$3:$C$102,"SW pre HW",'Rozpočet - HW a licencie'!$G$3:$G$102,'TCO TO BE - HW'!$D8,'Rozpočet - HW a licencie'!$D$3:$D$102,'TCO TO BE - HW'!$B$5),)</f>
        <v>0</v>
      </c>
      <c r="M8" s="576">
        <f>IFERROR(SUMIFS('Rozpočet - HW a licencie'!$I$3:$I$102,'Rozpočet - HW a licencie'!$A$3:$A$102,'TCO TO BE - HW'!M$2,'Rozpočet - HW a licencie'!$C$3:$C$102,"HW",'Rozpočet - HW a licencie'!$G$3:$G$102,'TCO TO BE - HW'!$D8,'Rozpočet - HW a licencie'!$D$3:$D$102,'TCO TO BE - HW'!$B$5)+SUMIFS('Rozpočet - HW a licencie'!$I$3:$I$102,'Rozpočet - HW a licencie'!$A$3:$A$102,'TCO TO BE - HW'!M$2,'Rozpočet - HW a licencie'!$C$3:$C$102,"SW pre HW",'Rozpočet - HW a licencie'!$G$3:$G$102,'TCO TO BE - HW'!$D8,'Rozpočet - HW a licencie'!$D$3:$D$102,'TCO TO BE - HW'!$B$5),)</f>
        <v>0</v>
      </c>
      <c r="N8" s="576">
        <f>IFERROR(SUMIFS('Rozpočet - HW a licencie'!$I$3:$I$102,'Rozpočet - HW a licencie'!$A$3:$A$102,'TCO TO BE - HW'!N$2,'Rozpočet - HW a licencie'!$C$3:$C$102,"HW",'Rozpočet - HW a licencie'!$G$3:$G$102,'TCO TO BE - HW'!$D8,'Rozpočet - HW a licencie'!$D$3:$D$102,'TCO TO BE - HW'!$B$5)+SUMIFS('Rozpočet - HW a licencie'!$I$3:$I$102,'Rozpočet - HW a licencie'!$A$3:$A$102,'TCO TO BE - HW'!N$2,'Rozpočet - HW a licencie'!$C$3:$C$102,"SW pre HW",'Rozpočet - HW a licencie'!$G$3:$G$102,'TCO TO BE - HW'!$D8,'Rozpočet - HW a licencie'!$D$3:$D$102,'TCO TO BE - HW'!$B$5),)</f>
        <v>0</v>
      </c>
      <c r="O8" s="576">
        <f>IFERROR(SUMIFS('Rozpočet - HW a licencie'!$I$3:$I$102,'Rozpočet - HW a licencie'!$A$3:$A$102,'TCO TO BE - HW'!O$2,'Rozpočet - HW a licencie'!$C$3:$C$102,"HW",'Rozpočet - HW a licencie'!$G$3:$G$102,'TCO TO BE - HW'!$D8,'Rozpočet - HW a licencie'!$D$3:$D$102,'TCO TO BE - HW'!$B$5)+SUMIFS('Rozpočet - HW a licencie'!$I$3:$I$102,'Rozpočet - HW a licencie'!$A$3:$A$102,'TCO TO BE - HW'!O$2,'Rozpočet - HW a licencie'!$C$3:$C$102,"SW pre HW",'Rozpočet - HW a licencie'!$G$3:$G$102,'TCO TO BE - HW'!$D8,'Rozpočet - HW a licencie'!$D$3:$D$102,'TCO TO BE - HW'!$B$5),)</f>
        <v>0</v>
      </c>
      <c r="P8" s="576">
        <f>IFERROR(SUMIFS('Rozpočet - HW a licencie'!$I$3:$I$102,'Rozpočet - HW a licencie'!$A$3:$A$102,'TCO TO BE - HW'!P$2,'Rozpočet - HW a licencie'!$C$3:$C$102,"HW",'Rozpočet - HW a licencie'!$G$3:$G$102,'TCO TO BE - HW'!$D8,'Rozpočet - HW a licencie'!$D$3:$D$102,'TCO TO BE - HW'!$B$5)+SUMIFS('Rozpočet - HW a licencie'!$I$3:$I$102,'Rozpočet - HW a licencie'!$A$3:$A$102,'TCO TO BE - HW'!P$2,'Rozpočet - HW a licencie'!$C$3:$C$102,"SW pre HW",'Rozpočet - HW a licencie'!$G$3:$G$102,'TCO TO BE - HW'!$D8,'Rozpočet - HW a licencie'!$D$3:$D$102,'TCO TO BE - HW'!$B$5),)</f>
        <v>0</v>
      </c>
      <c r="Q8" s="576">
        <f>IFERROR(SUMIFS('Rozpočet - HW a licencie'!$I$3:$I$102,'Rozpočet - HW a licencie'!$A$3:$A$102,'TCO TO BE - HW'!Q$2,'Rozpočet - HW a licencie'!$C$3:$C$102,"HW",'Rozpočet - HW a licencie'!$G$3:$G$102,'TCO TO BE - HW'!$D8,'Rozpočet - HW a licencie'!$D$3:$D$102,'TCO TO BE - HW'!$B$5)+SUMIFS('Rozpočet - HW a licencie'!$I$3:$I$102,'Rozpočet - HW a licencie'!$A$3:$A$102,'TCO TO BE - HW'!Q$2,'Rozpočet - HW a licencie'!$C$3:$C$102,"SW pre HW",'Rozpočet - HW a licencie'!$G$3:$G$102,'TCO TO BE - HW'!$D8,'Rozpočet - HW a licencie'!$D$3:$D$102,'TCO TO BE - HW'!$B$5),)</f>
        <v>0</v>
      </c>
      <c r="R8" s="576">
        <f>IFERROR(SUMIFS('Rozpočet - HW a licencie'!$I$3:$I$102,'Rozpočet - HW a licencie'!$A$3:$A$102,'TCO TO BE - HW'!R$2,'Rozpočet - HW a licencie'!$C$3:$C$102,"HW",'Rozpočet - HW a licencie'!$G$3:$G$102,'TCO TO BE - HW'!$D8,'Rozpočet - HW a licencie'!$D$3:$D$102,'TCO TO BE - HW'!$B$5)+SUMIFS('Rozpočet - HW a licencie'!$I$3:$I$102,'Rozpočet - HW a licencie'!$A$3:$A$102,'TCO TO BE - HW'!R$2,'Rozpočet - HW a licencie'!$C$3:$C$102,"SW pre HW",'Rozpočet - HW a licencie'!$G$3:$G$102,'TCO TO BE - HW'!$D8,'Rozpočet - HW a licencie'!$D$3:$D$102,'TCO TO BE - HW'!$B$5),)</f>
        <v>0</v>
      </c>
      <c r="S8" s="576">
        <f>IFERROR(SUMIFS('Rozpočet - HW a licencie'!$I$3:$I$102,'Rozpočet - HW a licencie'!$A$3:$A$102,'TCO TO BE - HW'!S$2,'Rozpočet - HW a licencie'!$C$3:$C$102,"HW",'Rozpočet - HW a licencie'!$G$3:$G$102,'TCO TO BE - HW'!$D8,'Rozpočet - HW a licencie'!$D$3:$D$102,'TCO TO BE - HW'!$B$5)+SUMIFS('Rozpočet - HW a licencie'!$I$3:$I$102,'Rozpočet - HW a licencie'!$A$3:$A$102,'TCO TO BE - HW'!S$2,'Rozpočet - HW a licencie'!$C$3:$C$102,"SW pre HW",'Rozpočet - HW a licencie'!$G$3:$G$102,'TCO TO BE - HW'!$D8,'Rozpočet - HW a licencie'!$D$3:$D$102,'TCO TO BE - HW'!$B$5),)</f>
        <v>0</v>
      </c>
      <c r="T8" s="576">
        <f>IFERROR(SUMIFS('Rozpočet - HW a licencie'!$I$3:$I$102,'Rozpočet - HW a licencie'!$A$3:$A$102,'TCO TO BE - HW'!T$2,'Rozpočet - HW a licencie'!$C$3:$C$102,"HW",'Rozpočet - HW a licencie'!$G$3:$G$102,'TCO TO BE - HW'!$D8,'Rozpočet - HW a licencie'!$D$3:$D$102,'TCO TO BE - HW'!$B$5)+SUMIFS('Rozpočet - HW a licencie'!$I$3:$I$102,'Rozpočet - HW a licencie'!$A$3:$A$102,'TCO TO BE - HW'!T$2,'Rozpočet - HW a licencie'!$C$3:$C$102,"SW pre HW",'Rozpočet - HW a licencie'!$G$3:$G$102,'TCO TO BE - HW'!$D8,'Rozpočet - HW a licencie'!$D$3:$D$102,'TCO TO BE - HW'!$B$5),)</f>
        <v>0</v>
      </c>
      <c r="U8" s="576">
        <f>IFERROR(SUMIFS('Rozpočet - HW a licencie'!$I$3:$I$102,'Rozpočet - HW a licencie'!$A$3:$A$102,'TCO TO BE - HW'!U$2,'Rozpočet - HW a licencie'!$C$3:$C$102,"HW",'Rozpočet - HW a licencie'!$G$3:$G$102,'TCO TO BE - HW'!$D8,'Rozpočet - HW a licencie'!$D$3:$D$102,'TCO TO BE - HW'!$B$5)+SUMIFS('Rozpočet - HW a licencie'!$I$3:$I$102,'Rozpočet - HW a licencie'!$A$3:$A$102,'TCO TO BE - HW'!U$2,'Rozpočet - HW a licencie'!$C$3:$C$102,"SW pre HW",'Rozpočet - HW a licencie'!$G$3:$G$102,'TCO TO BE - HW'!$D8,'Rozpočet - HW a licencie'!$D$3:$D$102,'TCO TO BE - HW'!$B$5),)</f>
        <v>0</v>
      </c>
      <c r="V8" s="576">
        <f>IFERROR(SUMIFS('Rozpočet - HW a licencie'!$I$3:$I$102,'Rozpočet - HW a licencie'!$A$3:$A$102,'TCO TO BE - HW'!V$2,'Rozpočet - HW a licencie'!$C$3:$C$102,"HW",'Rozpočet - HW a licencie'!$G$3:$G$102,'TCO TO BE - HW'!$D8,'Rozpočet - HW a licencie'!$D$3:$D$102,'TCO TO BE - HW'!$B$5)+SUMIFS('Rozpočet - HW a licencie'!$I$3:$I$102,'Rozpočet - HW a licencie'!$A$3:$A$102,'TCO TO BE - HW'!V$2,'Rozpočet - HW a licencie'!$C$3:$C$102,"SW pre HW",'Rozpočet - HW a licencie'!$G$3:$G$102,'TCO TO BE - HW'!$D8,'Rozpočet - HW a licencie'!$D$3:$D$102,'TCO TO BE - HW'!$B$5),)</f>
        <v>0</v>
      </c>
      <c r="W8" s="576">
        <f>IFERROR(SUMIFS('Rozpočet - HW a licencie'!$I$3:$I$102,'Rozpočet - HW a licencie'!$A$3:$A$102,'TCO TO BE - HW'!W$2,'Rozpočet - HW a licencie'!$C$3:$C$102,"HW",'Rozpočet - HW a licencie'!$G$3:$G$102,'TCO TO BE - HW'!$D8,'Rozpočet - HW a licencie'!$D$3:$D$102,'TCO TO BE - HW'!$B$5)+SUMIFS('Rozpočet - HW a licencie'!$I$3:$I$102,'Rozpočet - HW a licencie'!$A$3:$A$102,'TCO TO BE - HW'!W$2,'Rozpočet - HW a licencie'!$C$3:$C$102,"SW pre HW",'Rozpočet - HW a licencie'!$G$3:$G$102,'TCO TO BE - HW'!$D8,'Rozpočet - HW a licencie'!$D$3:$D$102,'TCO TO BE - HW'!$B$5),)</f>
        <v>0</v>
      </c>
      <c r="X8" s="576">
        <f>IFERROR(SUMIFS('Rozpočet - HW a licencie'!$I$3:$I$102,'Rozpočet - HW a licencie'!$A$3:$A$102,'TCO TO BE - HW'!X$2,'Rozpočet - HW a licencie'!$C$3:$C$102,"HW",'Rozpočet - HW a licencie'!$G$3:$G$102,'TCO TO BE - HW'!$D8,'Rozpočet - HW a licencie'!$D$3:$D$102,'TCO TO BE - HW'!$B$5)+SUMIFS('Rozpočet - HW a licencie'!$I$3:$I$102,'Rozpočet - HW a licencie'!$A$3:$A$102,'TCO TO BE - HW'!X$2,'Rozpočet - HW a licencie'!$C$3:$C$102,"SW pre HW",'Rozpočet - HW a licencie'!$G$3:$G$102,'TCO TO BE - HW'!$D8,'Rozpočet - HW a licencie'!$D$3:$D$102,'TCO TO BE - HW'!$B$5),)</f>
        <v>0</v>
      </c>
      <c r="Y8" s="576">
        <f>IFERROR(SUMIFS('Rozpočet - HW a licencie'!$I$3:$I$102,'Rozpočet - HW a licencie'!$A$3:$A$102,'TCO TO BE - HW'!Y$2,'Rozpočet - HW a licencie'!$C$3:$C$102,"HW",'Rozpočet - HW a licencie'!$G$3:$G$102,'TCO TO BE - HW'!$D8,'Rozpočet - HW a licencie'!$D$3:$D$102,'TCO TO BE - HW'!$B$5)+SUMIFS('Rozpočet - HW a licencie'!$I$3:$I$102,'Rozpočet - HW a licencie'!$A$3:$A$102,'TCO TO BE - HW'!Y$2,'Rozpočet - HW a licencie'!$C$3:$C$102,"SW pre HW",'Rozpočet - HW a licencie'!$G$3:$G$102,'TCO TO BE - HW'!$D8,'Rozpočet - HW a licencie'!$D$3:$D$102,'TCO TO BE - HW'!$B$5),)</f>
        <v>0</v>
      </c>
      <c r="Z8" s="576">
        <f>IFERROR(SUMIFS('Rozpočet - HW a licencie'!$I$3:$I$102,'Rozpočet - HW a licencie'!$A$3:$A$102,'TCO TO BE - HW'!Z$2,'Rozpočet - HW a licencie'!$C$3:$C$102,"HW",'Rozpočet - HW a licencie'!$G$3:$G$102,'TCO TO BE - HW'!$D8,'Rozpočet - HW a licencie'!$D$3:$D$102,'TCO TO BE - HW'!$B$5)+SUMIFS('Rozpočet - HW a licencie'!$I$3:$I$102,'Rozpočet - HW a licencie'!$A$3:$A$102,'TCO TO BE - HW'!Z$2,'Rozpočet - HW a licencie'!$C$3:$C$102,"SW pre HW",'Rozpočet - HW a licencie'!$G$3:$G$102,'TCO TO BE - HW'!$D8,'Rozpočet - HW a licencie'!$D$3:$D$102,'TCO TO BE - HW'!$B$5),)</f>
        <v>0</v>
      </c>
    </row>
    <row r="9" spans="1:26" hidden="1" outlineLevel="1">
      <c r="A9" s="875"/>
      <c r="B9" s="876"/>
      <c r="C9" s="876"/>
      <c r="D9" s="495">
        <v>5</v>
      </c>
      <c r="E9" s="68">
        <f t="shared" si="2"/>
        <v>0</v>
      </c>
      <c r="F9" s="576">
        <f>IFERROR(SUMIFS('Rozpočet - HW a licencie'!$I$3:$I$102,'Rozpočet - HW a licencie'!$A$3:$A$102,'TCO TO BE - HW'!F$2,'Rozpočet - HW a licencie'!$C$3:$C$102,"HW",'Rozpočet - HW a licencie'!$G$3:$G$102,'TCO TO BE - HW'!$D9,'Rozpočet - HW a licencie'!$D$3:$D$102,'TCO TO BE - HW'!$B$5)+SUMIFS('Rozpočet - HW a licencie'!$I$3:$I$102,'Rozpočet - HW a licencie'!$A$3:$A$102,'TCO TO BE - HW'!F$2,'Rozpočet - HW a licencie'!$C$3:$C$102,"SW pre HW",'Rozpočet - HW a licencie'!$G$3:$G$102,'TCO TO BE - HW'!$D9,'Rozpočet - HW a licencie'!$D$3:$D$102,'TCO TO BE - HW'!$B$5),)</f>
        <v>0</v>
      </c>
      <c r="G9" s="576">
        <f>IFERROR(SUMIFS('Rozpočet - HW a licencie'!$I$3:$I$102,'Rozpočet - HW a licencie'!$A$3:$A$102,'TCO TO BE - HW'!G$2,'Rozpočet - HW a licencie'!$C$3:$C$102,"HW",'Rozpočet - HW a licencie'!$G$3:$G$102,'TCO TO BE - HW'!$D9,'Rozpočet - HW a licencie'!$D$3:$D$102,'TCO TO BE - HW'!$B$5)+SUMIFS('Rozpočet - HW a licencie'!$I$3:$I$102,'Rozpočet - HW a licencie'!$A$3:$A$102,'TCO TO BE - HW'!G$2,'Rozpočet - HW a licencie'!$C$3:$C$102,"SW pre HW",'Rozpočet - HW a licencie'!$G$3:$G$102,'TCO TO BE - HW'!$D9,'Rozpočet - HW a licencie'!$D$3:$D$102,'TCO TO BE - HW'!$B$5),)</f>
        <v>0</v>
      </c>
      <c r="H9" s="576">
        <f>IFERROR(SUMIFS('Rozpočet - HW a licencie'!$I$3:$I$102,'Rozpočet - HW a licencie'!$A$3:$A$102,'TCO TO BE - HW'!H$2,'Rozpočet - HW a licencie'!$C$3:$C$102,"HW",'Rozpočet - HW a licencie'!$G$3:$G$102,'TCO TO BE - HW'!$D9,'Rozpočet - HW a licencie'!$D$3:$D$102,'TCO TO BE - HW'!$B$5)+SUMIFS('Rozpočet - HW a licencie'!$I$3:$I$102,'Rozpočet - HW a licencie'!$A$3:$A$102,'TCO TO BE - HW'!H$2,'Rozpočet - HW a licencie'!$C$3:$C$102,"SW pre HW",'Rozpočet - HW a licencie'!$G$3:$G$102,'TCO TO BE - HW'!$D9,'Rozpočet - HW a licencie'!$D$3:$D$102,'TCO TO BE - HW'!$B$5),)</f>
        <v>0</v>
      </c>
      <c r="I9" s="576">
        <f>IFERROR(SUMIFS('Rozpočet - HW a licencie'!$I$3:$I$102,'Rozpočet - HW a licencie'!$A$3:$A$102,'TCO TO BE - HW'!I$2,'Rozpočet - HW a licencie'!$C$3:$C$102,"HW",'Rozpočet - HW a licencie'!$G$3:$G$102,'TCO TO BE - HW'!$D9,'Rozpočet - HW a licencie'!$D$3:$D$102,'TCO TO BE - HW'!$B$5)+SUMIFS('Rozpočet - HW a licencie'!$I$3:$I$102,'Rozpočet - HW a licencie'!$A$3:$A$102,'TCO TO BE - HW'!I$2,'Rozpočet - HW a licencie'!$C$3:$C$102,"SW pre HW",'Rozpočet - HW a licencie'!$G$3:$G$102,'TCO TO BE - HW'!$D9,'Rozpočet - HW a licencie'!$D$3:$D$102,'TCO TO BE - HW'!$B$5),)</f>
        <v>0</v>
      </c>
      <c r="J9" s="576">
        <f>IFERROR(SUMIFS('Rozpočet - HW a licencie'!$I$3:$I$102,'Rozpočet - HW a licencie'!$A$3:$A$102,'TCO TO BE - HW'!J$2,'Rozpočet - HW a licencie'!$C$3:$C$102,"HW",'Rozpočet - HW a licencie'!$G$3:$G$102,'TCO TO BE - HW'!$D9,'Rozpočet - HW a licencie'!$D$3:$D$102,'TCO TO BE - HW'!$B$5)+SUMIFS('Rozpočet - HW a licencie'!$I$3:$I$102,'Rozpočet - HW a licencie'!$A$3:$A$102,'TCO TO BE - HW'!J$2,'Rozpočet - HW a licencie'!$C$3:$C$102,"SW pre HW",'Rozpočet - HW a licencie'!$G$3:$G$102,'TCO TO BE - HW'!$D9,'Rozpočet - HW a licencie'!$D$3:$D$102,'TCO TO BE - HW'!$B$5),)</f>
        <v>0</v>
      </c>
      <c r="K9" s="576">
        <f>IFERROR(SUMIFS('Rozpočet - HW a licencie'!$I$3:$I$102,'Rozpočet - HW a licencie'!$A$3:$A$102,'TCO TO BE - HW'!K$2,'Rozpočet - HW a licencie'!$C$3:$C$102,"HW",'Rozpočet - HW a licencie'!$G$3:$G$102,'TCO TO BE - HW'!$D9,'Rozpočet - HW a licencie'!$D$3:$D$102,'TCO TO BE - HW'!$B$5)+SUMIFS('Rozpočet - HW a licencie'!$I$3:$I$102,'Rozpočet - HW a licencie'!$A$3:$A$102,'TCO TO BE - HW'!K$2,'Rozpočet - HW a licencie'!$C$3:$C$102,"SW pre HW",'Rozpočet - HW a licencie'!$G$3:$G$102,'TCO TO BE - HW'!$D9,'Rozpočet - HW a licencie'!$D$3:$D$102,'TCO TO BE - HW'!$B$5),)</f>
        <v>0</v>
      </c>
      <c r="L9" s="576">
        <f>IFERROR(SUMIFS('Rozpočet - HW a licencie'!$I$3:$I$102,'Rozpočet - HW a licencie'!$A$3:$A$102,'TCO TO BE - HW'!L$2,'Rozpočet - HW a licencie'!$C$3:$C$102,"HW",'Rozpočet - HW a licencie'!$G$3:$G$102,'TCO TO BE - HW'!$D9,'Rozpočet - HW a licencie'!$D$3:$D$102,'TCO TO BE - HW'!$B$5)+SUMIFS('Rozpočet - HW a licencie'!$I$3:$I$102,'Rozpočet - HW a licencie'!$A$3:$A$102,'TCO TO BE - HW'!L$2,'Rozpočet - HW a licencie'!$C$3:$C$102,"SW pre HW",'Rozpočet - HW a licencie'!$G$3:$G$102,'TCO TO BE - HW'!$D9,'Rozpočet - HW a licencie'!$D$3:$D$102,'TCO TO BE - HW'!$B$5),)</f>
        <v>0</v>
      </c>
      <c r="M9" s="576">
        <f>IFERROR(SUMIFS('Rozpočet - HW a licencie'!$I$3:$I$102,'Rozpočet - HW a licencie'!$A$3:$A$102,'TCO TO BE - HW'!M$2,'Rozpočet - HW a licencie'!$C$3:$C$102,"HW",'Rozpočet - HW a licencie'!$G$3:$G$102,'TCO TO BE - HW'!$D9,'Rozpočet - HW a licencie'!$D$3:$D$102,'TCO TO BE - HW'!$B$5)+SUMIFS('Rozpočet - HW a licencie'!$I$3:$I$102,'Rozpočet - HW a licencie'!$A$3:$A$102,'TCO TO BE - HW'!M$2,'Rozpočet - HW a licencie'!$C$3:$C$102,"SW pre HW",'Rozpočet - HW a licencie'!$G$3:$G$102,'TCO TO BE - HW'!$D9,'Rozpočet - HW a licencie'!$D$3:$D$102,'TCO TO BE - HW'!$B$5),)</f>
        <v>0</v>
      </c>
      <c r="N9" s="576">
        <f>IFERROR(SUMIFS('Rozpočet - HW a licencie'!$I$3:$I$102,'Rozpočet - HW a licencie'!$A$3:$A$102,'TCO TO BE - HW'!N$2,'Rozpočet - HW a licencie'!$C$3:$C$102,"HW",'Rozpočet - HW a licencie'!$G$3:$G$102,'TCO TO BE - HW'!$D9,'Rozpočet - HW a licencie'!$D$3:$D$102,'TCO TO BE - HW'!$B$5)+SUMIFS('Rozpočet - HW a licencie'!$I$3:$I$102,'Rozpočet - HW a licencie'!$A$3:$A$102,'TCO TO BE - HW'!N$2,'Rozpočet - HW a licencie'!$C$3:$C$102,"SW pre HW",'Rozpočet - HW a licencie'!$G$3:$G$102,'TCO TO BE - HW'!$D9,'Rozpočet - HW a licencie'!$D$3:$D$102,'TCO TO BE - HW'!$B$5),)</f>
        <v>0</v>
      </c>
      <c r="O9" s="576">
        <f>IFERROR(SUMIFS('Rozpočet - HW a licencie'!$I$3:$I$102,'Rozpočet - HW a licencie'!$A$3:$A$102,'TCO TO BE - HW'!O$2,'Rozpočet - HW a licencie'!$C$3:$C$102,"HW",'Rozpočet - HW a licencie'!$G$3:$G$102,'TCO TO BE - HW'!$D9,'Rozpočet - HW a licencie'!$D$3:$D$102,'TCO TO BE - HW'!$B$5)+SUMIFS('Rozpočet - HW a licencie'!$I$3:$I$102,'Rozpočet - HW a licencie'!$A$3:$A$102,'TCO TO BE - HW'!O$2,'Rozpočet - HW a licencie'!$C$3:$C$102,"SW pre HW",'Rozpočet - HW a licencie'!$G$3:$G$102,'TCO TO BE - HW'!$D9,'Rozpočet - HW a licencie'!$D$3:$D$102,'TCO TO BE - HW'!$B$5),)</f>
        <v>0</v>
      </c>
      <c r="P9" s="576">
        <f>IFERROR(SUMIFS('Rozpočet - HW a licencie'!$I$3:$I$102,'Rozpočet - HW a licencie'!$A$3:$A$102,'TCO TO BE - HW'!P$2,'Rozpočet - HW a licencie'!$C$3:$C$102,"HW",'Rozpočet - HW a licencie'!$G$3:$G$102,'TCO TO BE - HW'!$D9,'Rozpočet - HW a licencie'!$D$3:$D$102,'TCO TO BE - HW'!$B$5)+SUMIFS('Rozpočet - HW a licencie'!$I$3:$I$102,'Rozpočet - HW a licencie'!$A$3:$A$102,'TCO TO BE - HW'!P$2,'Rozpočet - HW a licencie'!$C$3:$C$102,"SW pre HW",'Rozpočet - HW a licencie'!$G$3:$G$102,'TCO TO BE - HW'!$D9,'Rozpočet - HW a licencie'!$D$3:$D$102,'TCO TO BE - HW'!$B$5),)</f>
        <v>0</v>
      </c>
      <c r="Q9" s="576">
        <f>IFERROR(SUMIFS('Rozpočet - HW a licencie'!$I$3:$I$102,'Rozpočet - HW a licencie'!$A$3:$A$102,'TCO TO BE - HW'!Q$2,'Rozpočet - HW a licencie'!$C$3:$C$102,"HW",'Rozpočet - HW a licencie'!$G$3:$G$102,'TCO TO BE - HW'!$D9,'Rozpočet - HW a licencie'!$D$3:$D$102,'TCO TO BE - HW'!$B$5)+SUMIFS('Rozpočet - HW a licencie'!$I$3:$I$102,'Rozpočet - HW a licencie'!$A$3:$A$102,'TCO TO BE - HW'!Q$2,'Rozpočet - HW a licencie'!$C$3:$C$102,"SW pre HW",'Rozpočet - HW a licencie'!$G$3:$G$102,'TCO TO BE - HW'!$D9,'Rozpočet - HW a licencie'!$D$3:$D$102,'TCO TO BE - HW'!$B$5),)</f>
        <v>0</v>
      </c>
      <c r="R9" s="576">
        <f>IFERROR(SUMIFS('Rozpočet - HW a licencie'!$I$3:$I$102,'Rozpočet - HW a licencie'!$A$3:$A$102,'TCO TO BE - HW'!R$2,'Rozpočet - HW a licencie'!$C$3:$C$102,"HW",'Rozpočet - HW a licencie'!$G$3:$G$102,'TCO TO BE - HW'!$D9,'Rozpočet - HW a licencie'!$D$3:$D$102,'TCO TO BE - HW'!$B$5)+SUMIFS('Rozpočet - HW a licencie'!$I$3:$I$102,'Rozpočet - HW a licencie'!$A$3:$A$102,'TCO TO BE - HW'!R$2,'Rozpočet - HW a licencie'!$C$3:$C$102,"SW pre HW",'Rozpočet - HW a licencie'!$G$3:$G$102,'TCO TO BE - HW'!$D9,'Rozpočet - HW a licencie'!$D$3:$D$102,'TCO TO BE - HW'!$B$5),)</f>
        <v>0</v>
      </c>
      <c r="S9" s="576">
        <f>IFERROR(SUMIFS('Rozpočet - HW a licencie'!$I$3:$I$102,'Rozpočet - HW a licencie'!$A$3:$A$102,'TCO TO BE - HW'!S$2,'Rozpočet - HW a licencie'!$C$3:$C$102,"HW",'Rozpočet - HW a licencie'!$G$3:$G$102,'TCO TO BE - HW'!$D9,'Rozpočet - HW a licencie'!$D$3:$D$102,'TCO TO BE - HW'!$B$5)+SUMIFS('Rozpočet - HW a licencie'!$I$3:$I$102,'Rozpočet - HW a licencie'!$A$3:$A$102,'TCO TO BE - HW'!S$2,'Rozpočet - HW a licencie'!$C$3:$C$102,"SW pre HW",'Rozpočet - HW a licencie'!$G$3:$G$102,'TCO TO BE - HW'!$D9,'Rozpočet - HW a licencie'!$D$3:$D$102,'TCO TO BE - HW'!$B$5),)</f>
        <v>0</v>
      </c>
      <c r="T9" s="576">
        <f>IFERROR(SUMIFS('Rozpočet - HW a licencie'!$I$3:$I$102,'Rozpočet - HW a licencie'!$A$3:$A$102,'TCO TO BE - HW'!T$2,'Rozpočet - HW a licencie'!$C$3:$C$102,"HW",'Rozpočet - HW a licencie'!$G$3:$G$102,'TCO TO BE - HW'!$D9,'Rozpočet - HW a licencie'!$D$3:$D$102,'TCO TO BE - HW'!$B$5)+SUMIFS('Rozpočet - HW a licencie'!$I$3:$I$102,'Rozpočet - HW a licencie'!$A$3:$A$102,'TCO TO BE - HW'!T$2,'Rozpočet - HW a licencie'!$C$3:$C$102,"SW pre HW",'Rozpočet - HW a licencie'!$G$3:$G$102,'TCO TO BE - HW'!$D9,'Rozpočet - HW a licencie'!$D$3:$D$102,'TCO TO BE - HW'!$B$5),)</f>
        <v>0</v>
      </c>
      <c r="U9" s="576">
        <f>IFERROR(SUMIFS('Rozpočet - HW a licencie'!$I$3:$I$102,'Rozpočet - HW a licencie'!$A$3:$A$102,'TCO TO BE - HW'!U$2,'Rozpočet - HW a licencie'!$C$3:$C$102,"HW",'Rozpočet - HW a licencie'!$G$3:$G$102,'TCO TO BE - HW'!$D9,'Rozpočet - HW a licencie'!$D$3:$D$102,'TCO TO BE - HW'!$B$5)+SUMIFS('Rozpočet - HW a licencie'!$I$3:$I$102,'Rozpočet - HW a licencie'!$A$3:$A$102,'TCO TO BE - HW'!U$2,'Rozpočet - HW a licencie'!$C$3:$C$102,"SW pre HW",'Rozpočet - HW a licencie'!$G$3:$G$102,'TCO TO BE - HW'!$D9,'Rozpočet - HW a licencie'!$D$3:$D$102,'TCO TO BE - HW'!$B$5),)</f>
        <v>0</v>
      </c>
      <c r="V9" s="576">
        <f>IFERROR(SUMIFS('Rozpočet - HW a licencie'!$I$3:$I$102,'Rozpočet - HW a licencie'!$A$3:$A$102,'TCO TO BE - HW'!V$2,'Rozpočet - HW a licencie'!$C$3:$C$102,"HW",'Rozpočet - HW a licencie'!$G$3:$G$102,'TCO TO BE - HW'!$D9,'Rozpočet - HW a licencie'!$D$3:$D$102,'TCO TO BE - HW'!$B$5)+SUMIFS('Rozpočet - HW a licencie'!$I$3:$I$102,'Rozpočet - HW a licencie'!$A$3:$A$102,'TCO TO BE - HW'!V$2,'Rozpočet - HW a licencie'!$C$3:$C$102,"SW pre HW",'Rozpočet - HW a licencie'!$G$3:$G$102,'TCO TO BE - HW'!$D9,'Rozpočet - HW a licencie'!$D$3:$D$102,'TCO TO BE - HW'!$B$5),)</f>
        <v>0</v>
      </c>
      <c r="W9" s="576">
        <f>IFERROR(SUMIFS('Rozpočet - HW a licencie'!$I$3:$I$102,'Rozpočet - HW a licencie'!$A$3:$A$102,'TCO TO BE - HW'!W$2,'Rozpočet - HW a licencie'!$C$3:$C$102,"HW",'Rozpočet - HW a licencie'!$G$3:$G$102,'TCO TO BE - HW'!$D9,'Rozpočet - HW a licencie'!$D$3:$D$102,'TCO TO BE - HW'!$B$5)+SUMIFS('Rozpočet - HW a licencie'!$I$3:$I$102,'Rozpočet - HW a licencie'!$A$3:$A$102,'TCO TO BE - HW'!W$2,'Rozpočet - HW a licencie'!$C$3:$C$102,"SW pre HW",'Rozpočet - HW a licencie'!$G$3:$G$102,'TCO TO BE - HW'!$D9,'Rozpočet - HW a licencie'!$D$3:$D$102,'TCO TO BE - HW'!$B$5),)</f>
        <v>0</v>
      </c>
      <c r="X9" s="576">
        <f>IFERROR(SUMIFS('Rozpočet - HW a licencie'!$I$3:$I$102,'Rozpočet - HW a licencie'!$A$3:$A$102,'TCO TO BE - HW'!X$2,'Rozpočet - HW a licencie'!$C$3:$C$102,"HW",'Rozpočet - HW a licencie'!$G$3:$G$102,'TCO TO BE - HW'!$D9,'Rozpočet - HW a licencie'!$D$3:$D$102,'TCO TO BE - HW'!$B$5)+SUMIFS('Rozpočet - HW a licencie'!$I$3:$I$102,'Rozpočet - HW a licencie'!$A$3:$A$102,'TCO TO BE - HW'!X$2,'Rozpočet - HW a licencie'!$C$3:$C$102,"SW pre HW",'Rozpočet - HW a licencie'!$G$3:$G$102,'TCO TO BE - HW'!$D9,'Rozpočet - HW a licencie'!$D$3:$D$102,'TCO TO BE - HW'!$B$5),)</f>
        <v>0</v>
      </c>
      <c r="Y9" s="576">
        <f>IFERROR(SUMIFS('Rozpočet - HW a licencie'!$I$3:$I$102,'Rozpočet - HW a licencie'!$A$3:$A$102,'TCO TO BE - HW'!Y$2,'Rozpočet - HW a licencie'!$C$3:$C$102,"HW",'Rozpočet - HW a licencie'!$G$3:$G$102,'TCO TO BE - HW'!$D9,'Rozpočet - HW a licencie'!$D$3:$D$102,'TCO TO BE - HW'!$B$5)+SUMIFS('Rozpočet - HW a licencie'!$I$3:$I$102,'Rozpočet - HW a licencie'!$A$3:$A$102,'TCO TO BE - HW'!Y$2,'Rozpočet - HW a licencie'!$C$3:$C$102,"SW pre HW",'Rozpočet - HW a licencie'!$G$3:$G$102,'TCO TO BE - HW'!$D9,'Rozpočet - HW a licencie'!$D$3:$D$102,'TCO TO BE - HW'!$B$5),)</f>
        <v>0</v>
      </c>
      <c r="Z9" s="576">
        <f>IFERROR(SUMIFS('Rozpočet - HW a licencie'!$I$3:$I$102,'Rozpočet - HW a licencie'!$A$3:$A$102,'TCO TO BE - HW'!Z$2,'Rozpočet - HW a licencie'!$C$3:$C$102,"HW",'Rozpočet - HW a licencie'!$G$3:$G$102,'TCO TO BE - HW'!$D9,'Rozpočet - HW a licencie'!$D$3:$D$102,'TCO TO BE - HW'!$B$5)+SUMIFS('Rozpočet - HW a licencie'!$I$3:$I$102,'Rozpočet - HW a licencie'!$A$3:$A$102,'TCO TO BE - HW'!Z$2,'Rozpočet - HW a licencie'!$C$3:$C$102,"SW pre HW",'Rozpočet - HW a licencie'!$G$3:$G$102,'TCO TO BE - HW'!$D9,'Rozpočet - HW a licencie'!$D$3:$D$102,'TCO TO BE - HW'!$B$5),)</f>
        <v>0</v>
      </c>
    </row>
    <row r="10" spans="1:26" hidden="1" outlineLevel="1">
      <c r="A10" s="875"/>
      <c r="B10" s="876"/>
      <c r="C10" s="876"/>
      <c r="D10" s="495">
        <v>6</v>
      </c>
      <c r="E10" s="68">
        <f t="shared" si="2"/>
        <v>0</v>
      </c>
      <c r="F10" s="576">
        <f>IFERROR(SUMIFS('Rozpočet - HW a licencie'!$I$3:$I$102,'Rozpočet - HW a licencie'!$A$3:$A$102,'TCO TO BE - HW'!F$2,'Rozpočet - HW a licencie'!$C$3:$C$102,"HW",'Rozpočet - HW a licencie'!$G$3:$G$102,'TCO TO BE - HW'!$D10,'Rozpočet - HW a licencie'!$D$3:$D$102,'TCO TO BE - HW'!$B$5)+SUMIFS('Rozpočet - HW a licencie'!$I$3:$I$102,'Rozpočet - HW a licencie'!$A$3:$A$102,'TCO TO BE - HW'!F$2,'Rozpočet - HW a licencie'!$C$3:$C$102,"SW pre HW",'Rozpočet - HW a licencie'!$G$3:$G$102,'TCO TO BE - HW'!$D10,'Rozpočet - HW a licencie'!$D$3:$D$102,'TCO TO BE - HW'!$B$5),)</f>
        <v>0</v>
      </c>
      <c r="G10" s="576">
        <f>IFERROR(SUMIFS('Rozpočet - HW a licencie'!$I$3:$I$102,'Rozpočet - HW a licencie'!$A$3:$A$102,'TCO TO BE - HW'!G$2,'Rozpočet - HW a licencie'!$C$3:$C$102,"HW",'Rozpočet - HW a licencie'!$G$3:$G$102,'TCO TO BE - HW'!$D10,'Rozpočet - HW a licencie'!$D$3:$D$102,'TCO TO BE - HW'!$B$5)+SUMIFS('Rozpočet - HW a licencie'!$I$3:$I$102,'Rozpočet - HW a licencie'!$A$3:$A$102,'TCO TO BE - HW'!G$2,'Rozpočet - HW a licencie'!$C$3:$C$102,"SW pre HW",'Rozpočet - HW a licencie'!$G$3:$G$102,'TCO TO BE - HW'!$D10,'Rozpočet - HW a licencie'!$D$3:$D$102,'TCO TO BE - HW'!$B$5),)</f>
        <v>0</v>
      </c>
      <c r="H10" s="576">
        <f>IFERROR(SUMIFS('Rozpočet - HW a licencie'!$I$3:$I$102,'Rozpočet - HW a licencie'!$A$3:$A$102,'TCO TO BE - HW'!H$2,'Rozpočet - HW a licencie'!$C$3:$C$102,"HW",'Rozpočet - HW a licencie'!$G$3:$G$102,'TCO TO BE - HW'!$D10,'Rozpočet - HW a licencie'!$D$3:$D$102,'TCO TO BE - HW'!$B$5)+SUMIFS('Rozpočet - HW a licencie'!$I$3:$I$102,'Rozpočet - HW a licencie'!$A$3:$A$102,'TCO TO BE - HW'!H$2,'Rozpočet - HW a licencie'!$C$3:$C$102,"SW pre HW",'Rozpočet - HW a licencie'!$G$3:$G$102,'TCO TO BE - HW'!$D10,'Rozpočet - HW a licencie'!$D$3:$D$102,'TCO TO BE - HW'!$B$5),)</f>
        <v>0</v>
      </c>
      <c r="I10" s="576">
        <f>IFERROR(SUMIFS('Rozpočet - HW a licencie'!$I$3:$I$102,'Rozpočet - HW a licencie'!$A$3:$A$102,'TCO TO BE - HW'!I$2,'Rozpočet - HW a licencie'!$C$3:$C$102,"HW",'Rozpočet - HW a licencie'!$G$3:$G$102,'TCO TO BE - HW'!$D10,'Rozpočet - HW a licencie'!$D$3:$D$102,'TCO TO BE - HW'!$B$5)+SUMIFS('Rozpočet - HW a licencie'!$I$3:$I$102,'Rozpočet - HW a licencie'!$A$3:$A$102,'TCO TO BE - HW'!I$2,'Rozpočet - HW a licencie'!$C$3:$C$102,"SW pre HW",'Rozpočet - HW a licencie'!$G$3:$G$102,'TCO TO BE - HW'!$D10,'Rozpočet - HW a licencie'!$D$3:$D$102,'TCO TO BE - HW'!$B$5),)</f>
        <v>0</v>
      </c>
      <c r="J10" s="576">
        <f>IFERROR(SUMIFS('Rozpočet - HW a licencie'!$I$3:$I$102,'Rozpočet - HW a licencie'!$A$3:$A$102,'TCO TO BE - HW'!J$2,'Rozpočet - HW a licencie'!$C$3:$C$102,"HW",'Rozpočet - HW a licencie'!$G$3:$G$102,'TCO TO BE - HW'!$D10,'Rozpočet - HW a licencie'!$D$3:$D$102,'TCO TO BE - HW'!$B$5)+SUMIFS('Rozpočet - HW a licencie'!$I$3:$I$102,'Rozpočet - HW a licencie'!$A$3:$A$102,'TCO TO BE - HW'!J$2,'Rozpočet - HW a licencie'!$C$3:$C$102,"SW pre HW",'Rozpočet - HW a licencie'!$G$3:$G$102,'TCO TO BE - HW'!$D10,'Rozpočet - HW a licencie'!$D$3:$D$102,'TCO TO BE - HW'!$B$5),)</f>
        <v>0</v>
      </c>
      <c r="K10" s="576">
        <f>IFERROR(SUMIFS('Rozpočet - HW a licencie'!$I$3:$I$102,'Rozpočet - HW a licencie'!$A$3:$A$102,'TCO TO BE - HW'!K$2,'Rozpočet - HW a licencie'!$C$3:$C$102,"HW",'Rozpočet - HW a licencie'!$G$3:$G$102,'TCO TO BE - HW'!$D10,'Rozpočet - HW a licencie'!$D$3:$D$102,'TCO TO BE - HW'!$B$5)+SUMIFS('Rozpočet - HW a licencie'!$I$3:$I$102,'Rozpočet - HW a licencie'!$A$3:$A$102,'TCO TO BE - HW'!K$2,'Rozpočet - HW a licencie'!$C$3:$C$102,"SW pre HW",'Rozpočet - HW a licencie'!$G$3:$G$102,'TCO TO BE - HW'!$D10,'Rozpočet - HW a licencie'!$D$3:$D$102,'TCO TO BE - HW'!$B$5),)</f>
        <v>0</v>
      </c>
      <c r="L10" s="576">
        <f>IFERROR(SUMIFS('Rozpočet - HW a licencie'!$I$3:$I$102,'Rozpočet - HW a licencie'!$A$3:$A$102,'TCO TO BE - HW'!L$2,'Rozpočet - HW a licencie'!$C$3:$C$102,"HW",'Rozpočet - HW a licencie'!$G$3:$G$102,'TCO TO BE - HW'!$D10,'Rozpočet - HW a licencie'!$D$3:$D$102,'TCO TO BE - HW'!$B$5)+SUMIFS('Rozpočet - HW a licencie'!$I$3:$I$102,'Rozpočet - HW a licencie'!$A$3:$A$102,'TCO TO BE - HW'!L$2,'Rozpočet - HW a licencie'!$C$3:$C$102,"SW pre HW",'Rozpočet - HW a licencie'!$G$3:$G$102,'TCO TO BE - HW'!$D10,'Rozpočet - HW a licencie'!$D$3:$D$102,'TCO TO BE - HW'!$B$5),)</f>
        <v>0</v>
      </c>
      <c r="M10" s="576">
        <f>IFERROR(SUMIFS('Rozpočet - HW a licencie'!$I$3:$I$102,'Rozpočet - HW a licencie'!$A$3:$A$102,'TCO TO BE - HW'!M$2,'Rozpočet - HW a licencie'!$C$3:$C$102,"HW",'Rozpočet - HW a licencie'!$G$3:$G$102,'TCO TO BE - HW'!$D10,'Rozpočet - HW a licencie'!$D$3:$D$102,'TCO TO BE - HW'!$B$5)+SUMIFS('Rozpočet - HW a licencie'!$I$3:$I$102,'Rozpočet - HW a licencie'!$A$3:$A$102,'TCO TO BE - HW'!M$2,'Rozpočet - HW a licencie'!$C$3:$C$102,"SW pre HW",'Rozpočet - HW a licencie'!$G$3:$G$102,'TCO TO BE - HW'!$D10,'Rozpočet - HW a licencie'!$D$3:$D$102,'TCO TO BE - HW'!$B$5),)</f>
        <v>0</v>
      </c>
      <c r="N10" s="576">
        <f>IFERROR(SUMIFS('Rozpočet - HW a licencie'!$I$3:$I$102,'Rozpočet - HW a licencie'!$A$3:$A$102,'TCO TO BE - HW'!N$2,'Rozpočet - HW a licencie'!$C$3:$C$102,"HW",'Rozpočet - HW a licencie'!$G$3:$G$102,'TCO TO BE - HW'!$D10,'Rozpočet - HW a licencie'!$D$3:$D$102,'TCO TO BE - HW'!$B$5)+SUMIFS('Rozpočet - HW a licencie'!$I$3:$I$102,'Rozpočet - HW a licencie'!$A$3:$A$102,'TCO TO BE - HW'!N$2,'Rozpočet - HW a licencie'!$C$3:$C$102,"SW pre HW",'Rozpočet - HW a licencie'!$G$3:$G$102,'TCO TO BE - HW'!$D10,'Rozpočet - HW a licencie'!$D$3:$D$102,'TCO TO BE - HW'!$B$5),)</f>
        <v>0</v>
      </c>
      <c r="O10" s="576">
        <f>IFERROR(SUMIFS('Rozpočet - HW a licencie'!$I$3:$I$102,'Rozpočet - HW a licencie'!$A$3:$A$102,'TCO TO BE - HW'!O$2,'Rozpočet - HW a licencie'!$C$3:$C$102,"HW",'Rozpočet - HW a licencie'!$G$3:$G$102,'TCO TO BE - HW'!$D10,'Rozpočet - HW a licencie'!$D$3:$D$102,'TCO TO BE - HW'!$B$5)+SUMIFS('Rozpočet - HW a licencie'!$I$3:$I$102,'Rozpočet - HW a licencie'!$A$3:$A$102,'TCO TO BE - HW'!O$2,'Rozpočet - HW a licencie'!$C$3:$C$102,"SW pre HW",'Rozpočet - HW a licencie'!$G$3:$G$102,'TCO TO BE - HW'!$D10,'Rozpočet - HW a licencie'!$D$3:$D$102,'TCO TO BE - HW'!$B$5),)</f>
        <v>0</v>
      </c>
      <c r="P10" s="576">
        <f>IFERROR(SUMIFS('Rozpočet - HW a licencie'!$I$3:$I$102,'Rozpočet - HW a licencie'!$A$3:$A$102,'TCO TO BE - HW'!P$2,'Rozpočet - HW a licencie'!$C$3:$C$102,"HW",'Rozpočet - HW a licencie'!$G$3:$G$102,'TCO TO BE - HW'!$D10,'Rozpočet - HW a licencie'!$D$3:$D$102,'TCO TO BE - HW'!$B$5)+SUMIFS('Rozpočet - HW a licencie'!$I$3:$I$102,'Rozpočet - HW a licencie'!$A$3:$A$102,'TCO TO BE - HW'!P$2,'Rozpočet - HW a licencie'!$C$3:$C$102,"SW pre HW",'Rozpočet - HW a licencie'!$G$3:$G$102,'TCO TO BE - HW'!$D10,'Rozpočet - HW a licencie'!$D$3:$D$102,'TCO TO BE - HW'!$B$5),)</f>
        <v>0</v>
      </c>
      <c r="Q10" s="576">
        <f>IFERROR(SUMIFS('Rozpočet - HW a licencie'!$I$3:$I$102,'Rozpočet - HW a licencie'!$A$3:$A$102,'TCO TO BE - HW'!Q$2,'Rozpočet - HW a licencie'!$C$3:$C$102,"HW",'Rozpočet - HW a licencie'!$G$3:$G$102,'TCO TO BE - HW'!$D10,'Rozpočet - HW a licencie'!$D$3:$D$102,'TCO TO BE - HW'!$B$5)+SUMIFS('Rozpočet - HW a licencie'!$I$3:$I$102,'Rozpočet - HW a licencie'!$A$3:$A$102,'TCO TO BE - HW'!Q$2,'Rozpočet - HW a licencie'!$C$3:$C$102,"SW pre HW",'Rozpočet - HW a licencie'!$G$3:$G$102,'TCO TO BE - HW'!$D10,'Rozpočet - HW a licencie'!$D$3:$D$102,'TCO TO BE - HW'!$B$5),)</f>
        <v>0</v>
      </c>
      <c r="R10" s="576">
        <f>IFERROR(SUMIFS('Rozpočet - HW a licencie'!$I$3:$I$102,'Rozpočet - HW a licencie'!$A$3:$A$102,'TCO TO BE - HW'!R$2,'Rozpočet - HW a licencie'!$C$3:$C$102,"HW",'Rozpočet - HW a licencie'!$G$3:$G$102,'TCO TO BE - HW'!$D10,'Rozpočet - HW a licencie'!$D$3:$D$102,'TCO TO BE - HW'!$B$5)+SUMIFS('Rozpočet - HW a licencie'!$I$3:$I$102,'Rozpočet - HW a licencie'!$A$3:$A$102,'TCO TO BE - HW'!R$2,'Rozpočet - HW a licencie'!$C$3:$C$102,"SW pre HW",'Rozpočet - HW a licencie'!$G$3:$G$102,'TCO TO BE - HW'!$D10,'Rozpočet - HW a licencie'!$D$3:$D$102,'TCO TO BE - HW'!$B$5),)</f>
        <v>0</v>
      </c>
      <c r="S10" s="576">
        <f>IFERROR(SUMIFS('Rozpočet - HW a licencie'!$I$3:$I$102,'Rozpočet - HW a licencie'!$A$3:$A$102,'TCO TO BE - HW'!S$2,'Rozpočet - HW a licencie'!$C$3:$C$102,"HW",'Rozpočet - HW a licencie'!$G$3:$G$102,'TCO TO BE - HW'!$D10,'Rozpočet - HW a licencie'!$D$3:$D$102,'TCO TO BE - HW'!$B$5)+SUMIFS('Rozpočet - HW a licencie'!$I$3:$I$102,'Rozpočet - HW a licencie'!$A$3:$A$102,'TCO TO BE - HW'!S$2,'Rozpočet - HW a licencie'!$C$3:$C$102,"SW pre HW",'Rozpočet - HW a licencie'!$G$3:$G$102,'TCO TO BE - HW'!$D10,'Rozpočet - HW a licencie'!$D$3:$D$102,'TCO TO BE - HW'!$B$5),)</f>
        <v>0</v>
      </c>
      <c r="T10" s="576">
        <f>IFERROR(SUMIFS('Rozpočet - HW a licencie'!$I$3:$I$102,'Rozpočet - HW a licencie'!$A$3:$A$102,'TCO TO BE - HW'!T$2,'Rozpočet - HW a licencie'!$C$3:$C$102,"HW",'Rozpočet - HW a licencie'!$G$3:$G$102,'TCO TO BE - HW'!$D10,'Rozpočet - HW a licencie'!$D$3:$D$102,'TCO TO BE - HW'!$B$5)+SUMIFS('Rozpočet - HW a licencie'!$I$3:$I$102,'Rozpočet - HW a licencie'!$A$3:$A$102,'TCO TO BE - HW'!T$2,'Rozpočet - HW a licencie'!$C$3:$C$102,"SW pre HW",'Rozpočet - HW a licencie'!$G$3:$G$102,'TCO TO BE - HW'!$D10,'Rozpočet - HW a licencie'!$D$3:$D$102,'TCO TO BE - HW'!$B$5),)</f>
        <v>0</v>
      </c>
      <c r="U10" s="576">
        <f>IFERROR(SUMIFS('Rozpočet - HW a licencie'!$I$3:$I$102,'Rozpočet - HW a licencie'!$A$3:$A$102,'TCO TO BE - HW'!U$2,'Rozpočet - HW a licencie'!$C$3:$C$102,"HW",'Rozpočet - HW a licencie'!$G$3:$G$102,'TCO TO BE - HW'!$D10,'Rozpočet - HW a licencie'!$D$3:$D$102,'TCO TO BE - HW'!$B$5)+SUMIFS('Rozpočet - HW a licencie'!$I$3:$I$102,'Rozpočet - HW a licencie'!$A$3:$A$102,'TCO TO BE - HW'!U$2,'Rozpočet - HW a licencie'!$C$3:$C$102,"SW pre HW",'Rozpočet - HW a licencie'!$G$3:$G$102,'TCO TO BE - HW'!$D10,'Rozpočet - HW a licencie'!$D$3:$D$102,'TCO TO BE - HW'!$B$5),)</f>
        <v>0</v>
      </c>
      <c r="V10" s="576">
        <f>IFERROR(SUMIFS('Rozpočet - HW a licencie'!$I$3:$I$102,'Rozpočet - HW a licencie'!$A$3:$A$102,'TCO TO BE - HW'!V$2,'Rozpočet - HW a licencie'!$C$3:$C$102,"HW",'Rozpočet - HW a licencie'!$G$3:$G$102,'TCO TO BE - HW'!$D10,'Rozpočet - HW a licencie'!$D$3:$D$102,'TCO TO BE - HW'!$B$5)+SUMIFS('Rozpočet - HW a licencie'!$I$3:$I$102,'Rozpočet - HW a licencie'!$A$3:$A$102,'TCO TO BE - HW'!V$2,'Rozpočet - HW a licencie'!$C$3:$C$102,"SW pre HW",'Rozpočet - HW a licencie'!$G$3:$G$102,'TCO TO BE - HW'!$D10,'Rozpočet - HW a licencie'!$D$3:$D$102,'TCO TO BE - HW'!$B$5),)</f>
        <v>0</v>
      </c>
      <c r="W10" s="576">
        <f>IFERROR(SUMIFS('Rozpočet - HW a licencie'!$I$3:$I$102,'Rozpočet - HW a licencie'!$A$3:$A$102,'TCO TO BE - HW'!W$2,'Rozpočet - HW a licencie'!$C$3:$C$102,"HW",'Rozpočet - HW a licencie'!$G$3:$G$102,'TCO TO BE - HW'!$D10,'Rozpočet - HW a licencie'!$D$3:$D$102,'TCO TO BE - HW'!$B$5)+SUMIFS('Rozpočet - HW a licencie'!$I$3:$I$102,'Rozpočet - HW a licencie'!$A$3:$A$102,'TCO TO BE - HW'!W$2,'Rozpočet - HW a licencie'!$C$3:$C$102,"SW pre HW",'Rozpočet - HW a licencie'!$G$3:$G$102,'TCO TO BE - HW'!$D10,'Rozpočet - HW a licencie'!$D$3:$D$102,'TCO TO BE - HW'!$B$5),)</f>
        <v>0</v>
      </c>
      <c r="X10" s="576">
        <f>IFERROR(SUMIFS('Rozpočet - HW a licencie'!$I$3:$I$102,'Rozpočet - HW a licencie'!$A$3:$A$102,'TCO TO BE - HW'!X$2,'Rozpočet - HW a licencie'!$C$3:$C$102,"HW",'Rozpočet - HW a licencie'!$G$3:$G$102,'TCO TO BE - HW'!$D10,'Rozpočet - HW a licencie'!$D$3:$D$102,'TCO TO BE - HW'!$B$5)+SUMIFS('Rozpočet - HW a licencie'!$I$3:$I$102,'Rozpočet - HW a licencie'!$A$3:$A$102,'TCO TO BE - HW'!X$2,'Rozpočet - HW a licencie'!$C$3:$C$102,"SW pre HW",'Rozpočet - HW a licencie'!$G$3:$G$102,'TCO TO BE - HW'!$D10,'Rozpočet - HW a licencie'!$D$3:$D$102,'TCO TO BE - HW'!$B$5),)</f>
        <v>0</v>
      </c>
      <c r="Y10" s="576">
        <f>IFERROR(SUMIFS('Rozpočet - HW a licencie'!$I$3:$I$102,'Rozpočet - HW a licencie'!$A$3:$A$102,'TCO TO BE - HW'!Y$2,'Rozpočet - HW a licencie'!$C$3:$C$102,"HW",'Rozpočet - HW a licencie'!$G$3:$G$102,'TCO TO BE - HW'!$D10,'Rozpočet - HW a licencie'!$D$3:$D$102,'TCO TO BE - HW'!$B$5)+SUMIFS('Rozpočet - HW a licencie'!$I$3:$I$102,'Rozpočet - HW a licencie'!$A$3:$A$102,'TCO TO BE - HW'!Y$2,'Rozpočet - HW a licencie'!$C$3:$C$102,"SW pre HW",'Rozpočet - HW a licencie'!$G$3:$G$102,'TCO TO BE - HW'!$D10,'Rozpočet - HW a licencie'!$D$3:$D$102,'TCO TO BE - HW'!$B$5),)</f>
        <v>0</v>
      </c>
      <c r="Z10" s="576">
        <f>IFERROR(SUMIFS('Rozpočet - HW a licencie'!$I$3:$I$102,'Rozpočet - HW a licencie'!$A$3:$A$102,'TCO TO BE - HW'!Z$2,'Rozpočet - HW a licencie'!$C$3:$C$102,"HW",'Rozpočet - HW a licencie'!$G$3:$G$102,'TCO TO BE - HW'!$D10,'Rozpočet - HW a licencie'!$D$3:$D$102,'TCO TO BE - HW'!$B$5)+SUMIFS('Rozpočet - HW a licencie'!$I$3:$I$102,'Rozpočet - HW a licencie'!$A$3:$A$102,'TCO TO BE - HW'!Z$2,'Rozpočet - HW a licencie'!$C$3:$C$102,"SW pre HW",'Rozpočet - HW a licencie'!$G$3:$G$102,'TCO TO BE - HW'!$D10,'Rozpočet - HW a licencie'!$D$3:$D$102,'TCO TO BE - HW'!$B$5),)</f>
        <v>0</v>
      </c>
    </row>
    <row r="11" spans="1:26" hidden="1" outlineLevel="1">
      <c r="A11" s="875"/>
      <c r="B11" s="876"/>
      <c r="C11" s="876"/>
      <c r="D11" s="495">
        <v>7</v>
      </c>
      <c r="E11" s="68">
        <f t="shared" si="2"/>
        <v>0</v>
      </c>
      <c r="F11" s="576">
        <f>IFERROR(SUMIFS('Rozpočet - HW a licencie'!$I$3:$I$102,'Rozpočet - HW a licencie'!$A$3:$A$102,'TCO TO BE - HW'!F$2,'Rozpočet - HW a licencie'!$C$3:$C$102,"HW",'Rozpočet - HW a licencie'!$G$3:$G$102,'TCO TO BE - HW'!$D11,'Rozpočet - HW a licencie'!$D$3:$D$102,'TCO TO BE - HW'!$B$5)+SUMIFS('Rozpočet - HW a licencie'!$I$3:$I$102,'Rozpočet - HW a licencie'!$A$3:$A$102,'TCO TO BE - HW'!F$2,'Rozpočet - HW a licencie'!$C$3:$C$102,"SW pre HW",'Rozpočet - HW a licencie'!$G$3:$G$102,'TCO TO BE - HW'!$D11,'Rozpočet - HW a licencie'!$D$3:$D$102,'TCO TO BE - HW'!$B$5),)</f>
        <v>0</v>
      </c>
      <c r="G11" s="576">
        <f>IFERROR(SUMIFS('Rozpočet - HW a licencie'!$I$3:$I$102,'Rozpočet - HW a licencie'!$A$3:$A$102,'TCO TO BE - HW'!G$2,'Rozpočet - HW a licencie'!$C$3:$C$102,"HW",'Rozpočet - HW a licencie'!$G$3:$G$102,'TCO TO BE - HW'!$D11,'Rozpočet - HW a licencie'!$D$3:$D$102,'TCO TO BE - HW'!$B$5)+SUMIFS('Rozpočet - HW a licencie'!$I$3:$I$102,'Rozpočet - HW a licencie'!$A$3:$A$102,'TCO TO BE - HW'!G$2,'Rozpočet - HW a licencie'!$C$3:$C$102,"SW pre HW",'Rozpočet - HW a licencie'!$G$3:$G$102,'TCO TO BE - HW'!$D11,'Rozpočet - HW a licencie'!$D$3:$D$102,'TCO TO BE - HW'!$B$5),)</f>
        <v>0</v>
      </c>
      <c r="H11" s="576">
        <f>IFERROR(SUMIFS('Rozpočet - HW a licencie'!$I$3:$I$102,'Rozpočet - HW a licencie'!$A$3:$A$102,'TCO TO BE - HW'!H$2,'Rozpočet - HW a licencie'!$C$3:$C$102,"HW",'Rozpočet - HW a licencie'!$G$3:$G$102,'TCO TO BE - HW'!$D11,'Rozpočet - HW a licencie'!$D$3:$D$102,'TCO TO BE - HW'!$B$5)+SUMIFS('Rozpočet - HW a licencie'!$I$3:$I$102,'Rozpočet - HW a licencie'!$A$3:$A$102,'TCO TO BE - HW'!H$2,'Rozpočet - HW a licencie'!$C$3:$C$102,"SW pre HW",'Rozpočet - HW a licencie'!$G$3:$G$102,'TCO TO BE - HW'!$D11,'Rozpočet - HW a licencie'!$D$3:$D$102,'TCO TO BE - HW'!$B$5),)</f>
        <v>0</v>
      </c>
      <c r="I11" s="576">
        <f>IFERROR(SUMIFS('Rozpočet - HW a licencie'!$I$3:$I$102,'Rozpočet - HW a licencie'!$A$3:$A$102,'TCO TO BE - HW'!I$2,'Rozpočet - HW a licencie'!$C$3:$C$102,"HW",'Rozpočet - HW a licencie'!$G$3:$G$102,'TCO TO BE - HW'!$D11,'Rozpočet - HW a licencie'!$D$3:$D$102,'TCO TO BE - HW'!$B$5)+SUMIFS('Rozpočet - HW a licencie'!$I$3:$I$102,'Rozpočet - HW a licencie'!$A$3:$A$102,'TCO TO BE - HW'!I$2,'Rozpočet - HW a licencie'!$C$3:$C$102,"SW pre HW",'Rozpočet - HW a licencie'!$G$3:$G$102,'TCO TO BE - HW'!$D11,'Rozpočet - HW a licencie'!$D$3:$D$102,'TCO TO BE - HW'!$B$5),)</f>
        <v>0</v>
      </c>
      <c r="J11" s="576">
        <f>IFERROR(SUMIFS('Rozpočet - HW a licencie'!$I$3:$I$102,'Rozpočet - HW a licencie'!$A$3:$A$102,'TCO TO BE - HW'!J$2,'Rozpočet - HW a licencie'!$C$3:$C$102,"HW",'Rozpočet - HW a licencie'!$G$3:$G$102,'TCO TO BE - HW'!$D11,'Rozpočet - HW a licencie'!$D$3:$D$102,'TCO TO BE - HW'!$B$5)+SUMIFS('Rozpočet - HW a licencie'!$I$3:$I$102,'Rozpočet - HW a licencie'!$A$3:$A$102,'TCO TO BE - HW'!J$2,'Rozpočet - HW a licencie'!$C$3:$C$102,"SW pre HW",'Rozpočet - HW a licencie'!$G$3:$G$102,'TCO TO BE - HW'!$D11,'Rozpočet - HW a licencie'!$D$3:$D$102,'TCO TO BE - HW'!$B$5),)</f>
        <v>0</v>
      </c>
      <c r="K11" s="576">
        <f>IFERROR(SUMIFS('Rozpočet - HW a licencie'!$I$3:$I$102,'Rozpočet - HW a licencie'!$A$3:$A$102,'TCO TO BE - HW'!K$2,'Rozpočet - HW a licencie'!$C$3:$C$102,"HW",'Rozpočet - HW a licencie'!$G$3:$G$102,'TCO TO BE - HW'!$D11,'Rozpočet - HW a licencie'!$D$3:$D$102,'TCO TO BE - HW'!$B$5)+SUMIFS('Rozpočet - HW a licencie'!$I$3:$I$102,'Rozpočet - HW a licencie'!$A$3:$A$102,'TCO TO BE - HW'!K$2,'Rozpočet - HW a licencie'!$C$3:$C$102,"SW pre HW",'Rozpočet - HW a licencie'!$G$3:$G$102,'TCO TO BE - HW'!$D11,'Rozpočet - HW a licencie'!$D$3:$D$102,'TCO TO BE - HW'!$B$5),)</f>
        <v>0</v>
      </c>
      <c r="L11" s="576">
        <f>IFERROR(SUMIFS('Rozpočet - HW a licencie'!$I$3:$I$102,'Rozpočet - HW a licencie'!$A$3:$A$102,'TCO TO BE - HW'!L$2,'Rozpočet - HW a licencie'!$C$3:$C$102,"HW",'Rozpočet - HW a licencie'!$G$3:$G$102,'TCO TO BE - HW'!$D11,'Rozpočet - HW a licencie'!$D$3:$D$102,'TCO TO BE - HW'!$B$5)+SUMIFS('Rozpočet - HW a licencie'!$I$3:$I$102,'Rozpočet - HW a licencie'!$A$3:$A$102,'TCO TO BE - HW'!L$2,'Rozpočet - HW a licencie'!$C$3:$C$102,"SW pre HW",'Rozpočet - HW a licencie'!$G$3:$G$102,'TCO TO BE - HW'!$D11,'Rozpočet - HW a licencie'!$D$3:$D$102,'TCO TO BE - HW'!$B$5),)</f>
        <v>0</v>
      </c>
      <c r="M11" s="576">
        <f>IFERROR(SUMIFS('Rozpočet - HW a licencie'!$I$3:$I$102,'Rozpočet - HW a licencie'!$A$3:$A$102,'TCO TO BE - HW'!M$2,'Rozpočet - HW a licencie'!$C$3:$C$102,"HW",'Rozpočet - HW a licencie'!$G$3:$G$102,'TCO TO BE - HW'!$D11,'Rozpočet - HW a licencie'!$D$3:$D$102,'TCO TO BE - HW'!$B$5)+SUMIFS('Rozpočet - HW a licencie'!$I$3:$I$102,'Rozpočet - HW a licencie'!$A$3:$A$102,'TCO TO BE - HW'!M$2,'Rozpočet - HW a licencie'!$C$3:$C$102,"SW pre HW",'Rozpočet - HW a licencie'!$G$3:$G$102,'TCO TO BE - HW'!$D11,'Rozpočet - HW a licencie'!$D$3:$D$102,'TCO TO BE - HW'!$B$5),)</f>
        <v>0</v>
      </c>
      <c r="N11" s="576">
        <f>IFERROR(SUMIFS('Rozpočet - HW a licencie'!$I$3:$I$102,'Rozpočet - HW a licencie'!$A$3:$A$102,'TCO TO BE - HW'!N$2,'Rozpočet - HW a licencie'!$C$3:$C$102,"HW",'Rozpočet - HW a licencie'!$G$3:$G$102,'TCO TO BE - HW'!$D11,'Rozpočet - HW a licencie'!$D$3:$D$102,'TCO TO BE - HW'!$B$5)+SUMIFS('Rozpočet - HW a licencie'!$I$3:$I$102,'Rozpočet - HW a licencie'!$A$3:$A$102,'TCO TO BE - HW'!N$2,'Rozpočet - HW a licencie'!$C$3:$C$102,"SW pre HW",'Rozpočet - HW a licencie'!$G$3:$G$102,'TCO TO BE - HW'!$D11,'Rozpočet - HW a licencie'!$D$3:$D$102,'TCO TO BE - HW'!$B$5),)</f>
        <v>0</v>
      </c>
      <c r="O11" s="576">
        <f>IFERROR(SUMIFS('Rozpočet - HW a licencie'!$I$3:$I$102,'Rozpočet - HW a licencie'!$A$3:$A$102,'TCO TO BE - HW'!O$2,'Rozpočet - HW a licencie'!$C$3:$C$102,"HW",'Rozpočet - HW a licencie'!$G$3:$G$102,'TCO TO BE - HW'!$D11,'Rozpočet - HW a licencie'!$D$3:$D$102,'TCO TO BE - HW'!$B$5)+SUMIFS('Rozpočet - HW a licencie'!$I$3:$I$102,'Rozpočet - HW a licencie'!$A$3:$A$102,'TCO TO BE - HW'!O$2,'Rozpočet - HW a licencie'!$C$3:$C$102,"SW pre HW",'Rozpočet - HW a licencie'!$G$3:$G$102,'TCO TO BE - HW'!$D11,'Rozpočet - HW a licencie'!$D$3:$D$102,'TCO TO BE - HW'!$B$5),)</f>
        <v>0</v>
      </c>
      <c r="P11" s="576">
        <f>IFERROR(SUMIFS('Rozpočet - HW a licencie'!$I$3:$I$102,'Rozpočet - HW a licencie'!$A$3:$A$102,'TCO TO BE - HW'!P$2,'Rozpočet - HW a licencie'!$C$3:$C$102,"HW",'Rozpočet - HW a licencie'!$G$3:$G$102,'TCO TO BE - HW'!$D11,'Rozpočet - HW a licencie'!$D$3:$D$102,'TCO TO BE - HW'!$B$5)+SUMIFS('Rozpočet - HW a licencie'!$I$3:$I$102,'Rozpočet - HW a licencie'!$A$3:$A$102,'TCO TO BE - HW'!P$2,'Rozpočet - HW a licencie'!$C$3:$C$102,"SW pre HW",'Rozpočet - HW a licencie'!$G$3:$G$102,'TCO TO BE - HW'!$D11,'Rozpočet - HW a licencie'!$D$3:$D$102,'TCO TO BE - HW'!$B$5),)</f>
        <v>0</v>
      </c>
      <c r="Q11" s="576">
        <f>IFERROR(SUMIFS('Rozpočet - HW a licencie'!$I$3:$I$102,'Rozpočet - HW a licencie'!$A$3:$A$102,'TCO TO BE - HW'!Q$2,'Rozpočet - HW a licencie'!$C$3:$C$102,"HW",'Rozpočet - HW a licencie'!$G$3:$G$102,'TCO TO BE - HW'!$D11,'Rozpočet - HW a licencie'!$D$3:$D$102,'TCO TO BE - HW'!$B$5)+SUMIFS('Rozpočet - HW a licencie'!$I$3:$I$102,'Rozpočet - HW a licencie'!$A$3:$A$102,'TCO TO BE - HW'!Q$2,'Rozpočet - HW a licencie'!$C$3:$C$102,"SW pre HW",'Rozpočet - HW a licencie'!$G$3:$G$102,'TCO TO BE - HW'!$D11,'Rozpočet - HW a licencie'!$D$3:$D$102,'TCO TO BE - HW'!$B$5),)</f>
        <v>0</v>
      </c>
      <c r="R11" s="576">
        <f>IFERROR(SUMIFS('Rozpočet - HW a licencie'!$I$3:$I$102,'Rozpočet - HW a licencie'!$A$3:$A$102,'TCO TO BE - HW'!R$2,'Rozpočet - HW a licencie'!$C$3:$C$102,"HW",'Rozpočet - HW a licencie'!$G$3:$G$102,'TCO TO BE - HW'!$D11,'Rozpočet - HW a licencie'!$D$3:$D$102,'TCO TO BE - HW'!$B$5)+SUMIFS('Rozpočet - HW a licencie'!$I$3:$I$102,'Rozpočet - HW a licencie'!$A$3:$A$102,'TCO TO BE - HW'!R$2,'Rozpočet - HW a licencie'!$C$3:$C$102,"SW pre HW",'Rozpočet - HW a licencie'!$G$3:$G$102,'TCO TO BE - HW'!$D11,'Rozpočet - HW a licencie'!$D$3:$D$102,'TCO TO BE - HW'!$B$5),)</f>
        <v>0</v>
      </c>
      <c r="S11" s="576">
        <f>IFERROR(SUMIFS('Rozpočet - HW a licencie'!$I$3:$I$102,'Rozpočet - HW a licencie'!$A$3:$A$102,'TCO TO BE - HW'!S$2,'Rozpočet - HW a licencie'!$C$3:$C$102,"HW",'Rozpočet - HW a licencie'!$G$3:$G$102,'TCO TO BE - HW'!$D11,'Rozpočet - HW a licencie'!$D$3:$D$102,'TCO TO BE - HW'!$B$5)+SUMIFS('Rozpočet - HW a licencie'!$I$3:$I$102,'Rozpočet - HW a licencie'!$A$3:$A$102,'TCO TO BE - HW'!S$2,'Rozpočet - HW a licencie'!$C$3:$C$102,"SW pre HW",'Rozpočet - HW a licencie'!$G$3:$G$102,'TCO TO BE - HW'!$D11,'Rozpočet - HW a licencie'!$D$3:$D$102,'TCO TO BE - HW'!$B$5),)</f>
        <v>0</v>
      </c>
      <c r="T11" s="576">
        <f>IFERROR(SUMIFS('Rozpočet - HW a licencie'!$I$3:$I$102,'Rozpočet - HW a licencie'!$A$3:$A$102,'TCO TO BE - HW'!T$2,'Rozpočet - HW a licencie'!$C$3:$C$102,"HW",'Rozpočet - HW a licencie'!$G$3:$G$102,'TCO TO BE - HW'!$D11,'Rozpočet - HW a licencie'!$D$3:$D$102,'TCO TO BE - HW'!$B$5)+SUMIFS('Rozpočet - HW a licencie'!$I$3:$I$102,'Rozpočet - HW a licencie'!$A$3:$A$102,'TCO TO BE - HW'!T$2,'Rozpočet - HW a licencie'!$C$3:$C$102,"SW pre HW",'Rozpočet - HW a licencie'!$G$3:$G$102,'TCO TO BE - HW'!$D11,'Rozpočet - HW a licencie'!$D$3:$D$102,'TCO TO BE - HW'!$B$5),)</f>
        <v>0</v>
      </c>
      <c r="U11" s="576">
        <f>IFERROR(SUMIFS('Rozpočet - HW a licencie'!$I$3:$I$102,'Rozpočet - HW a licencie'!$A$3:$A$102,'TCO TO BE - HW'!U$2,'Rozpočet - HW a licencie'!$C$3:$C$102,"HW",'Rozpočet - HW a licencie'!$G$3:$G$102,'TCO TO BE - HW'!$D11,'Rozpočet - HW a licencie'!$D$3:$D$102,'TCO TO BE - HW'!$B$5)+SUMIFS('Rozpočet - HW a licencie'!$I$3:$I$102,'Rozpočet - HW a licencie'!$A$3:$A$102,'TCO TO BE - HW'!U$2,'Rozpočet - HW a licencie'!$C$3:$C$102,"SW pre HW",'Rozpočet - HW a licencie'!$G$3:$G$102,'TCO TO BE - HW'!$D11,'Rozpočet - HW a licencie'!$D$3:$D$102,'TCO TO BE - HW'!$B$5),)</f>
        <v>0</v>
      </c>
      <c r="V11" s="576">
        <f>IFERROR(SUMIFS('Rozpočet - HW a licencie'!$I$3:$I$102,'Rozpočet - HW a licencie'!$A$3:$A$102,'TCO TO BE - HW'!V$2,'Rozpočet - HW a licencie'!$C$3:$C$102,"HW",'Rozpočet - HW a licencie'!$G$3:$G$102,'TCO TO BE - HW'!$D11,'Rozpočet - HW a licencie'!$D$3:$D$102,'TCO TO BE - HW'!$B$5)+SUMIFS('Rozpočet - HW a licencie'!$I$3:$I$102,'Rozpočet - HW a licencie'!$A$3:$A$102,'TCO TO BE - HW'!V$2,'Rozpočet - HW a licencie'!$C$3:$C$102,"SW pre HW",'Rozpočet - HW a licencie'!$G$3:$G$102,'TCO TO BE - HW'!$D11,'Rozpočet - HW a licencie'!$D$3:$D$102,'TCO TO BE - HW'!$B$5),)</f>
        <v>0</v>
      </c>
      <c r="W11" s="576">
        <f>IFERROR(SUMIFS('Rozpočet - HW a licencie'!$I$3:$I$102,'Rozpočet - HW a licencie'!$A$3:$A$102,'TCO TO BE - HW'!W$2,'Rozpočet - HW a licencie'!$C$3:$C$102,"HW",'Rozpočet - HW a licencie'!$G$3:$G$102,'TCO TO BE - HW'!$D11,'Rozpočet - HW a licencie'!$D$3:$D$102,'TCO TO BE - HW'!$B$5)+SUMIFS('Rozpočet - HW a licencie'!$I$3:$I$102,'Rozpočet - HW a licencie'!$A$3:$A$102,'TCO TO BE - HW'!W$2,'Rozpočet - HW a licencie'!$C$3:$C$102,"SW pre HW",'Rozpočet - HW a licencie'!$G$3:$G$102,'TCO TO BE - HW'!$D11,'Rozpočet - HW a licencie'!$D$3:$D$102,'TCO TO BE - HW'!$B$5),)</f>
        <v>0</v>
      </c>
      <c r="X11" s="576">
        <f>IFERROR(SUMIFS('Rozpočet - HW a licencie'!$I$3:$I$102,'Rozpočet - HW a licencie'!$A$3:$A$102,'TCO TO BE - HW'!X$2,'Rozpočet - HW a licencie'!$C$3:$C$102,"HW",'Rozpočet - HW a licencie'!$G$3:$G$102,'TCO TO BE - HW'!$D11,'Rozpočet - HW a licencie'!$D$3:$D$102,'TCO TO BE - HW'!$B$5)+SUMIFS('Rozpočet - HW a licencie'!$I$3:$I$102,'Rozpočet - HW a licencie'!$A$3:$A$102,'TCO TO BE - HW'!X$2,'Rozpočet - HW a licencie'!$C$3:$C$102,"SW pre HW",'Rozpočet - HW a licencie'!$G$3:$G$102,'TCO TO BE - HW'!$D11,'Rozpočet - HW a licencie'!$D$3:$D$102,'TCO TO BE - HW'!$B$5),)</f>
        <v>0</v>
      </c>
      <c r="Y11" s="576">
        <f>IFERROR(SUMIFS('Rozpočet - HW a licencie'!$I$3:$I$102,'Rozpočet - HW a licencie'!$A$3:$A$102,'TCO TO BE - HW'!Y$2,'Rozpočet - HW a licencie'!$C$3:$C$102,"HW",'Rozpočet - HW a licencie'!$G$3:$G$102,'TCO TO BE - HW'!$D11,'Rozpočet - HW a licencie'!$D$3:$D$102,'TCO TO BE - HW'!$B$5)+SUMIFS('Rozpočet - HW a licencie'!$I$3:$I$102,'Rozpočet - HW a licencie'!$A$3:$A$102,'TCO TO BE - HW'!Y$2,'Rozpočet - HW a licencie'!$C$3:$C$102,"SW pre HW",'Rozpočet - HW a licencie'!$G$3:$G$102,'TCO TO BE - HW'!$D11,'Rozpočet - HW a licencie'!$D$3:$D$102,'TCO TO BE - HW'!$B$5),)</f>
        <v>0</v>
      </c>
      <c r="Z11" s="576">
        <f>IFERROR(SUMIFS('Rozpočet - HW a licencie'!$I$3:$I$102,'Rozpočet - HW a licencie'!$A$3:$A$102,'TCO TO BE - HW'!Z$2,'Rozpočet - HW a licencie'!$C$3:$C$102,"HW",'Rozpočet - HW a licencie'!$G$3:$G$102,'TCO TO BE - HW'!$D11,'Rozpočet - HW a licencie'!$D$3:$D$102,'TCO TO BE - HW'!$B$5)+SUMIFS('Rozpočet - HW a licencie'!$I$3:$I$102,'Rozpočet - HW a licencie'!$A$3:$A$102,'TCO TO BE - HW'!Z$2,'Rozpočet - HW a licencie'!$C$3:$C$102,"SW pre HW",'Rozpočet - HW a licencie'!$G$3:$G$102,'TCO TO BE - HW'!$D11,'Rozpočet - HW a licencie'!$D$3:$D$102,'TCO TO BE - HW'!$B$5),)</f>
        <v>0</v>
      </c>
    </row>
    <row r="12" spans="1:26" hidden="1" outlineLevel="1">
      <c r="A12" s="875"/>
      <c r="B12" s="876"/>
      <c r="C12" s="876"/>
      <c r="D12" s="495">
        <v>8</v>
      </c>
      <c r="E12" s="68">
        <f t="shared" si="2"/>
        <v>0</v>
      </c>
      <c r="F12" s="576">
        <f>IFERROR(SUMIFS('Rozpočet - HW a licencie'!$I$3:$I$102,'Rozpočet - HW a licencie'!$A$3:$A$102,'TCO TO BE - HW'!F$2,'Rozpočet - HW a licencie'!$C$3:$C$102,"HW",'Rozpočet - HW a licencie'!$G$3:$G$102,'TCO TO BE - HW'!$D12,'Rozpočet - HW a licencie'!$D$3:$D$102,'TCO TO BE - HW'!$B$5)+SUMIFS('Rozpočet - HW a licencie'!$I$3:$I$102,'Rozpočet - HW a licencie'!$A$3:$A$102,'TCO TO BE - HW'!F$2,'Rozpočet - HW a licencie'!$C$3:$C$102,"SW pre HW",'Rozpočet - HW a licencie'!$G$3:$G$102,'TCO TO BE - HW'!$D12,'Rozpočet - HW a licencie'!$D$3:$D$102,'TCO TO BE - HW'!$B$5),)</f>
        <v>0</v>
      </c>
      <c r="G12" s="576">
        <f>IFERROR(SUMIFS('Rozpočet - HW a licencie'!$I$3:$I$102,'Rozpočet - HW a licencie'!$A$3:$A$102,'TCO TO BE - HW'!G$2,'Rozpočet - HW a licencie'!$C$3:$C$102,"HW",'Rozpočet - HW a licencie'!$G$3:$G$102,'TCO TO BE - HW'!$D12,'Rozpočet - HW a licencie'!$D$3:$D$102,'TCO TO BE - HW'!$B$5)+SUMIFS('Rozpočet - HW a licencie'!$I$3:$I$102,'Rozpočet - HW a licencie'!$A$3:$A$102,'TCO TO BE - HW'!G$2,'Rozpočet - HW a licencie'!$C$3:$C$102,"SW pre HW",'Rozpočet - HW a licencie'!$G$3:$G$102,'TCO TO BE - HW'!$D12,'Rozpočet - HW a licencie'!$D$3:$D$102,'TCO TO BE - HW'!$B$5),)</f>
        <v>0</v>
      </c>
      <c r="H12" s="576">
        <f>IFERROR(SUMIFS('Rozpočet - HW a licencie'!$I$3:$I$102,'Rozpočet - HW a licencie'!$A$3:$A$102,'TCO TO BE - HW'!H$2,'Rozpočet - HW a licencie'!$C$3:$C$102,"HW",'Rozpočet - HW a licencie'!$G$3:$G$102,'TCO TO BE - HW'!$D12,'Rozpočet - HW a licencie'!$D$3:$D$102,'TCO TO BE - HW'!$B$5)+SUMIFS('Rozpočet - HW a licencie'!$I$3:$I$102,'Rozpočet - HW a licencie'!$A$3:$A$102,'TCO TO BE - HW'!H$2,'Rozpočet - HW a licencie'!$C$3:$C$102,"SW pre HW",'Rozpočet - HW a licencie'!$G$3:$G$102,'TCO TO BE - HW'!$D12,'Rozpočet - HW a licencie'!$D$3:$D$102,'TCO TO BE - HW'!$B$5),)</f>
        <v>0</v>
      </c>
      <c r="I12" s="576">
        <f>IFERROR(SUMIFS('Rozpočet - HW a licencie'!$I$3:$I$102,'Rozpočet - HW a licencie'!$A$3:$A$102,'TCO TO BE - HW'!I$2,'Rozpočet - HW a licencie'!$C$3:$C$102,"HW",'Rozpočet - HW a licencie'!$G$3:$G$102,'TCO TO BE - HW'!$D12,'Rozpočet - HW a licencie'!$D$3:$D$102,'TCO TO BE - HW'!$B$5)+SUMIFS('Rozpočet - HW a licencie'!$I$3:$I$102,'Rozpočet - HW a licencie'!$A$3:$A$102,'TCO TO BE - HW'!I$2,'Rozpočet - HW a licencie'!$C$3:$C$102,"SW pre HW",'Rozpočet - HW a licencie'!$G$3:$G$102,'TCO TO BE - HW'!$D12,'Rozpočet - HW a licencie'!$D$3:$D$102,'TCO TO BE - HW'!$B$5),)</f>
        <v>0</v>
      </c>
      <c r="J12" s="576">
        <f>IFERROR(SUMIFS('Rozpočet - HW a licencie'!$I$3:$I$102,'Rozpočet - HW a licencie'!$A$3:$A$102,'TCO TO BE - HW'!J$2,'Rozpočet - HW a licencie'!$C$3:$C$102,"HW",'Rozpočet - HW a licencie'!$G$3:$G$102,'TCO TO BE - HW'!$D12,'Rozpočet - HW a licencie'!$D$3:$D$102,'TCO TO BE - HW'!$B$5)+SUMIFS('Rozpočet - HW a licencie'!$I$3:$I$102,'Rozpočet - HW a licencie'!$A$3:$A$102,'TCO TO BE - HW'!J$2,'Rozpočet - HW a licencie'!$C$3:$C$102,"SW pre HW",'Rozpočet - HW a licencie'!$G$3:$G$102,'TCO TO BE - HW'!$D12,'Rozpočet - HW a licencie'!$D$3:$D$102,'TCO TO BE - HW'!$B$5),)</f>
        <v>0</v>
      </c>
      <c r="K12" s="576">
        <f>IFERROR(SUMIFS('Rozpočet - HW a licencie'!$I$3:$I$102,'Rozpočet - HW a licencie'!$A$3:$A$102,'TCO TO BE - HW'!K$2,'Rozpočet - HW a licencie'!$C$3:$C$102,"HW",'Rozpočet - HW a licencie'!$G$3:$G$102,'TCO TO BE - HW'!$D12,'Rozpočet - HW a licencie'!$D$3:$D$102,'TCO TO BE - HW'!$B$5)+SUMIFS('Rozpočet - HW a licencie'!$I$3:$I$102,'Rozpočet - HW a licencie'!$A$3:$A$102,'TCO TO BE - HW'!K$2,'Rozpočet - HW a licencie'!$C$3:$C$102,"SW pre HW",'Rozpočet - HW a licencie'!$G$3:$G$102,'TCO TO BE - HW'!$D12,'Rozpočet - HW a licencie'!$D$3:$D$102,'TCO TO BE - HW'!$B$5),)</f>
        <v>0</v>
      </c>
      <c r="L12" s="576">
        <f>IFERROR(SUMIFS('Rozpočet - HW a licencie'!$I$3:$I$102,'Rozpočet - HW a licencie'!$A$3:$A$102,'TCO TO BE - HW'!L$2,'Rozpočet - HW a licencie'!$C$3:$C$102,"HW",'Rozpočet - HW a licencie'!$G$3:$G$102,'TCO TO BE - HW'!$D12,'Rozpočet - HW a licencie'!$D$3:$D$102,'TCO TO BE - HW'!$B$5)+SUMIFS('Rozpočet - HW a licencie'!$I$3:$I$102,'Rozpočet - HW a licencie'!$A$3:$A$102,'TCO TO BE - HW'!L$2,'Rozpočet - HW a licencie'!$C$3:$C$102,"SW pre HW",'Rozpočet - HW a licencie'!$G$3:$G$102,'TCO TO BE - HW'!$D12,'Rozpočet - HW a licencie'!$D$3:$D$102,'TCO TO BE - HW'!$B$5),)</f>
        <v>0</v>
      </c>
      <c r="M12" s="576">
        <f>IFERROR(SUMIFS('Rozpočet - HW a licencie'!$I$3:$I$102,'Rozpočet - HW a licencie'!$A$3:$A$102,'TCO TO BE - HW'!M$2,'Rozpočet - HW a licencie'!$C$3:$C$102,"HW",'Rozpočet - HW a licencie'!$G$3:$G$102,'TCO TO BE - HW'!$D12,'Rozpočet - HW a licencie'!$D$3:$D$102,'TCO TO BE - HW'!$B$5)+SUMIFS('Rozpočet - HW a licencie'!$I$3:$I$102,'Rozpočet - HW a licencie'!$A$3:$A$102,'TCO TO BE - HW'!M$2,'Rozpočet - HW a licencie'!$C$3:$C$102,"SW pre HW",'Rozpočet - HW a licencie'!$G$3:$G$102,'TCO TO BE - HW'!$D12,'Rozpočet - HW a licencie'!$D$3:$D$102,'TCO TO BE - HW'!$B$5),)</f>
        <v>0</v>
      </c>
      <c r="N12" s="576">
        <f>IFERROR(SUMIFS('Rozpočet - HW a licencie'!$I$3:$I$102,'Rozpočet - HW a licencie'!$A$3:$A$102,'TCO TO BE - HW'!N$2,'Rozpočet - HW a licencie'!$C$3:$C$102,"HW",'Rozpočet - HW a licencie'!$G$3:$G$102,'TCO TO BE - HW'!$D12,'Rozpočet - HW a licencie'!$D$3:$D$102,'TCO TO BE - HW'!$B$5)+SUMIFS('Rozpočet - HW a licencie'!$I$3:$I$102,'Rozpočet - HW a licencie'!$A$3:$A$102,'TCO TO BE - HW'!N$2,'Rozpočet - HW a licencie'!$C$3:$C$102,"SW pre HW",'Rozpočet - HW a licencie'!$G$3:$G$102,'TCO TO BE - HW'!$D12,'Rozpočet - HW a licencie'!$D$3:$D$102,'TCO TO BE - HW'!$B$5),)</f>
        <v>0</v>
      </c>
      <c r="O12" s="576">
        <f>IFERROR(SUMIFS('Rozpočet - HW a licencie'!$I$3:$I$102,'Rozpočet - HW a licencie'!$A$3:$A$102,'TCO TO BE - HW'!O$2,'Rozpočet - HW a licencie'!$C$3:$C$102,"HW",'Rozpočet - HW a licencie'!$G$3:$G$102,'TCO TO BE - HW'!$D12,'Rozpočet - HW a licencie'!$D$3:$D$102,'TCO TO BE - HW'!$B$5)+SUMIFS('Rozpočet - HW a licencie'!$I$3:$I$102,'Rozpočet - HW a licencie'!$A$3:$A$102,'TCO TO BE - HW'!O$2,'Rozpočet - HW a licencie'!$C$3:$C$102,"SW pre HW",'Rozpočet - HW a licencie'!$G$3:$G$102,'TCO TO BE - HW'!$D12,'Rozpočet - HW a licencie'!$D$3:$D$102,'TCO TO BE - HW'!$B$5),)</f>
        <v>0</v>
      </c>
      <c r="P12" s="576">
        <f>IFERROR(SUMIFS('Rozpočet - HW a licencie'!$I$3:$I$102,'Rozpočet - HW a licencie'!$A$3:$A$102,'TCO TO BE - HW'!P$2,'Rozpočet - HW a licencie'!$C$3:$C$102,"HW",'Rozpočet - HW a licencie'!$G$3:$G$102,'TCO TO BE - HW'!$D12,'Rozpočet - HW a licencie'!$D$3:$D$102,'TCO TO BE - HW'!$B$5)+SUMIFS('Rozpočet - HW a licencie'!$I$3:$I$102,'Rozpočet - HW a licencie'!$A$3:$A$102,'TCO TO BE - HW'!P$2,'Rozpočet - HW a licencie'!$C$3:$C$102,"SW pre HW",'Rozpočet - HW a licencie'!$G$3:$G$102,'TCO TO BE - HW'!$D12,'Rozpočet - HW a licencie'!$D$3:$D$102,'TCO TO BE - HW'!$B$5),)</f>
        <v>0</v>
      </c>
      <c r="Q12" s="576">
        <f>IFERROR(SUMIFS('Rozpočet - HW a licencie'!$I$3:$I$102,'Rozpočet - HW a licencie'!$A$3:$A$102,'TCO TO BE - HW'!Q$2,'Rozpočet - HW a licencie'!$C$3:$C$102,"HW",'Rozpočet - HW a licencie'!$G$3:$G$102,'TCO TO BE - HW'!$D12,'Rozpočet - HW a licencie'!$D$3:$D$102,'TCO TO BE - HW'!$B$5)+SUMIFS('Rozpočet - HW a licencie'!$I$3:$I$102,'Rozpočet - HW a licencie'!$A$3:$A$102,'TCO TO BE - HW'!Q$2,'Rozpočet - HW a licencie'!$C$3:$C$102,"SW pre HW",'Rozpočet - HW a licencie'!$G$3:$G$102,'TCO TO BE - HW'!$D12,'Rozpočet - HW a licencie'!$D$3:$D$102,'TCO TO BE - HW'!$B$5),)</f>
        <v>0</v>
      </c>
      <c r="R12" s="576">
        <f>IFERROR(SUMIFS('Rozpočet - HW a licencie'!$I$3:$I$102,'Rozpočet - HW a licencie'!$A$3:$A$102,'TCO TO BE - HW'!R$2,'Rozpočet - HW a licencie'!$C$3:$C$102,"HW",'Rozpočet - HW a licencie'!$G$3:$G$102,'TCO TO BE - HW'!$D12,'Rozpočet - HW a licencie'!$D$3:$D$102,'TCO TO BE - HW'!$B$5)+SUMIFS('Rozpočet - HW a licencie'!$I$3:$I$102,'Rozpočet - HW a licencie'!$A$3:$A$102,'TCO TO BE - HW'!R$2,'Rozpočet - HW a licencie'!$C$3:$C$102,"SW pre HW",'Rozpočet - HW a licencie'!$G$3:$G$102,'TCO TO BE - HW'!$D12,'Rozpočet - HW a licencie'!$D$3:$D$102,'TCO TO BE - HW'!$B$5),)</f>
        <v>0</v>
      </c>
      <c r="S12" s="576">
        <f>IFERROR(SUMIFS('Rozpočet - HW a licencie'!$I$3:$I$102,'Rozpočet - HW a licencie'!$A$3:$A$102,'TCO TO BE - HW'!S$2,'Rozpočet - HW a licencie'!$C$3:$C$102,"HW",'Rozpočet - HW a licencie'!$G$3:$G$102,'TCO TO BE - HW'!$D12,'Rozpočet - HW a licencie'!$D$3:$D$102,'TCO TO BE - HW'!$B$5)+SUMIFS('Rozpočet - HW a licencie'!$I$3:$I$102,'Rozpočet - HW a licencie'!$A$3:$A$102,'TCO TO BE - HW'!S$2,'Rozpočet - HW a licencie'!$C$3:$C$102,"SW pre HW",'Rozpočet - HW a licencie'!$G$3:$G$102,'TCO TO BE - HW'!$D12,'Rozpočet - HW a licencie'!$D$3:$D$102,'TCO TO BE - HW'!$B$5),)</f>
        <v>0</v>
      </c>
      <c r="T12" s="576">
        <f>IFERROR(SUMIFS('Rozpočet - HW a licencie'!$I$3:$I$102,'Rozpočet - HW a licencie'!$A$3:$A$102,'TCO TO BE - HW'!T$2,'Rozpočet - HW a licencie'!$C$3:$C$102,"HW",'Rozpočet - HW a licencie'!$G$3:$G$102,'TCO TO BE - HW'!$D12,'Rozpočet - HW a licencie'!$D$3:$D$102,'TCO TO BE - HW'!$B$5)+SUMIFS('Rozpočet - HW a licencie'!$I$3:$I$102,'Rozpočet - HW a licencie'!$A$3:$A$102,'TCO TO BE - HW'!T$2,'Rozpočet - HW a licencie'!$C$3:$C$102,"SW pre HW",'Rozpočet - HW a licencie'!$G$3:$G$102,'TCO TO BE - HW'!$D12,'Rozpočet - HW a licencie'!$D$3:$D$102,'TCO TO BE - HW'!$B$5),)</f>
        <v>0</v>
      </c>
      <c r="U12" s="576">
        <f>IFERROR(SUMIFS('Rozpočet - HW a licencie'!$I$3:$I$102,'Rozpočet - HW a licencie'!$A$3:$A$102,'TCO TO BE - HW'!U$2,'Rozpočet - HW a licencie'!$C$3:$C$102,"HW",'Rozpočet - HW a licencie'!$G$3:$G$102,'TCO TO BE - HW'!$D12,'Rozpočet - HW a licencie'!$D$3:$D$102,'TCO TO BE - HW'!$B$5)+SUMIFS('Rozpočet - HW a licencie'!$I$3:$I$102,'Rozpočet - HW a licencie'!$A$3:$A$102,'TCO TO BE - HW'!U$2,'Rozpočet - HW a licencie'!$C$3:$C$102,"SW pre HW",'Rozpočet - HW a licencie'!$G$3:$G$102,'TCO TO BE - HW'!$D12,'Rozpočet - HW a licencie'!$D$3:$D$102,'TCO TO BE - HW'!$B$5),)</f>
        <v>0</v>
      </c>
      <c r="V12" s="576">
        <f>IFERROR(SUMIFS('Rozpočet - HW a licencie'!$I$3:$I$102,'Rozpočet - HW a licencie'!$A$3:$A$102,'TCO TO BE - HW'!V$2,'Rozpočet - HW a licencie'!$C$3:$C$102,"HW",'Rozpočet - HW a licencie'!$G$3:$G$102,'TCO TO BE - HW'!$D12,'Rozpočet - HW a licencie'!$D$3:$D$102,'TCO TO BE - HW'!$B$5)+SUMIFS('Rozpočet - HW a licencie'!$I$3:$I$102,'Rozpočet - HW a licencie'!$A$3:$A$102,'TCO TO BE - HW'!V$2,'Rozpočet - HW a licencie'!$C$3:$C$102,"SW pre HW",'Rozpočet - HW a licencie'!$G$3:$G$102,'TCO TO BE - HW'!$D12,'Rozpočet - HW a licencie'!$D$3:$D$102,'TCO TO BE - HW'!$B$5),)</f>
        <v>0</v>
      </c>
      <c r="W12" s="576">
        <f>IFERROR(SUMIFS('Rozpočet - HW a licencie'!$I$3:$I$102,'Rozpočet - HW a licencie'!$A$3:$A$102,'TCO TO BE - HW'!W$2,'Rozpočet - HW a licencie'!$C$3:$C$102,"HW",'Rozpočet - HW a licencie'!$G$3:$G$102,'TCO TO BE - HW'!$D12,'Rozpočet - HW a licencie'!$D$3:$D$102,'TCO TO BE - HW'!$B$5)+SUMIFS('Rozpočet - HW a licencie'!$I$3:$I$102,'Rozpočet - HW a licencie'!$A$3:$A$102,'TCO TO BE - HW'!W$2,'Rozpočet - HW a licencie'!$C$3:$C$102,"SW pre HW",'Rozpočet - HW a licencie'!$G$3:$G$102,'TCO TO BE - HW'!$D12,'Rozpočet - HW a licencie'!$D$3:$D$102,'TCO TO BE - HW'!$B$5),)</f>
        <v>0</v>
      </c>
      <c r="X12" s="576">
        <f>IFERROR(SUMIFS('Rozpočet - HW a licencie'!$I$3:$I$102,'Rozpočet - HW a licencie'!$A$3:$A$102,'TCO TO BE - HW'!X$2,'Rozpočet - HW a licencie'!$C$3:$C$102,"HW",'Rozpočet - HW a licencie'!$G$3:$G$102,'TCO TO BE - HW'!$D12,'Rozpočet - HW a licencie'!$D$3:$D$102,'TCO TO BE - HW'!$B$5)+SUMIFS('Rozpočet - HW a licencie'!$I$3:$I$102,'Rozpočet - HW a licencie'!$A$3:$A$102,'TCO TO BE - HW'!X$2,'Rozpočet - HW a licencie'!$C$3:$C$102,"SW pre HW",'Rozpočet - HW a licencie'!$G$3:$G$102,'TCO TO BE - HW'!$D12,'Rozpočet - HW a licencie'!$D$3:$D$102,'TCO TO BE - HW'!$B$5),)</f>
        <v>0</v>
      </c>
      <c r="Y12" s="576">
        <f>IFERROR(SUMIFS('Rozpočet - HW a licencie'!$I$3:$I$102,'Rozpočet - HW a licencie'!$A$3:$A$102,'TCO TO BE - HW'!Y$2,'Rozpočet - HW a licencie'!$C$3:$C$102,"HW",'Rozpočet - HW a licencie'!$G$3:$G$102,'TCO TO BE - HW'!$D12,'Rozpočet - HW a licencie'!$D$3:$D$102,'TCO TO BE - HW'!$B$5)+SUMIFS('Rozpočet - HW a licencie'!$I$3:$I$102,'Rozpočet - HW a licencie'!$A$3:$A$102,'TCO TO BE - HW'!Y$2,'Rozpočet - HW a licencie'!$C$3:$C$102,"SW pre HW",'Rozpočet - HW a licencie'!$G$3:$G$102,'TCO TO BE - HW'!$D12,'Rozpočet - HW a licencie'!$D$3:$D$102,'TCO TO BE - HW'!$B$5),)</f>
        <v>0</v>
      </c>
      <c r="Z12" s="576">
        <f>IFERROR(SUMIFS('Rozpočet - HW a licencie'!$I$3:$I$102,'Rozpočet - HW a licencie'!$A$3:$A$102,'TCO TO BE - HW'!Z$2,'Rozpočet - HW a licencie'!$C$3:$C$102,"HW",'Rozpočet - HW a licencie'!$G$3:$G$102,'TCO TO BE - HW'!$D12,'Rozpočet - HW a licencie'!$D$3:$D$102,'TCO TO BE - HW'!$B$5)+SUMIFS('Rozpočet - HW a licencie'!$I$3:$I$102,'Rozpočet - HW a licencie'!$A$3:$A$102,'TCO TO BE - HW'!Z$2,'Rozpočet - HW a licencie'!$C$3:$C$102,"SW pre HW",'Rozpočet - HW a licencie'!$G$3:$G$102,'TCO TO BE - HW'!$D12,'Rozpočet - HW a licencie'!$D$3:$D$102,'TCO TO BE - HW'!$B$5),)</f>
        <v>0</v>
      </c>
    </row>
    <row r="13" spans="1:26" hidden="1" outlineLevel="1">
      <c r="A13" s="875"/>
      <c r="B13" s="876"/>
      <c r="C13" s="876"/>
      <c r="D13" s="495">
        <v>9</v>
      </c>
      <c r="E13" s="68">
        <f t="shared" si="2"/>
        <v>0</v>
      </c>
      <c r="F13" s="576">
        <f>IFERROR(SUMIFS('Rozpočet - HW a licencie'!$I$3:$I$102,'Rozpočet - HW a licencie'!$A$3:$A$102,'TCO TO BE - HW'!F$2,'Rozpočet - HW a licencie'!$C$3:$C$102,"HW",'Rozpočet - HW a licencie'!$G$3:$G$102,'TCO TO BE - HW'!$D13,'Rozpočet - HW a licencie'!$D$3:$D$102,'TCO TO BE - HW'!$B$5)+SUMIFS('Rozpočet - HW a licencie'!$I$3:$I$102,'Rozpočet - HW a licencie'!$A$3:$A$102,'TCO TO BE - HW'!F$2,'Rozpočet - HW a licencie'!$C$3:$C$102,"SW pre HW",'Rozpočet - HW a licencie'!$G$3:$G$102,'TCO TO BE - HW'!$D13,'Rozpočet - HW a licencie'!$D$3:$D$102,'TCO TO BE - HW'!$B$5),)</f>
        <v>0</v>
      </c>
      <c r="G13" s="576">
        <f>IFERROR(SUMIFS('Rozpočet - HW a licencie'!$I$3:$I$102,'Rozpočet - HW a licencie'!$A$3:$A$102,'TCO TO BE - HW'!G$2,'Rozpočet - HW a licencie'!$C$3:$C$102,"HW",'Rozpočet - HW a licencie'!$G$3:$G$102,'TCO TO BE - HW'!$D13,'Rozpočet - HW a licencie'!$D$3:$D$102,'TCO TO BE - HW'!$B$5)+SUMIFS('Rozpočet - HW a licencie'!$I$3:$I$102,'Rozpočet - HW a licencie'!$A$3:$A$102,'TCO TO BE - HW'!G$2,'Rozpočet - HW a licencie'!$C$3:$C$102,"SW pre HW",'Rozpočet - HW a licencie'!$G$3:$G$102,'TCO TO BE - HW'!$D13,'Rozpočet - HW a licencie'!$D$3:$D$102,'TCO TO BE - HW'!$B$5),)</f>
        <v>0</v>
      </c>
      <c r="H13" s="576">
        <f>IFERROR(SUMIFS('Rozpočet - HW a licencie'!$I$3:$I$102,'Rozpočet - HW a licencie'!$A$3:$A$102,'TCO TO BE - HW'!H$2,'Rozpočet - HW a licencie'!$C$3:$C$102,"HW",'Rozpočet - HW a licencie'!$G$3:$G$102,'TCO TO BE - HW'!$D13,'Rozpočet - HW a licencie'!$D$3:$D$102,'TCO TO BE - HW'!$B$5)+SUMIFS('Rozpočet - HW a licencie'!$I$3:$I$102,'Rozpočet - HW a licencie'!$A$3:$A$102,'TCO TO BE - HW'!H$2,'Rozpočet - HW a licencie'!$C$3:$C$102,"SW pre HW",'Rozpočet - HW a licencie'!$G$3:$G$102,'TCO TO BE - HW'!$D13,'Rozpočet - HW a licencie'!$D$3:$D$102,'TCO TO BE - HW'!$B$5),)</f>
        <v>0</v>
      </c>
      <c r="I13" s="576">
        <f>IFERROR(SUMIFS('Rozpočet - HW a licencie'!$I$3:$I$102,'Rozpočet - HW a licencie'!$A$3:$A$102,'TCO TO BE - HW'!I$2,'Rozpočet - HW a licencie'!$C$3:$C$102,"HW",'Rozpočet - HW a licencie'!$G$3:$G$102,'TCO TO BE - HW'!$D13,'Rozpočet - HW a licencie'!$D$3:$D$102,'TCO TO BE - HW'!$B$5)+SUMIFS('Rozpočet - HW a licencie'!$I$3:$I$102,'Rozpočet - HW a licencie'!$A$3:$A$102,'TCO TO BE - HW'!I$2,'Rozpočet - HW a licencie'!$C$3:$C$102,"SW pre HW",'Rozpočet - HW a licencie'!$G$3:$G$102,'TCO TO BE - HW'!$D13,'Rozpočet - HW a licencie'!$D$3:$D$102,'TCO TO BE - HW'!$B$5),)</f>
        <v>0</v>
      </c>
      <c r="J13" s="576">
        <f>IFERROR(SUMIFS('Rozpočet - HW a licencie'!$I$3:$I$102,'Rozpočet - HW a licencie'!$A$3:$A$102,'TCO TO BE - HW'!J$2,'Rozpočet - HW a licencie'!$C$3:$C$102,"HW",'Rozpočet - HW a licencie'!$G$3:$G$102,'TCO TO BE - HW'!$D13,'Rozpočet - HW a licencie'!$D$3:$D$102,'TCO TO BE - HW'!$B$5)+SUMIFS('Rozpočet - HW a licencie'!$I$3:$I$102,'Rozpočet - HW a licencie'!$A$3:$A$102,'TCO TO BE - HW'!J$2,'Rozpočet - HW a licencie'!$C$3:$C$102,"SW pre HW",'Rozpočet - HW a licencie'!$G$3:$G$102,'TCO TO BE - HW'!$D13,'Rozpočet - HW a licencie'!$D$3:$D$102,'TCO TO BE - HW'!$B$5),)</f>
        <v>0</v>
      </c>
      <c r="K13" s="576">
        <f>IFERROR(SUMIFS('Rozpočet - HW a licencie'!$I$3:$I$102,'Rozpočet - HW a licencie'!$A$3:$A$102,'TCO TO BE - HW'!K$2,'Rozpočet - HW a licencie'!$C$3:$C$102,"HW",'Rozpočet - HW a licencie'!$G$3:$G$102,'TCO TO BE - HW'!$D13,'Rozpočet - HW a licencie'!$D$3:$D$102,'TCO TO BE - HW'!$B$5)+SUMIFS('Rozpočet - HW a licencie'!$I$3:$I$102,'Rozpočet - HW a licencie'!$A$3:$A$102,'TCO TO BE - HW'!K$2,'Rozpočet - HW a licencie'!$C$3:$C$102,"SW pre HW",'Rozpočet - HW a licencie'!$G$3:$G$102,'TCO TO BE - HW'!$D13,'Rozpočet - HW a licencie'!$D$3:$D$102,'TCO TO BE - HW'!$B$5),)</f>
        <v>0</v>
      </c>
      <c r="L13" s="576">
        <f>IFERROR(SUMIFS('Rozpočet - HW a licencie'!$I$3:$I$102,'Rozpočet - HW a licencie'!$A$3:$A$102,'TCO TO BE - HW'!L$2,'Rozpočet - HW a licencie'!$C$3:$C$102,"HW",'Rozpočet - HW a licencie'!$G$3:$G$102,'TCO TO BE - HW'!$D13,'Rozpočet - HW a licencie'!$D$3:$D$102,'TCO TO BE - HW'!$B$5)+SUMIFS('Rozpočet - HW a licencie'!$I$3:$I$102,'Rozpočet - HW a licencie'!$A$3:$A$102,'TCO TO BE - HW'!L$2,'Rozpočet - HW a licencie'!$C$3:$C$102,"SW pre HW",'Rozpočet - HW a licencie'!$G$3:$G$102,'TCO TO BE - HW'!$D13,'Rozpočet - HW a licencie'!$D$3:$D$102,'TCO TO BE - HW'!$B$5),)</f>
        <v>0</v>
      </c>
      <c r="M13" s="576">
        <f>IFERROR(SUMIFS('Rozpočet - HW a licencie'!$I$3:$I$102,'Rozpočet - HW a licencie'!$A$3:$A$102,'TCO TO BE - HW'!M$2,'Rozpočet - HW a licencie'!$C$3:$C$102,"HW",'Rozpočet - HW a licencie'!$G$3:$G$102,'TCO TO BE - HW'!$D13,'Rozpočet - HW a licencie'!$D$3:$D$102,'TCO TO BE - HW'!$B$5)+SUMIFS('Rozpočet - HW a licencie'!$I$3:$I$102,'Rozpočet - HW a licencie'!$A$3:$A$102,'TCO TO BE - HW'!M$2,'Rozpočet - HW a licencie'!$C$3:$C$102,"SW pre HW",'Rozpočet - HW a licencie'!$G$3:$G$102,'TCO TO BE - HW'!$D13,'Rozpočet - HW a licencie'!$D$3:$D$102,'TCO TO BE - HW'!$B$5),)</f>
        <v>0</v>
      </c>
      <c r="N13" s="576">
        <f>IFERROR(SUMIFS('Rozpočet - HW a licencie'!$I$3:$I$102,'Rozpočet - HW a licencie'!$A$3:$A$102,'TCO TO BE - HW'!N$2,'Rozpočet - HW a licencie'!$C$3:$C$102,"HW",'Rozpočet - HW a licencie'!$G$3:$G$102,'TCO TO BE - HW'!$D13,'Rozpočet - HW a licencie'!$D$3:$D$102,'TCO TO BE - HW'!$B$5)+SUMIFS('Rozpočet - HW a licencie'!$I$3:$I$102,'Rozpočet - HW a licencie'!$A$3:$A$102,'TCO TO BE - HW'!N$2,'Rozpočet - HW a licencie'!$C$3:$C$102,"SW pre HW",'Rozpočet - HW a licencie'!$G$3:$G$102,'TCO TO BE - HW'!$D13,'Rozpočet - HW a licencie'!$D$3:$D$102,'TCO TO BE - HW'!$B$5),)</f>
        <v>0</v>
      </c>
      <c r="O13" s="576">
        <f>IFERROR(SUMIFS('Rozpočet - HW a licencie'!$I$3:$I$102,'Rozpočet - HW a licencie'!$A$3:$A$102,'TCO TO BE - HW'!O$2,'Rozpočet - HW a licencie'!$C$3:$C$102,"HW",'Rozpočet - HW a licencie'!$G$3:$G$102,'TCO TO BE - HW'!$D13,'Rozpočet - HW a licencie'!$D$3:$D$102,'TCO TO BE - HW'!$B$5)+SUMIFS('Rozpočet - HW a licencie'!$I$3:$I$102,'Rozpočet - HW a licencie'!$A$3:$A$102,'TCO TO BE - HW'!O$2,'Rozpočet - HW a licencie'!$C$3:$C$102,"SW pre HW",'Rozpočet - HW a licencie'!$G$3:$G$102,'TCO TO BE - HW'!$D13,'Rozpočet - HW a licencie'!$D$3:$D$102,'TCO TO BE - HW'!$B$5),)</f>
        <v>0</v>
      </c>
      <c r="P13" s="576">
        <f>IFERROR(SUMIFS('Rozpočet - HW a licencie'!$I$3:$I$102,'Rozpočet - HW a licencie'!$A$3:$A$102,'TCO TO BE - HW'!P$2,'Rozpočet - HW a licencie'!$C$3:$C$102,"HW",'Rozpočet - HW a licencie'!$G$3:$G$102,'TCO TO BE - HW'!$D13,'Rozpočet - HW a licencie'!$D$3:$D$102,'TCO TO BE - HW'!$B$5)+SUMIFS('Rozpočet - HW a licencie'!$I$3:$I$102,'Rozpočet - HW a licencie'!$A$3:$A$102,'TCO TO BE - HW'!P$2,'Rozpočet - HW a licencie'!$C$3:$C$102,"SW pre HW",'Rozpočet - HW a licencie'!$G$3:$G$102,'TCO TO BE - HW'!$D13,'Rozpočet - HW a licencie'!$D$3:$D$102,'TCO TO BE - HW'!$B$5),)</f>
        <v>0</v>
      </c>
      <c r="Q13" s="576">
        <f>IFERROR(SUMIFS('Rozpočet - HW a licencie'!$I$3:$I$102,'Rozpočet - HW a licencie'!$A$3:$A$102,'TCO TO BE - HW'!Q$2,'Rozpočet - HW a licencie'!$C$3:$C$102,"HW",'Rozpočet - HW a licencie'!$G$3:$G$102,'TCO TO BE - HW'!$D13,'Rozpočet - HW a licencie'!$D$3:$D$102,'TCO TO BE - HW'!$B$5)+SUMIFS('Rozpočet - HW a licencie'!$I$3:$I$102,'Rozpočet - HW a licencie'!$A$3:$A$102,'TCO TO BE - HW'!Q$2,'Rozpočet - HW a licencie'!$C$3:$C$102,"SW pre HW",'Rozpočet - HW a licencie'!$G$3:$G$102,'TCO TO BE - HW'!$D13,'Rozpočet - HW a licencie'!$D$3:$D$102,'TCO TO BE - HW'!$B$5),)</f>
        <v>0</v>
      </c>
      <c r="R13" s="576">
        <f>IFERROR(SUMIFS('Rozpočet - HW a licencie'!$I$3:$I$102,'Rozpočet - HW a licencie'!$A$3:$A$102,'TCO TO BE - HW'!R$2,'Rozpočet - HW a licencie'!$C$3:$C$102,"HW",'Rozpočet - HW a licencie'!$G$3:$G$102,'TCO TO BE - HW'!$D13,'Rozpočet - HW a licencie'!$D$3:$D$102,'TCO TO BE - HW'!$B$5)+SUMIFS('Rozpočet - HW a licencie'!$I$3:$I$102,'Rozpočet - HW a licencie'!$A$3:$A$102,'TCO TO BE - HW'!R$2,'Rozpočet - HW a licencie'!$C$3:$C$102,"SW pre HW",'Rozpočet - HW a licencie'!$G$3:$G$102,'TCO TO BE - HW'!$D13,'Rozpočet - HW a licencie'!$D$3:$D$102,'TCO TO BE - HW'!$B$5),)</f>
        <v>0</v>
      </c>
      <c r="S13" s="576">
        <f>IFERROR(SUMIFS('Rozpočet - HW a licencie'!$I$3:$I$102,'Rozpočet - HW a licencie'!$A$3:$A$102,'TCO TO BE - HW'!S$2,'Rozpočet - HW a licencie'!$C$3:$C$102,"HW",'Rozpočet - HW a licencie'!$G$3:$G$102,'TCO TO BE - HW'!$D13,'Rozpočet - HW a licencie'!$D$3:$D$102,'TCO TO BE - HW'!$B$5)+SUMIFS('Rozpočet - HW a licencie'!$I$3:$I$102,'Rozpočet - HW a licencie'!$A$3:$A$102,'TCO TO BE - HW'!S$2,'Rozpočet - HW a licencie'!$C$3:$C$102,"SW pre HW",'Rozpočet - HW a licencie'!$G$3:$G$102,'TCO TO BE - HW'!$D13,'Rozpočet - HW a licencie'!$D$3:$D$102,'TCO TO BE - HW'!$B$5),)</f>
        <v>0</v>
      </c>
      <c r="T13" s="576">
        <f>IFERROR(SUMIFS('Rozpočet - HW a licencie'!$I$3:$I$102,'Rozpočet - HW a licencie'!$A$3:$A$102,'TCO TO BE - HW'!T$2,'Rozpočet - HW a licencie'!$C$3:$C$102,"HW",'Rozpočet - HW a licencie'!$G$3:$G$102,'TCO TO BE - HW'!$D13,'Rozpočet - HW a licencie'!$D$3:$D$102,'TCO TO BE - HW'!$B$5)+SUMIFS('Rozpočet - HW a licencie'!$I$3:$I$102,'Rozpočet - HW a licencie'!$A$3:$A$102,'TCO TO BE - HW'!T$2,'Rozpočet - HW a licencie'!$C$3:$C$102,"SW pre HW",'Rozpočet - HW a licencie'!$G$3:$G$102,'TCO TO BE - HW'!$D13,'Rozpočet - HW a licencie'!$D$3:$D$102,'TCO TO BE - HW'!$B$5),)</f>
        <v>0</v>
      </c>
      <c r="U13" s="576">
        <f>IFERROR(SUMIFS('Rozpočet - HW a licencie'!$I$3:$I$102,'Rozpočet - HW a licencie'!$A$3:$A$102,'TCO TO BE - HW'!U$2,'Rozpočet - HW a licencie'!$C$3:$C$102,"HW",'Rozpočet - HW a licencie'!$G$3:$G$102,'TCO TO BE - HW'!$D13,'Rozpočet - HW a licencie'!$D$3:$D$102,'TCO TO BE - HW'!$B$5)+SUMIFS('Rozpočet - HW a licencie'!$I$3:$I$102,'Rozpočet - HW a licencie'!$A$3:$A$102,'TCO TO BE - HW'!U$2,'Rozpočet - HW a licencie'!$C$3:$C$102,"SW pre HW",'Rozpočet - HW a licencie'!$G$3:$G$102,'TCO TO BE - HW'!$D13,'Rozpočet - HW a licencie'!$D$3:$D$102,'TCO TO BE - HW'!$B$5),)</f>
        <v>0</v>
      </c>
      <c r="V13" s="576">
        <f>IFERROR(SUMIFS('Rozpočet - HW a licencie'!$I$3:$I$102,'Rozpočet - HW a licencie'!$A$3:$A$102,'TCO TO BE - HW'!V$2,'Rozpočet - HW a licencie'!$C$3:$C$102,"HW",'Rozpočet - HW a licencie'!$G$3:$G$102,'TCO TO BE - HW'!$D13,'Rozpočet - HW a licencie'!$D$3:$D$102,'TCO TO BE - HW'!$B$5)+SUMIFS('Rozpočet - HW a licencie'!$I$3:$I$102,'Rozpočet - HW a licencie'!$A$3:$A$102,'TCO TO BE - HW'!V$2,'Rozpočet - HW a licencie'!$C$3:$C$102,"SW pre HW",'Rozpočet - HW a licencie'!$G$3:$G$102,'TCO TO BE - HW'!$D13,'Rozpočet - HW a licencie'!$D$3:$D$102,'TCO TO BE - HW'!$B$5),)</f>
        <v>0</v>
      </c>
      <c r="W13" s="576">
        <f>IFERROR(SUMIFS('Rozpočet - HW a licencie'!$I$3:$I$102,'Rozpočet - HW a licencie'!$A$3:$A$102,'TCO TO BE - HW'!W$2,'Rozpočet - HW a licencie'!$C$3:$C$102,"HW",'Rozpočet - HW a licencie'!$G$3:$G$102,'TCO TO BE - HW'!$D13,'Rozpočet - HW a licencie'!$D$3:$D$102,'TCO TO BE - HW'!$B$5)+SUMIFS('Rozpočet - HW a licencie'!$I$3:$I$102,'Rozpočet - HW a licencie'!$A$3:$A$102,'TCO TO BE - HW'!W$2,'Rozpočet - HW a licencie'!$C$3:$C$102,"SW pre HW",'Rozpočet - HW a licencie'!$G$3:$G$102,'TCO TO BE - HW'!$D13,'Rozpočet - HW a licencie'!$D$3:$D$102,'TCO TO BE - HW'!$B$5),)</f>
        <v>0</v>
      </c>
      <c r="X13" s="576">
        <f>IFERROR(SUMIFS('Rozpočet - HW a licencie'!$I$3:$I$102,'Rozpočet - HW a licencie'!$A$3:$A$102,'TCO TO BE - HW'!X$2,'Rozpočet - HW a licencie'!$C$3:$C$102,"HW",'Rozpočet - HW a licencie'!$G$3:$G$102,'TCO TO BE - HW'!$D13,'Rozpočet - HW a licencie'!$D$3:$D$102,'TCO TO BE - HW'!$B$5)+SUMIFS('Rozpočet - HW a licencie'!$I$3:$I$102,'Rozpočet - HW a licencie'!$A$3:$A$102,'TCO TO BE - HW'!X$2,'Rozpočet - HW a licencie'!$C$3:$C$102,"SW pre HW",'Rozpočet - HW a licencie'!$G$3:$G$102,'TCO TO BE - HW'!$D13,'Rozpočet - HW a licencie'!$D$3:$D$102,'TCO TO BE - HW'!$B$5),)</f>
        <v>0</v>
      </c>
      <c r="Y13" s="576">
        <f>IFERROR(SUMIFS('Rozpočet - HW a licencie'!$I$3:$I$102,'Rozpočet - HW a licencie'!$A$3:$A$102,'TCO TO BE - HW'!Y$2,'Rozpočet - HW a licencie'!$C$3:$C$102,"HW",'Rozpočet - HW a licencie'!$G$3:$G$102,'TCO TO BE - HW'!$D13,'Rozpočet - HW a licencie'!$D$3:$D$102,'TCO TO BE - HW'!$B$5)+SUMIFS('Rozpočet - HW a licencie'!$I$3:$I$102,'Rozpočet - HW a licencie'!$A$3:$A$102,'TCO TO BE - HW'!Y$2,'Rozpočet - HW a licencie'!$C$3:$C$102,"SW pre HW",'Rozpočet - HW a licencie'!$G$3:$G$102,'TCO TO BE - HW'!$D13,'Rozpočet - HW a licencie'!$D$3:$D$102,'TCO TO BE - HW'!$B$5),)</f>
        <v>0</v>
      </c>
      <c r="Z13" s="576">
        <f>IFERROR(SUMIFS('Rozpočet - HW a licencie'!$I$3:$I$102,'Rozpočet - HW a licencie'!$A$3:$A$102,'TCO TO BE - HW'!Z$2,'Rozpočet - HW a licencie'!$C$3:$C$102,"HW",'Rozpočet - HW a licencie'!$G$3:$G$102,'TCO TO BE - HW'!$D13,'Rozpočet - HW a licencie'!$D$3:$D$102,'TCO TO BE - HW'!$B$5)+SUMIFS('Rozpočet - HW a licencie'!$I$3:$I$102,'Rozpočet - HW a licencie'!$A$3:$A$102,'TCO TO BE - HW'!Z$2,'Rozpočet - HW a licencie'!$C$3:$C$102,"SW pre HW",'Rozpočet - HW a licencie'!$G$3:$G$102,'TCO TO BE - HW'!$D13,'Rozpočet - HW a licencie'!$D$3:$D$102,'TCO TO BE - HW'!$B$5),)</f>
        <v>0</v>
      </c>
    </row>
    <row r="14" spans="1:26" ht="15.75" hidden="1" outlineLevel="1" thickBot="1">
      <c r="A14" s="875"/>
      <c r="B14" s="876"/>
      <c r="C14" s="876"/>
      <c r="D14" s="496">
        <v>10</v>
      </c>
      <c r="E14" s="69">
        <f t="shared" si="2"/>
        <v>0</v>
      </c>
      <c r="F14" s="576">
        <f>IFERROR(SUMIFS('Rozpočet - HW a licencie'!$I$3:$I$102,'Rozpočet - HW a licencie'!$A$3:$A$102,'TCO TO BE - HW'!F$2,'Rozpočet - HW a licencie'!$C$3:$C$102,"HW",'Rozpočet - HW a licencie'!$G$3:$G$102,'TCO TO BE - HW'!$D14,'Rozpočet - HW a licencie'!$D$3:$D$102,'TCO TO BE - HW'!$B$5)+SUMIFS('Rozpočet - HW a licencie'!$I$3:$I$102,'Rozpočet - HW a licencie'!$A$3:$A$102,'TCO TO BE - HW'!F$2,'Rozpočet - HW a licencie'!$C$3:$C$102,"SW pre HW",'Rozpočet - HW a licencie'!$G$3:$G$102,'TCO TO BE - HW'!$D14,'Rozpočet - HW a licencie'!$D$3:$D$102,'TCO TO BE - HW'!$B$5),)</f>
        <v>0</v>
      </c>
      <c r="G14" s="576">
        <f>IFERROR(SUMIFS('Rozpočet - HW a licencie'!$I$3:$I$102,'Rozpočet - HW a licencie'!$A$3:$A$102,'TCO TO BE - HW'!G$2,'Rozpočet - HW a licencie'!$C$3:$C$102,"HW",'Rozpočet - HW a licencie'!$G$3:$G$102,'TCO TO BE - HW'!$D14,'Rozpočet - HW a licencie'!$D$3:$D$102,'TCO TO BE - HW'!$B$5)+SUMIFS('Rozpočet - HW a licencie'!$I$3:$I$102,'Rozpočet - HW a licencie'!$A$3:$A$102,'TCO TO BE - HW'!G$2,'Rozpočet - HW a licencie'!$C$3:$C$102,"SW pre HW",'Rozpočet - HW a licencie'!$G$3:$G$102,'TCO TO BE - HW'!$D14,'Rozpočet - HW a licencie'!$D$3:$D$102,'TCO TO BE - HW'!$B$5),)</f>
        <v>0</v>
      </c>
      <c r="H14" s="576">
        <f>IFERROR(SUMIFS('Rozpočet - HW a licencie'!$I$3:$I$102,'Rozpočet - HW a licencie'!$A$3:$A$102,'TCO TO BE - HW'!H$2,'Rozpočet - HW a licencie'!$C$3:$C$102,"HW",'Rozpočet - HW a licencie'!$G$3:$G$102,'TCO TO BE - HW'!$D14,'Rozpočet - HW a licencie'!$D$3:$D$102,'TCO TO BE - HW'!$B$5)+SUMIFS('Rozpočet - HW a licencie'!$I$3:$I$102,'Rozpočet - HW a licencie'!$A$3:$A$102,'TCO TO BE - HW'!H$2,'Rozpočet - HW a licencie'!$C$3:$C$102,"SW pre HW",'Rozpočet - HW a licencie'!$G$3:$G$102,'TCO TO BE - HW'!$D14,'Rozpočet - HW a licencie'!$D$3:$D$102,'TCO TO BE - HW'!$B$5),)</f>
        <v>0</v>
      </c>
      <c r="I14" s="576">
        <f>IFERROR(SUMIFS('Rozpočet - HW a licencie'!$I$3:$I$102,'Rozpočet - HW a licencie'!$A$3:$A$102,'TCO TO BE - HW'!I$2,'Rozpočet - HW a licencie'!$C$3:$C$102,"HW",'Rozpočet - HW a licencie'!$G$3:$G$102,'TCO TO BE - HW'!$D14,'Rozpočet - HW a licencie'!$D$3:$D$102,'TCO TO BE - HW'!$B$5)+SUMIFS('Rozpočet - HW a licencie'!$I$3:$I$102,'Rozpočet - HW a licencie'!$A$3:$A$102,'TCO TO BE - HW'!I$2,'Rozpočet - HW a licencie'!$C$3:$C$102,"SW pre HW",'Rozpočet - HW a licencie'!$G$3:$G$102,'TCO TO BE - HW'!$D14,'Rozpočet - HW a licencie'!$D$3:$D$102,'TCO TO BE - HW'!$B$5),)</f>
        <v>0</v>
      </c>
      <c r="J14" s="576">
        <f>IFERROR(SUMIFS('Rozpočet - HW a licencie'!$I$3:$I$102,'Rozpočet - HW a licencie'!$A$3:$A$102,'TCO TO BE - HW'!J$2,'Rozpočet - HW a licencie'!$C$3:$C$102,"HW",'Rozpočet - HW a licencie'!$G$3:$G$102,'TCO TO BE - HW'!$D14,'Rozpočet - HW a licencie'!$D$3:$D$102,'TCO TO BE - HW'!$B$5)+SUMIFS('Rozpočet - HW a licencie'!$I$3:$I$102,'Rozpočet - HW a licencie'!$A$3:$A$102,'TCO TO BE - HW'!J$2,'Rozpočet - HW a licencie'!$C$3:$C$102,"SW pre HW",'Rozpočet - HW a licencie'!$G$3:$G$102,'TCO TO BE - HW'!$D14,'Rozpočet - HW a licencie'!$D$3:$D$102,'TCO TO BE - HW'!$B$5),)</f>
        <v>0</v>
      </c>
      <c r="K14" s="576">
        <f>IFERROR(SUMIFS('Rozpočet - HW a licencie'!$I$3:$I$102,'Rozpočet - HW a licencie'!$A$3:$A$102,'TCO TO BE - HW'!K$2,'Rozpočet - HW a licencie'!$C$3:$C$102,"HW",'Rozpočet - HW a licencie'!$G$3:$G$102,'TCO TO BE - HW'!$D14,'Rozpočet - HW a licencie'!$D$3:$D$102,'TCO TO BE - HW'!$B$5)+SUMIFS('Rozpočet - HW a licencie'!$I$3:$I$102,'Rozpočet - HW a licencie'!$A$3:$A$102,'TCO TO BE - HW'!K$2,'Rozpočet - HW a licencie'!$C$3:$C$102,"SW pre HW",'Rozpočet - HW a licencie'!$G$3:$G$102,'TCO TO BE - HW'!$D14,'Rozpočet - HW a licencie'!$D$3:$D$102,'TCO TO BE - HW'!$B$5),)</f>
        <v>0</v>
      </c>
      <c r="L14" s="576">
        <f>IFERROR(SUMIFS('Rozpočet - HW a licencie'!$I$3:$I$102,'Rozpočet - HW a licencie'!$A$3:$A$102,'TCO TO BE - HW'!L$2,'Rozpočet - HW a licencie'!$C$3:$C$102,"HW",'Rozpočet - HW a licencie'!$G$3:$G$102,'TCO TO BE - HW'!$D14,'Rozpočet - HW a licencie'!$D$3:$D$102,'TCO TO BE - HW'!$B$5)+SUMIFS('Rozpočet - HW a licencie'!$I$3:$I$102,'Rozpočet - HW a licencie'!$A$3:$A$102,'TCO TO BE - HW'!L$2,'Rozpočet - HW a licencie'!$C$3:$C$102,"SW pre HW",'Rozpočet - HW a licencie'!$G$3:$G$102,'TCO TO BE - HW'!$D14,'Rozpočet - HW a licencie'!$D$3:$D$102,'TCO TO BE - HW'!$B$5),)</f>
        <v>0</v>
      </c>
      <c r="M14" s="576">
        <f>IFERROR(SUMIFS('Rozpočet - HW a licencie'!$I$3:$I$102,'Rozpočet - HW a licencie'!$A$3:$A$102,'TCO TO BE - HW'!M$2,'Rozpočet - HW a licencie'!$C$3:$C$102,"HW",'Rozpočet - HW a licencie'!$G$3:$G$102,'TCO TO BE - HW'!$D14,'Rozpočet - HW a licencie'!$D$3:$D$102,'TCO TO BE - HW'!$B$5)+SUMIFS('Rozpočet - HW a licencie'!$I$3:$I$102,'Rozpočet - HW a licencie'!$A$3:$A$102,'TCO TO BE - HW'!M$2,'Rozpočet - HW a licencie'!$C$3:$C$102,"SW pre HW",'Rozpočet - HW a licencie'!$G$3:$G$102,'TCO TO BE - HW'!$D14,'Rozpočet - HW a licencie'!$D$3:$D$102,'TCO TO BE - HW'!$B$5),)</f>
        <v>0</v>
      </c>
      <c r="N14" s="576">
        <f>IFERROR(SUMIFS('Rozpočet - HW a licencie'!$I$3:$I$102,'Rozpočet - HW a licencie'!$A$3:$A$102,'TCO TO BE - HW'!N$2,'Rozpočet - HW a licencie'!$C$3:$C$102,"HW",'Rozpočet - HW a licencie'!$G$3:$G$102,'TCO TO BE - HW'!$D14,'Rozpočet - HW a licencie'!$D$3:$D$102,'TCO TO BE - HW'!$B$5)+SUMIFS('Rozpočet - HW a licencie'!$I$3:$I$102,'Rozpočet - HW a licencie'!$A$3:$A$102,'TCO TO BE - HW'!N$2,'Rozpočet - HW a licencie'!$C$3:$C$102,"SW pre HW",'Rozpočet - HW a licencie'!$G$3:$G$102,'TCO TO BE - HW'!$D14,'Rozpočet - HW a licencie'!$D$3:$D$102,'TCO TO BE - HW'!$B$5),)</f>
        <v>0</v>
      </c>
      <c r="O14" s="576">
        <f>IFERROR(SUMIFS('Rozpočet - HW a licencie'!$I$3:$I$102,'Rozpočet - HW a licencie'!$A$3:$A$102,'TCO TO BE - HW'!O$2,'Rozpočet - HW a licencie'!$C$3:$C$102,"HW",'Rozpočet - HW a licencie'!$G$3:$G$102,'TCO TO BE - HW'!$D14,'Rozpočet - HW a licencie'!$D$3:$D$102,'TCO TO BE - HW'!$B$5)+SUMIFS('Rozpočet - HW a licencie'!$I$3:$I$102,'Rozpočet - HW a licencie'!$A$3:$A$102,'TCO TO BE - HW'!O$2,'Rozpočet - HW a licencie'!$C$3:$C$102,"SW pre HW",'Rozpočet - HW a licencie'!$G$3:$G$102,'TCO TO BE - HW'!$D14,'Rozpočet - HW a licencie'!$D$3:$D$102,'TCO TO BE - HW'!$B$5),)</f>
        <v>0</v>
      </c>
      <c r="P14" s="576">
        <f>IFERROR(SUMIFS('Rozpočet - HW a licencie'!$I$3:$I$102,'Rozpočet - HW a licencie'!$A$3:$A$102,'TCO TO BE - HW'!P$2,'Rozpočet - HW a licencie'!$C$3:$C$102,"HW",'Rozpočet - HW a licencie'!$G$3:$G$102,'TCO TO BE - HW'!$D14,'Rozpočet - HW a licencie'!$D$3:$D$102,'TCO TO BE - HW'!$B$5)+SUMIFS('Rozpočet - HW a licencie'!$I$3:$I$102,'Rozpočet - HW a licencie'!$A$3:$A$102,'TCO TO BE - HW'!P$2,'Rozpočet - HW a licencie'!$C$3:$C$102,"SW pre HW",'Rozpočet - HW a licencie'!$G$3:$G$102,'TCO TO BE - HW'!$D14,'Rozpočet - HW a licencie'!$D$3:$D$102,'TCO TO BE - HW'!$B$5),)</f>
        <v>0</v>
      </c>
      <c r="Q14" s="576">
        <f>IFERROR(SUMIFS('Rozpočet - HW a licencie'!$I$3:$I$102,'Rozpočet - HW a licencie'!$A$3:$A$102,'TCO TO BE - HW'!Q$2,'Rozpočet - HW a licencie'!$C$3:$C$102,"HW",'Rozpočet - HW a licencie'!$G$3:$G$102,'TCO TO BE - HW'!$D14,'Rozpočet - HW a licencie'!$D$3:$D$102,'TCO TO BE - HW'!$B$5)+SUMIFS('Rozpočet - HW a licencie'!$I$3:$I$102,'Rozpočet - HW a licencie'!$A$3:$A$102,'TCO TO BE - HW'!Q$2,'Rozpočet - HW a licencie'!$C$3:$C$102,"SW pre HW",'Rozpočet - HW a licencie'!$G$3:$G$102,'TCO TO BE - HW'!$D14,'Rozpočet - HW a licencie'!$D$3:$D$102,'TCO TO BE - HW'!$B$5),)</f>
        <v>0</v>
      </c>
      <c r="R14" s="576">
        <f>IFERROR(SUMIFS('Rozpočet - HW a licencie'!$I$3:$I$102,'Rozpočet - HW a licencie'!$A$3:$A$102,'TCO TO BE - HW'!R$2,'Rozpočet - HW a licencie'!$C$3:$C$102,"HW",'Rozpočet - HW a licencie'!$G$3:$G$102,'TCO TO BE - HW'!$D14,'Rozpočet - HW a licencie'!$D$3:$D$102,'TCO TO BE - HW'!$B$5)+SUMIFS('Rozpočet - HW a licencie'!$I$3:$I$102,'Rozpočet - HW a licencie'!$A$3:$A$102,'TCO TO BE - HW'!R$2,'Rozpočet - HW a licencie'!$C$3:$C$102,"SW pre HW",'Rozpočet - HW a licencie'!$G$3:$G$102,'TCO TO BE - HW'!$D14,'Rozpočet - HW a licencie'!$D$3:$D$102,'TCO TO BE - HW'!$B$5),)</f>
        <v>0</v>
      </c>
      <c r="S14" s="576">
        <f>IFERROR(SUMIFS('Rozpočet - HW a licencie'!$I$3:$I$102,'Rozpočet - HW a licencie'!$A$3:$A$102,'TCO TO BE - HW'!S$2,'Rozpočet - HW a licencie'!$C$3:$C$102,"HW",'Rozpočet - HW a licencie'!$G$3:$G$102,'TCO TO BE - HW'!$D14,'Rozpočet - HW a licencie'!$D$3:$D$102,'TCO TO BE - HW'!$B$5)+SUMIFS('Rozpočet - HW a licencie'!$I$3:$I$102,'Rozpočet - HW a licencie'!$A$3:$A$102,'TCO TO BE - HW'!S$2,'Rozpočet - HW a licencie'!$C$3:$C$102,"SW pre HW",'Rozpočet - HW a licencie'!$G$3:$G$102,'TCO TO BE - HW'!$D14,'Rozpočet - HW a licencie'!$D$3:$D$102,'TCO TO BE - HW'!$B$5),)</f>
        <v>0</v>
      </c>
      <c r="T14" s="576">
        <f>IFERROR(SUMIFS('Rozpočet - HW a licencie'!$I$3:$I$102,'Rozpočet - HW a licencie'!$A$3:$A$102,'TCO TO BE - HW'!T$2,'Rozpočet - HW a licencie'!$C$3:$C$102,"HW",'Rozpočet - HW a licencie'!$G$3:$G$102,'TCO TO BE - HW'!$D14,'Rozpočet - HW a licencie'!$D$3:$D$102,'TCO TO BE - HW'!$B$5)+SUMIFS('Rozpočet - HW a licencie'!$I$3:$I$102,'Rozpočet - HW a licencie'!$A$3:$A$102,'TCO TO BE - HW'!T$2,'Rozpočet - HW a licencie'!$C$3:$C$102,"SW pre HW",'Rozpočet - HW a licencie'!$G$3:$G$102,'TCO TO BE - HW'!$D14,'Rozpočet - HW a licencie'!$D$3:$D$102,'TCO TO BE - HW'!$B$5),)</f>
        <v>0</v>
      </c>
      <c r="U14" s="576">
        <f>IFERROR(SUMIFS('Rozpočet - HW a licencie'!$I$3:$I$102,'Rozpočet - HW a licencie'!$A$3:$A$102,'TCO TO BE - HW'!U$2,'Rozpočet - HW a licencie'!$C$3:$C$102,"HW",'Rozpočet - HW a licencie'!$G$3:$G$102,'TCO TO BE - HW'!$D14,'Rozpočet - HW a licencie'!$D$3:$D$102,'TCO TO BE - HW'!$B$5)+SUMIFS('Rozpočet - HW a licencie'!$I$3:$I$102,'Rozpočet - HW a licencie'!$A$3:$A$102,'TCO TO BE - HW'!U$2,'Rozpočet - HW a licencie'!$C$3:$C$102,"SW pre HW",'Rozpočet - HW a licencie'!$G$3:$G$102,'TCO TO BE - HW'!$D14,'Rozpočet - HW a licencie'!$D$3:$D$102,'TCO TO BE - HW'!$B$5),)</f>
        <v>0</v>
      </c>
      <c r="V14" s="576">
        <f>IFERROR(SUMIFS('Rozpočet - HW a licencie'!$I$3:$I$102,'Rozpočet - HW a licencie'!$A$3:$A$102,'TCO TO BE - HW'!V$2,'Rozpočet - HW a licencie'!$C$3:$C$102,"HW",'Rozpočet - HW a licencie'!$G$3:$G$102,'TCO TO BE - HW'!$D14,'Rozpočet - HW a licencie'!$D$3:$D$102,'TCO TO BE - HW'!$B$5)+SUMIFS('Rozpočet - HW a licencie'!$I$3:$I$102,'Rozpočet - HW a licencie'!$A$3:$A$102,'TCO TO BE - HW'!V$2,'Rozpočet - HW a licencie'!$C$3:$C$102,"SW pre HW",'Rozpočet - HW a licencie'!$G$3:$G$102,'TCO TO BE - HW'!$D14,'Rozpočet - HW a licencie'!$D$3:$D$102,'TCO TO BE - HW'!$B$5),)</f>
        <v>0</v>
      </c>
      <c r="W14" s="576">
        <f>IFERROR(SUMIFS('Rozpočet - HW a licencie'!$I$3:$I$102,'Rozpočet - HW a licencie'!$A$3:$A$102,'TCO TO BE - HW'!W$2,'Rozpočet - HW a licencie'!$C$3:$C$102,"HW",'Rozpočet - HW a licencie'!$G$3:$G$102,'TCO TO BE - HW'!$D14,'Rozpočet - HW a licencie'!$D$3:$D$102,'TCO TO BE - HW'!$B$5)+SUMIFS('Rozpočet - HW a licencie'!$I$3:$I$102,'Rozpočet - HW a licencie'!$A$3:$A$102,'TCO TO BE - HW'!W$2,'Rozpočet - HW a licencie'!$C$3:$C$102,"SW pre HW",'Rozpočet - HW a licencie'!$G$3:$G$102,'TCO TO BE - HW'!$D14,'Rozpočet - HW a licencie'!$D$3:$D$102,'TCO TO BE - HW'!$B$5),)</f>
        <v>0</v>
      </c>
      <c r="X14" s="576">
        <f>IFERROR(SUMIFS('Rozpočet - HW a licencie'!$I$3:$I$102,'Rozpočet - HW a licencie'!$A$3:$A$102,'TCO TO BE - HW'!X$2,'Rozpočet - HW a licencie'!$C$3:$C$102,"HW",'Rozpočet - HW a licencie'!$G$3:$G$102,'TCO TO BE - HW'!$D14,'Rozpočet - HW a licencie'!$D$3:$D$102,'TCO TO BE - HW'!$B$5)+SUMIFS('Rozpočet - HW a licencie'!$I$3:$I$102,'Rozpočet - HW a licencie'!$A$3:$A$102,'TCO TO BE - HW'!X$2,'Rozpočet - HW a licencie'!$C$3:$C$102,"SW pre HW",'Rozpočet - HW a licencie'!$G$3:$G$102,'TCO TO BE - HW'!$D14,'Rozpočet - HW a licencie'!$D$3:$D$102,'TCO TO BE - HW'!$B$5),)</f>
        <v>0</v>
      </c>
      <c r="Y14" s="576">
        <f>IFERROR(SUMIFS('Rozpočet - HW a licencie'!$I$3:$I$102,'Rozpočet - HW a licencie'!$A$3:$A$102,'TCO TO BE - HW'!Y$2,'Rozpočet - HW a licencie'!$C$3:$C$102,"HW",'Rozpočet - HW a licencie'!$G$3:$G$102,'TCO TO BE - HW'!$D14,'Rozpočet - HW a licencie'!$D$3:$D$102,'TCO TO BE - HW'!$B$5)+SUMIFS('Rozpočet - HW a licencie'!$I$3:$I$102,'Rozpočet - HW a licencie'!$A$3:$A$102,'TCO TO BE - HW'!Y$2,'Rozpočet - HW a licencie'!$C$3:$C$102,"SW pre HW",'Rozpočet - HW a licencie'!$G$3:$G$102,'TCO TO BE - HW'!$D14,'Rozpočet - HW a licencie'!$D$3:$D$102,'TCO TO BE - HW'!$B$5),)</f>
        <v>0</v>
      </c>
      <c r="Z14" s="576">
        <f>IFERROR(SUMIFS('Rozpočet - HW a licencie'!$I$3:$I$102,'Rozpočet - HW a licencie'!$A$3:$A$102,'TCO TO BE - HW'!Z$2,'Rozpočet - HW a licencie'!$C$3:$C$102,"HW",'Rozpočet - HW a licencie'!$G$3:$G$102,'TCO TO BE - HW'!$D14,'Rozpočet - HW a licencie'!$D$3:$D$102,'TCO TO BE - HW'!$B$5)+SUMIFS('Rozpočet - HW a licencie'!$I$3:$I$102,'Rozpočet - HW a licencie'!$A$3:$A$102,'TCO TO BE - HW'!Z$2,'Rozpočet - HW a licencie'!$C$3:$C$102,"SW pre HW",'Rozpočet - HW a licencie'!$G$3:$G$102,'TCO TO BE - HW'!$D14,'Rozpočet - HW a licencie'!$D$3:$D$102,'TCO TO BE - HW'!$B$5),)</f>
        <v>0</v>
      </c>
    </row>
    <row r="15" spans="1:26" ht="15" hidden="1" customHeight="1" outlineLevel="1">
      <c r="A15" s="875" t="s">
        <v>88</v>
      </c>
      <c r="B15" s="875" t="s">
        <v>111</v>
      </c>
      <c r="C15" s="876">
        <v>633002</v>
      </c>
      <c r="D15" s="494">
        <v>1</v>
      </c>
      <c r="E15" s="68">
        <f t="shared" si="2"/>
        <v>0</v>
      </c>
      <c r="F15" s="575">
        <f>IFERROR(SUMIFS('Rozpočet - HW a licencie'!$I$3:$I$102,'Rozpočet - HW a licencie'!$A$3:$A$102,'TCO TO BE - HW'!F$2,'Rozpočet - HW a licencie'!$C$3:$C$102,"HW",'Rozpočet - HW a licencie'!$G$3:$G$102,'TCO TO BE - HW'!$D5,'Rozpočet - HW a licencie'!$D$3:$D$102,'TCO TO BE - HW'!$B$15)+SUMIFS('Rozpočet - HW a licencie'!$I$3:$I$102,'Rozpočet - HW a licencie'!$A$3:$A$102,'TCO TO BE - HW'!F$2,'Rozpočet - HW a licencie'!$C$3:$C$102,"SW pre HW",'Rozpočet - HW a licencie'!$G$3:$G$102,'TCO TO BE - HW'!$D5,'Rozpočet - HW a licencie'!$D$3:$D$102,'TCO TO BE - HW'!$B$15),)</f>
        <v>0</v>
      </c>
      <c r="G15" s="575">
        <f>IFERROR(SUMIFS('Rozpočet - HW a licencie'!$I$3:$I$102,'Rozpočet - HW a licencie'!$A$3:$A$102,'TCO TO BE - HW'!G$2,'Rozpočet - HW a licencie'!$C$3:$C$102,"HW",'Rozpočet - HW a licencie'!$G$3:$G$102,'TCO TO BE - HW'!$D5,'Rozpočet - HW a licencie'!$D$3:$D$102,'TCO TO BE - HW'!$B$15)+SUMIFS('Rozpočet - HW a licencie'!$I$3:$I$102,'Rozpočet - HW a licencie'!$A$3:$A$102,'TCO TO BE - HW'!G$2,'Rozpočet - HW a licencie'!$C$3:$C$102,"SW pre HW",'Rozpočet - HW a licencie'!$G$3:$G$102,'TCO TO BE - HW'!$D5,'Rozpočet - HW a licencie'!$D$3:$D$102,'TCO TO BE - HW'!$B$15),)</f>
        <v>0</v>
      </c>
      <c r="H15" s="575">
        <f>IFERROR(SUMIFS('Rozpočet - HW a licencie'!$I$3:$I$102,'Rozpočet - HW a licencie'!$A$3:$A$102,'TCO TO BE - HW'!H$2,'Rozpočet - HW a licencie'!$C$3:$C$102,"HW",'Rozpočet - HW a licencie'!$G$3:$G$102,'TCO TO BE - HW'!$D5,'Rozpočet - HW a licencie'!$D$3:$D$102,'TCO TO BE - HW'!$B$15)+SUMIFS('Rozpočet - HW a licencie'!$I$3:$I$102,'Rozpočet - HW a licencie'!$A$3:$A$102,'TCO TO BE - HW'!H$2,'Rozpočet - HW a licencie'!$C$3:$C$102,"SW pre HW",'Rozpočet - HW a licencie'!$G$3:$G$102,'TCO TO BE - HW'!$D5,'Rozpočet - HW a licencie'!$D$3:$D$102,'TCO TO BE - HW'!$B$15),)</f>
        <v>0</v>
      </c>
      <c r="I15" s="575">
        <f>IFERROR(SUMIFS('Rozpočet - HW a licencie'!$I$3:$I$102,'Rozpočet - HW a licencie'!$A$3:$A$102,'TCO TO BE - HW'!I$2,'Rozpočet - HW a licencie'!$C$3:$C$102,"HW",'Rozpočet - HW a licencie'!$G$3:$G$102,'TCO TO BE - HW'!$D5,'Rozpočet - HW a licencie'!$D$3:$D$102,'TCO TO BE - HW'!$B$15)+SUMIFS('Rozpočet - HW a licencie'!$I$3:$I$102,'Rozpočet - HW a licencie'!$A$3:$A$102,'TCO TO BE - HW'!I$2,'Rozpočet - HW a licencie'!$C$3:$C$102,"SW pre HW",'Rozpočet - HW a licencie'!$G$3:$G$102,'TCO TO BE - HW'!$D5,'Rozpočet - HW a licencie'!$D$3:$D$102,'TCO TO BE - HW'!$B$15),)</f>
        <v>0</v>
      </c>
      <c r="J15" s="575">
        <f>IFERROR(SUMIFS('Rozpočet - HW a licencie'!$I$3:$I$102,'Rozpočet - HW a licencie'!$A$3:$A$102,'TCO TO BE - HW'!J$2,'Rozpočet - HW a licencie'!$C$3:$C$102,"HW",'Rozpočet - HW a licencie'!$G$3:$G$102,'TCO TO BE - HW'!$D5,'Rozpočet - HW a licencie'!$D$3:$D$102,'TCO TO BE - HW'!$B$15)+SUMIFS('Rozpočet - HW a licencie'!$I$3:$I$102,'Rozpočet - HW a licencie'!$A$3:$A$102,'TCO TO BE - HW'!J$2,'Rozpočet - HW a licencie'!$C$3:$C$102,"SW pre HW",'Rozpočet - HW a licencie'!$G$3:$G$102,'TCO TO BE - HW'!$D5,'Rozpočet - HW a licencie'!$D$3:$D$102,'TCO TO BE - HW'!$B$15),)</f>
        <v>0</v>
      </c>
      <c r="K15" s="575">
        <f>IFERROR(SUMIFS('Rozpočet - HW a licencie'!$I$3:$I$102,'Rozpočet - HW a licencie'!$A$3:$A$102,'TCO TO BE - HW'!K$2,'Rozpočet - HW a licencie'!$C$3:$C$102,"HW",'Rozpočet - HW a licencie'!$G$3:$G$102,'TCO TO BE - HW'!$D5,'Rozpočet - HW a licencie'!$D$3:$D$102,'TCO TO BE - HW'!$B$15)+SUMIFS('Rozpočet - HW a licencie'!$I$3:$I$102,'Rozpočet - HW a licencie'!$A$3:$A$102,'TCO TO BE - HW'!K$2,'Rozpočet - HW a licencie'!$C$3:$C$102,"SW pre HW",'Rozpočet - HW a licencie'!$G$3:$G$102,'TCO TO BE - HW'!$D5,'Rozpočet - HW a licencie'!$D$3:$D$102,'TCO TO BE - HW'!$B$15),)</f>
        <v>0</v>
      </c>
      <c r="L15" s="575">
        <f>IFERROR(SUMIFS('Rozpočet - HW a licencie'!$I$3:$I$102,'Rozpočet - HW a licencie'!$A$3:$A$102,'TCO TO BE - HW'!L$2,'Rozpočet - HW a licencie'!$C$3:$C$102,"HW",'Rozpočet - HW a licencie'!$G$3:$G$102,'TCO TO BE - HW'!$D5,'Rozpočet - HW a licencie'!$D$3:$D$102,'TCO TO BE - HW'!$B$15)+SUMIFS('Rozpočet - HW a licencie'!$I$3:$I$102,'Rozpočet - HW a licencie'!$A$3:$A$102,'TCO TO BE - HW'!L$2,'Rozpočet - HW a licencie'!$C$3:$C$102,"SW pre HW",'Rozpočet - HW a licencie'!$G$3:$G$102,'TCO TO BE - HW'!$D5,'Rozpočet - HW a licencie'!$D$3:$D$102,'TCO TO BE - HW'!$B$15),)</f>
        <v>0</v>
      </c>
      <c r="M15" s="575">
        <f>IFERROR(SUMIFS('Rozpočet - HW a licencie'!$I$3:$I$102,'Rozpočet - HW a licencie'!$A$3:$A$102,'TCO TO BE - HW'!M$2,'Rozpočet - HW a licencie'!$C$3:$C$102,"HW",'Rozpočet - HW a licencie'!$G$3:$G$102,'TCO TO BE - HW'!$D5,'Rozpočet - HW a licencie'!$D$3:$D$102,'TCO TO BE - HW'!$B$15)+SUMIFS('Rozpočet - HW a licencie'!$I$3:$I$102,'Rozpočet - HW a licencie'!$A$3:$A$102,'TCO TO BE - HW'!M$2,'Rozpočet - HW a licencie'!$C$3:$C$102,"SW pre HW",'Rozpočet - HW a licencie'!$G$3:$G$102,'TCO TO BE - HW'!$D5,'Rozpočet - HW a licencie'!$D$3:$D$102,'TCO TO BE - HW'!$B$15),)</f>
        <v>0</v>
      </c>
      <c r="N15" s="575">
        <f>IFERROR(SUMIFS('Rozpočet - HW a licencie'!$I$3:$I$102,'Rozpočet - HW a licencie'!$A$3:$A$102,'TCO TO BE - HW'!N$2,'Rozpočet - HW a licencie'!$C$3:$C$102,"HW",'Rozpočet - HW a licencie'!$G$3:$G$102,'TCO TO BE - HW'!$D5,'Rozpočet - HW a licencie'!$D$3:$D$102,'TCO TO BE - HW'!$B$15)+SUMIFS('Rozpočet - HW a licencie'!$I$3:$I$102,'Rozpočet - HW a licencie'!$A$3:$A$102,'TCO TO BE - HW'!N$2,'Rozpočet - HW a licencie'!$C$3:$C$102,"SW pre HW",'Rozpočet - HW a licencie'!$G$3:$G$102,'TCO TO BE - HW'!$D5,'Rozpočet - HW a licencie'!$D$3:$D$102,'TCO TO BE - HW'!$B$15),)</f>
        <v>0</v>
      </c>
      <c r="O15" s="575">
        <f>IFERROR(SUMIFS('Rozpočet - HW a licencie'!$I$3:$I$102,'Rozpočet - HW a licencie'!$A$3:$A$102,'TCO TO BE - HW'!O$2,'Rozpočet - HW a licencie'!$C$3:$C$102,"HW",'Rozpočet - HW a licencie'!$G$3:$G$102,'TCO TO BE - HW'!$D5,'Rozpočet - HW a licencie'!$D$3:$D$102,'TCO TO BE - HW'!$B$15)+SUMIFS('Rozpočet - HW a licencie'!$I$3:$I$102,'Rozpočet - HW a licencie'!$A$3:$A$102,'TCO TO BE - HW'!O$2,'Rozpočet - HW a licencie'!$C$3:$C$102,"SW pre HW",'Rozpočet - HW a licencie'!$G$3:$G$102,'TCO TO BE - HW'!$D5,'Rozpočet - HW a licencie'!$D$3:$D$102,'TCO TO BE - HW'!$B$15),)</f>
        <v>0</v>
      </c>
      <c r="P15" s="575">
        <f>IFERROR(SUMIFS('Rozpočet - HW a licencie'!$I$3:$I$102,'Rozpočet - HW a licencie'!$A$3:$A$102,'TCO TO BE - HW'!P$2,'Rozpočet - HW a licencie'!$C$3:$C$102,"HW",'Rozpočet - HW a licencie'!$G$3:$G$102,'TCO TO BE - HW'!$D5,'Rozpočet - HW a licencie'!$D$3:$D$102,'TCO TO BE - HW'!$B$15)+SUMIFS('Rozpočet - HW a licencie'!$I$3:$I$102,'Rozpočet - HW a licencie'!$A$3:$A$102,'TCO TO BE - HW'!P$2,'Rozpočet - HW a licencie'!$C$3:$C$102,"SW pre HW",'Rozpočet - HW a licencie'!$G$3:$G$102,'TCO TO BE - HW'!$D5,'Rozpočet - HW a licencie'!$D$3:$D$102,'TCO TO BE - HW'!$B$15),)</f>
        <v>0</v>
      </c>
      <c r="Q15" s="575">
        <f>IFERROR(SUMIFS('Rozpočet - HW a licencie'!$I$3:$I$102,'Rozpočet - HW a licencie'!$A$3:$A$102,'TCO TO BE - HW'!Q$2,'Rozpočet - HW a licencie'!$C$3:$C$102,"HW",'Rozpočet - HW a licencie'!$G$3:$G$102,'TCO TO BE - HW'!$D5,'Rozpočet - HW a licencie'!$D$3:$D$102,'TCO TO BE - HW'!$B$15)+SUMIFS('Rozpočet - HW a licencie'!$I$3:$I$102,'Rozpočet - HW a licencie'!$A$3:$A$102,'TCO TO BE - HW'!Q$2,'Rozpočet - HW a licencie'!$C$3:$C$102,"SW pre HW",'Rozpočet - HW a licencie'!$G$3:$G$102,'TCO TO BE - HW'!$D5,'Rozpočet - HW a licencie'!$D$3:$D$102,'TCO TO BE - HW'!$B$15),)</f>
        <v>0</v>
      </c>
      <c r="R15" s="575">
        <f>IFERROR(SUMIFS('Rozpočet - HW a licencie'!$I$3:$I$102,'Rozpočet - HW a licencie'!$A$3:$A$102,'TCO TO BE - HW'!R$2,'Rozpočet - HW a licencie'!$C$3:$C$102,"HW",'Rozpočet - HW a licencie'!$G$3:$G$102,'TCO TO BE - HW'!$D5,'Rozpočet - HW a licencie'!$D$3:$D$102,'TCO TO BE - HW'!$B$15)+SUMIFS('Rozpočet - HW a licencie'!$I$3:$I$102,'Rozpočet - HW a licencie'!$A$3:$A$102,'TCO TO BE - HW'!R$2,'Rozpočet - HW a licencie'!$C$3:$C$102,"SW pre HW",'Rozpočet - HW a licencie'!$G$3:$G$102,'TCO TO BE - HW'!$D5,'Rozpočet - HW a licencie'!$D$3:$D$102,'TCO TO BE - HW'!$B$15),)</f>
        <v>0</v>
      </c>
      <c r="S15" s="575">
        <f>IFERROR(SUMIFS('Rozpočet - HW a licencie'!$I$3:$I$102,'Rozpočet - HW a licencie'!$A$3:$A$102,'TCO TO BE - HW'!S$2,'Rozpočet - HW a licencie'!$C$3:$C$102,"HW",'Rozpočet - HW a licencie'!$G$3:$G$102,'TCO TO BE - HW'!$D5,'Rozpočet - HW a licencie'!$D$3:$D$102,'TCO TO BE - HW'!$B$15)+SUMIFS('Rozpočet - HW a licencie'!$I$3:$I$102,'Rozpočet - HW a licencie'!$A$3:$A$102,'TCO TO BE - HW'!S$2,'Rozpočet - HW a licencie'!$C$3:$C$102,"SW pre HW",'Rozpočet - HW a licencie'!$G$3:$G$102,'TCO TO BE - HW'!$D5,'Rozpočet - HW a licencie'!$D$3:$D$102,'TCO TO BE - HW'!$B$15),)</f>
        <v>0</v>
      </c>
      <c r="T15" s="575">
        <f>IFERROR(SUMIFS('Rozpočet - HW a licencie'!$I$3:$I$102,'Rozpočet - HW a licencie'!$A$3:$A$102,'TCO TO BE - HW'!T$2,'Rozpočet - HW a licencie'!$C$3:$C$102,"HW",'Rozpočet - HW a licencie'!$G$3:$G$102,'TCO TO BE - HW'!$D5,'Rozpočet - HW a licencie'!$D$3:$D$102,'TCO TO BE - HW'!$B$15)+SUMIFS('Rozpočet - HW a licencie'!$I$3:$I$102,'Rozpočet - HW a licencie'!$A$3:$A$102,'TCO TO BE - HW'!T$2,'Rozpočet - HW a licencie'!$C$3:$C$102,"SW pre HW",'Rozpočet - HW a licencie'!$G$3:$G$102,'TCO TO BE - HW'!$D5,'Rozpočet - HW a licencie'!$D$3:$D$102,'TCO TO BE - HW'!$B$15),)</f>
        <v>0</v>
      </c>
      <c r="U15" s="575">
        <f>IFERROR(SUMIFS('Rozpočet - HW a licencie'!$I$3:$I$102,'Rozpočet - HW a licencie'!$A$3:$A$102,'TCO TO BE - HW'!U$2,'Rozpočet - HW a licencie'!$C$3:$C$102,"HW",'Rozpočet - HW a licencie'!$G$3:$G$102,'TCO TO BE - HW'!$D5,'Rozpočet - HW a licencie'!$D$3:$D$102,'TCO TO BE - HW'!$B$15)+SUMIFS('Rozpočet - HW a licencie'!$I$3:$I$102,'Rozpočet - HW a licencie'!$A$3:$A$102,'TCO TO BE - HW'!U$2,'Rozpočet - HW a licencie'!$C$3:$C$102,"SW pre HW",'Rozpočet - HW a licencie'!$G$3:$G$102,'TCO TO BE - HW'!$D5,'Rozpočet - HW a licencie'!$D$3:$D$102,'TCO TO BE - HW'!$B$15),)</f>
        <v>0</v>
      </c>
      <c r="V15" s="575">
        <f>IFERROR(SUMIFS('Rozpočet - HW a licencie'!$I$3:$I$102,'Rozpočet - HW a licencie'!$A$3:$A$102,'TCO TO BE - HW'!V$2,'Rozpočet - HW a licencie'!$C$3:$C$102,"HW",'Rozpočet - HW a licencie'!$G$3:$G$102,'TCO TO BE - HW'!$D5,'Rozpočet - HW a licencie'!$D$3:$D$102,'TCO TO BE - HW'!$B$15)+SUMIFS('Rozpočet - HW a licencie'!$I$3:$I$102,'Rozpočet - HW a licencie'!$A$3:$A$102,'TCO TO BE - HW'!V$2,'Rozpočet - HW a licencie'!$C$3:$C$102,"SW pre HW",'Rozpočet - HW a licencie'!$G$3:$G$102,'TCO TO BE - HW'!$D5,'Rozpočet - HW a licencie'!$D$3:$D$102,'TCO TO BE - HW'!$B$15),)</f>
        <v>0</v>
      </c>
      <c r="W15" s="575">
        <f>IFERROR(SUMIFS('Rozpočet - HW a licencie'!$I$3:$I$102,'Rozpočet - HW a licencie'!$A$3:$A$102,'TCO TO BE - HW'!W$2,'Rozpočet - HW a licencie'!$C$3:$C$102,"HW",'Rozpočet - HW a licencie'!$G$3:$G$102,'TCO TO BE - HW'!$D5,'Rozpočet - HW a licencie'!$D$3:$D$102,'TCO TO BE - HW'!$B$15)+SUMIFS('Rozpočet - HW a licencie'!$I$3:$I$102,'Rozpočet - HW a licencie'!$A$3:$A$102,'TCO TO BE - HW'!W$2,'Rozpočet - HW a licencie'!$C$3:$C$102,"SW pre HW",'Rozpočet - HW a licencie'!$G$3:$G$102,'TCO TO BE - HW'!$D5,'Rozpočet - HW a licencie'!$D$3:$D$102,'TCO TO BE - HW'!$B$15),)</f>
        <v>0</v>
      </c>
      <c r="X15" s="575">
        <f>IFERROR(SUMIFS('Rozpočet - HW a licencie'!$I$3:$I$102,'Rozpočet - HW a licencie'!$A$3:$A$102,'TCO TO BE - HW'!X$2,'Rozpočet - HW a licencie'!$C$3:$C$102,"HW",'Rozpočet - HW a licencie'!$G$3:$G$102,'TCO TO BE - HW'!$D5,'Rozpočet - HW a licencie'!$D$3:$D$102,'TCO TO BE - HW'!$B$15)+SUMIFS('Rozpočet - HW a licencie'!$I$3:$I$102,'Rozpočet - HW a licencie'!$A$3:$A$102,'TCO TO BE - HW'!X$2,'Rozpočet - HW a licencie'!$C$3:$C$102,"SW pre HW",'Rozpočet - HW a licencie'!$G$3:$G$102,'TCO TO BE - HW'!$D5,'Rozpočet - HW a licencie'!$D$3:$D$102,'TCO TO BE - HW'!$B$15),)</f>
        <v>0</v>
      </c>
      <c r="Y15" s="575">
        <f>IFERROR(SUMIFS('Rozpočet - HW a licencie'!$I$3:$I$102,'Rozpočet - HW a licencie'!$A$3:$A$102,'TCO TO BE - HW'!Y$2,'Rozpočet - HW a licencie'!$C$3:$C$102,"HW",'Rozpočet - HW a licencie'!$G$3:$G$102,'TCO TO BE - HW'!$D5,'Rozpočet - HW a licencie'!$D$3:$D$102,'TCO TO BE - HW'!$B$15)+SUMIFS('Rozpočet - HW a licencie'!$I$3:$I$102,'Rozpočet - HW a licencie'!$A$3:$A$102,'TCO TO BE - HW'!Y$2,'Rozpočet - HW a licencie'!$C$3:$C$102,"SW pre HW",'Rozpočet - HW a licencie'!$G$3:$G$102,'TCO TO BE - HW'!$D5,'Rozpočet - HW a licencie'!$D$3:$D$102,'TCO TO BE - HW'!$B$15),)</f>
        <v>0</v>
      </c>
      <c r="Z15" s="575">
        <f>IFERROR(SUMIFS('Rozpočet - HW a licencie'!$I$3:$I$102,'Rozpočet - HW a licencie'!$A$3:$A$102,'TCO TO BE - HW'!Z$2,'Rozpočet - HW a licencie'!$C$3:$C$102,"HW",'Rozpočet - HW a licencie'!$G$3:$G$102,'TCO TO BE - HW'!$D5,'Rozpočet - HW a licencie'!$D$3:$D$102,'TCO TO BE - HW'!$B$15)+SUMIFS('Rozpočet - HW a licencie'!$I$3:$I$102,'Rozpočet - HW a licencie'!$A$3:$A$102,'TCO TO BE - HW'!Z$2,'Rozpočet - HW a licencie'!$C$3:$C$102,"SW pre HW",'Rozpočet - HW a licencie'!$G$3:$G$102,'TCO TO BE - HW'!$D5,'Rozpočet - HW a licencie'!$D$3:$D$102,'TCO TO BE - HW'!$B$15),)</f>
        <v>0</v>
      </c>
    </row>
    <row r="16" spans="1:26" hidden="1" outlineLevel="1">
      <c r="A16" s="875"/>
      <c r="B16" s="876"/>
      <c r="C16" s="876"/>
      <c r="D16" s="495">
        <v>2</v>
      </c>
      <c r="E16" s="68">
        <f t="shared" si="2"/>
        <v>0</v>
      </c>
      <c r="F16" s="576">
        <f>IFERROR(SUMIFS('Rozpočet - HW a licencie'!$I$3:$I$102,'Rozpočet - HW a licencie'!$A$3:$A$102,'TCO TO BE - HW'!F$2,'Rozpočet - HW a licencie'!$C$3:$C$102,"HW",'Rozpočet - HW a licencie'!$G$3:$G$102,'TCO TO BE - HW'!$D6,'Rozpočet - HW a licencie'!$D$3:$D$102,'TCO TO BE - HW'!$B$15)+SUMIFS('Rozpočet - HW a licencie'!$I$3:$I$102,'Rozpočet - HW a licencie'!$A$3:$A$102,'TCO TO BE - HW'!F$2,'Rozpočet - HW a licencie'!$C$3:$C$102,"SW pre HW",'Rozpočet - HW a licencie'!$G$3:$G$102,'TCO TO BE - HW'!$D6,'Rozpočet - HW a licencie'!$D$3:$D$102,'TCO TO BE - HW'!$B$15),)</f>
        <v>0</v>
      </c>
      <c r="G16" s="576">
        <f>IFERROR(SUMIFS('Rozpočet - HW a licencie'!$I$3:$I$102,'Rozpočet - HW a licencie'!$A$3:$A$102,'TCO TO BE - HW'!G$2,'Rozpočet - HW a licencie'!$C$3:$C$102,"HW",'Rozpočet - HW a licencie'!$G$3:$G$102,'TCO TO BE - HW'!$D6,'Rozpočet - HW a licencie'!$D$3:$D$102,'TCO TO BE - HW'!$B$15)+SUMIFS('Rozpočet - HW a licencie'!$I$3:$I$102,'Rozpočet - HW a licencie'!$A$3:$A$102,'TCO TO BE - HW'!G$2,'Rozpočet - HW a licencie'!$C$3:$C$102,"SW pre HW",'Rozpočet - HW a licencie'!$G$3:$G$102,'TCO TO BE - HW'!$D6,'Rozpočet - HW a licencie'!$D$3:$D$102,'TCO TO BE - HW'!$B$15),)</f>
        <v>0</v>
      </c>
      <c r="H16" s="576">
        <f>IFERROR(SUMIFS('Rozpočet - HW a licencie'!$I$3:$I$102,'Rozpočet - HW a licencie'!$A$3:$A$102,'TCO TO BE - HW'!H$2,'Rozpočet - HW a licencie'!$C$3:$C$102,"HW",'Rozpočet - HW a licencie'!$G$3:$G$102,'TCO TO BE - HW'!$D6,'Rozpočet - HW a licencie'!$D$3:$D$102,'TCO TO BE - HW'!$B$15)+SUMIFS('Rozpočet - HW a licencie'!$I$3:$I$102,'Rozpočet - HW a licencie'!$A$3:$A$102,'TCO TO BE - HW'!H$2,'Rozpočet - HW a licencie'!$C$3:$C$102,"SW pre HW",'Rozpočet - HW a licencie'!$G$3:$G$102,'TCO TO BE - HW'!$D6,'Rozpočet - HW a licencie'!$D$3:$D$102,'TCO TO BE - HW'!$B$15),)</f>
        <v>0</v>
      </c>
      <c r="I16" s="576">
        <f>IFERROR(SUMIFS('Rozpočet - HW a licencie'!$I$3:$I$102,'Rozpočet - HW a licencie'!$A$3:$A$102,'TCO TO BE - HW'!I$2,'Rozpočet - HW a licencie'!$C$3:$C$102,"HW",'Rozpočet - HW a licencie'!$G$3:$G$102,'TCO TO BE - HW'!$D6,'Rozpočet - HW a licencie'!$D$3:$D$102,'TCO TO BE - HW'!$B$15)+SUMIFS('Rozpočet - HW a licencie'!$I$3:$I$102,'Rozpočet - HW a licencie'!$A$3:$A$102,'TCO TO BE - HW'!I$2,'Rozpočet - HW a licencie'!$C$3:$C$102,"SW pre HW",'Rozpočet - HW a licencie'!$G$3:$G$102,'TCO TO BE - HW'!$D6,'Rozpočet - HW a licencie'!$D$3:$D$102,'TCO TO BE - HW'!$B$15),)</f>
        <v>0</v>
      </c>
      <c r="J16" s="576">
        <f>IFERROR(SUMIFS('Rozpočet - HW a licencie'!$I$3:$I$102,'Rozpočet - HW a licencie'!$A$3:$A$102,'TCO TO BE - HW'!J$2,'Rozpočet - HW a licencie'!$C$3:$C$102,"HW",'Rozpočet - HW a licencie'!$G$3:$G$102,'TCO TO BE - HW'!$D6,'Rozpočet - HW a licencie'!$D$3:$D$102,'TCO TO BE - HW'!$B$15)+SUMIFS('Rozpočet - HW a licencie'!$I$3:$I$102,'Rozpočet - HW a licencie'!$A$3:$A$102,'TCO TO BE - HW'!J$2,'Rozpočet - HW a licencie'!$C$3:$C$102,"SW pre HW",'Rozpočet - HW a licencie'!$G$3:$G$102,'TCO TO BE - HW'!$D6,'Rozpočet - HW a licencie'!$D$3:$D$102,'TCO TO BE - HW'!$B$15),)</f>
        <v>0</v>
      </c>
      <c r="K16" s="576">
        <f>IFERROR(SUMIFS('Rozpočet - HW a licencie'!$I$3:$I$102,'Rozpočet - HW a licencie'!$A$3:$A$102,'TCO TO BE - HW'!K$2,'Rozpočet - HW a licencie'!$C$3:$C$102,"HW",'Rozpočet - HW a licencie'!$G$3:$G$102,'TCO TO BE - HW'!$D6,'Rozpočet - HW a licencie'!$D$3:$D$102,'TCO TO BE - HW'!$B$15)+SUMIFS('Rozpočet - HW a licencie'!$I$3:$I$102,'Rozpočet - HW a licencie'!$A$3:$A$102,'TCO TO BE - HW'!K$2,'Rozpočet - HW a licencie'!$C$3:$C$102,"SW pre HW",'Rozpočet - HW a licencie'!$G$3:$G$102,'TCO TO BE - HW'!$D6,'Rozpočet - HW a licencie'!$D$3:$D$102,'TCO TO BE - HW'!$B$15),)</f>
        <v>0</v>
      </c>
      <c r="L16" s="576">
        <f>IFERROR(SUMIFS('Rozpočet - HW a licencie'!$I$3:$I$102,'Rozpočet - HW a licencie'!$A$3:$A$102,'TCO TO BE - HW'!L$2,'Rozpočet - HW a licencie'!$C$3:$C$102,"HW",'Rozpočet - HW a licencie'!$G$3:$G$102,'TCO TO BE - HW'!$D6,'Rozpočet - HW a licencie'!$D$3:$D$102,'TCO TO BE - HW'!$B$15)+SUMIFS('Rozpočet - HW a licencie'!$I$3:$I$102,'Rozpočet - HW a licencie'!$A$3:$A$102,'TCO TO BE - HW'!L$2,'Rozpočet - HW a licencie'!$C$3:$C$102,"SW pre HW",'Rozpočet - HW a licencie'!$G$3:$G$102,'TCO TO BE - HW'!$D6,'Rozpočet - HW a licencie'!$D$3:$D$102,'TCO TO BE - HW'!$B$15),)</f>
        <v>0</v>
      </c>
      <c r="M16" s="576">
        <f>IFERROR(SUMIFS('Rozpočet - HW a licencie'!$I$3:$I$102,'Rozpočet - HW a licencie'!$A$3:$A$102,'TCO TO BE - HW'!M$2,'Rozpočet - HW a licencie'!$C$3:$C$102,"HW",'Rozpočet - HW a licencie'!$G$3:$G$102,'TCO TO BE - HW'!$D6,'Rozpočet - HW a licencie'!$D$3:$D$102,'TCO TO BE - HW'!$B$15)+SUMIFS('Rozpočet - HW a licencie'!$I$3:$I$102,'Rozpočet - HW a licencie'!$A$3:$A$102,'TCO TO BE - HW'!M$2,'Rozpočet - HW a licencie'!$C$3:$C$102,"SW pre HW",'Rozpočet - HW a licencie'!$G$3:$G$102,'TCO TO BE - HW'!$D6,'Rozpočet - HW a licencie'!$D$3:$D$102,'TCO TO BE - HW'!$B$15),)</f>
        <v>0</v>
      </c>
      <c r="N16" s="576">
        <f>IFERROR(SUMIFS('Rozpočet - HW a licencie'!$I$3:$I$102,'Rozpočet - HW a licencie'!$A$3:$A$102,'TCO TO BE - HW'!N$2,'Rozpočet - HW a licencie'!$C$3:$C$102,"HW",'Rozpočet - HW a licencie'!$G$3:$G$102,'TCO TO BE - HW'!$D6,'Rozpočet - HW a licencie'!$D$3:$D$102,'TCO TO BE - HW'!$B$15)+SUMIFS('Rozpočet - HW a licencie'!$I$3:$I$102,'Rozpočet - HW a licencie'!$A$3:$A$102,'TCO TO BE - HW'!N$2,'Rozpočet - HW a licencie'!$C$3:$C$102,"SW pre HW",'Rozpočet - HW a licencie'!$G$3:$G$102,'TCO TO BE - HW'!$D6,'Rozpočet - HW a licencie'!$D$3:$D$102,'TCO TO BE - HW'!$B$15),)</f>
        <v>0</v>
      </c>
      <c r="O16" s="576">
        <f>IFERROR(SUMIFS('Rozpočet - HW a licencie'!$I$3:$I$102,'Rozpočet - HW a licencie'!$A$3:$A$102,'TCO TO BE - HW'!O$2,'Rozpočet - HW a licencie'!$C$3:$C$102,"HW",'Rozpočet - HW a licencie'!$G$3:$G$102,'TCO TO BE - HW'!$D6,'Rozpočet - HW a licencie'!$D$3:$D$102,'TCO TO BE - HW'!$B$15)+SUMIFS('Rozpočet - HW a licencie'!$I$3:$I$102,'Rozpočet - HW a licencie'!$A$3:$A$102,'TCO TO BE - HW'!O$2,'Rozpočet - HW a licencie'!$C$3:$C$102,"SW pre HW",'Rozpočet - HW a licencie'!$G$3:$G$102,'TCO TO BE - HW'!$D6,'Rozpočet - HW a licencie'!$D$3:$D$102,'TCO TO BE - HW'!$B$15),)</f>
        <v>0</v>
      </c>
      <c r="P16" s="576">
        <f>IFERROR(SUMIFS('Rozpočet - HW a licencie'!$I$3:$I$102,'Rozpočet - HW a licencie'!$A$3:$A$102,'TCO TO BE - HW'!P$2,'Rozpočet - HW a licencie'!$C$3:$C$102,"HW",'Rozpočet - HW a licencie'!$G$3:$G$102,'TCO TO BE - HW'!$D6,'Rozpočet - HW a licencie'!$D$3:$D$102,'TCO TO BE - HW'!$B$15)+SUMIFS('Rozpočet - HW a licencie'!$I$3:$I$102,'Rozpočet - HW a licencie'!$A$3:$A$102,'TCO TO BE - HW'!P$2,'Rozpočet - HW a licencie'!$C$3:$C$102,"SW pre HW",'Rozpočet - HW a licencie'!$G$3:$G$102,'TCO TO BE - HW'!$D6,'Rozpočet - HW a licencie'!$D$3:$D$102,'TCO TO BE - HW'!$B$15),)</f>
        <v>0</v>
      </c>
      <c r="Q16" s="576">
        <f>IFERROR(SUMIFS('Rozpočet - HW a licencie'!$I$3:$I$102,'Rozpočet - HW a licencie'!$A$3:$A$102,'TCO TO BE - HW'!Q$2,'Rozpočet - HW a licencie'!$C$3:$C$102,"HW",'Rozpočet - HW a licencie'!$G$3:$G$102,'TCO TO BE - HW'!$D6,'Rozpočet - HW a licencie'!$D$3:$D$102,'TCO TO BE - HW'!$B$15)+SUMIFS('Rozpočet - HW a licencie'!$I$3:$I$102,'Rozpočet - HW a licencie'!$A$3:$A$102,'TCO TO BE - HW'!Q$2,'Rozpočet - HW a licencie'!$C$3:$C$102,"SW pre HW",'Rozpočet - HW a licencie'!$G$3:$G$102,'TCO TO BE - HW'!$D6,'Rozpočet - HW a licencie'!$D$3:$D$102,'TCO TO BE - HW'!$B$15),)</f>
        <v>0</v>
      </c>
      <c r="R16" s="576">
        <f>IFERROR(SUMIFS('Rozpočet - HW a licencie'!$I$3:$I$102,'Rozpočet - HW a licencie'!$A$3:$A$102,'TCO TO BE - HW'!R$2,'Rozpočet - HW a licencie'!$C$3:$C$102,"HW",'Rozpočet - HW a licencie'!$G$3:$G$102,'TCO TO BE - HW'!$D6,'Rozpočet - HW a licencie'!$D$3:$D$102,'TCO TO BE - HW'!$B$15)+SUMIFS('Rozpočet - HW a licencie'!$I$3:$I$102,'Rozpočet - HW a licencie'!$A$3:$A$102,'TCO TO BE - HW'!R$2,'Rozpočet - HW a licencie'!$C$3:$C$102,"SW pre HW",'Rozpočet - HW a licencie'!$G$3:$G$102,'TCO TO BE - HW'!$D6,'Rozpočet - HW a licencie'!$D$3:$D$102,'TCO TO BE - HW'!$B$15),)</f>
        <v>0</v>
      </c>
      <c r="S16" s="576">
        <f>IFERROR(SUMIFS('Rozpočet - HW a licencie'!$I$3:$I$102,'Rozpočet - HW a licencie'!$A$3:$A$102,'TCO TO BE - HW'!S$2,'Rozpočet - HW a licencie'!$C$3:$C$102,"HW",'Rozpočet - HW a licencie'!$G$3:$G$102,'TCO TO BE - HW'!$D6,'Rozpočet - HW a licencie'!$D$3:$D$102,'TCO TO BE - HW'!$B$15)+SUMIFS('Rozpočet - HW a licencie'!$I$3:$I$102,'Rozpočet - HW a licencie'!$A$3:$A$102,'TCO TO BE - HW'!S$2,'Rozpočet - HW a licencie'!$C$3:$C$102,"SW pre HW",'Rozpočet - HW a licencie'!$G$3:$G$102,'TCO TO BE - HW'!$D6,'Rozpočet - HW a licencie'!$D$3:$D$102,'TCO TO BE - HW'!$B$15),)</f>
        <v>0</v>
      </c>
      <c r="T16" s="576">
        <f>IFERROR(SUMIFS('Rozpočet - HW a licencie'!$I$3:$I$102,'Rozpočet - HW a licencie'!$A$3:$A$102,'TCO TO BE - HW'!T$2,'Rozpočet - HW a licencie'!$C$3:$C$102,"HW",'Rozpočet - HW a licencie'!$G$3:$G$102,'TCO TO BE - HW'!$D6,'Rozpočet - HW a licencie'!$D$3:$D$102,'TCO TO BE - HW'!$B$15)+SUMIFS('Rozpočet - HW a licencie'!$I$3:$I$102,'Rozpočet - HW a licencie'!$A$3:$A$102,'TCO TO BE - HW'!T$2,'Rozpočet - HW a licencie'!$C$3:$C$102,"SW pre HW",'Rozpočet - HW a licencie'!$G$3:$G$102,'TCO TO BE - HW'!$D6,'Rozpočet - HW a licencie'!$D$3:$D$102,'TCO TO BE - HW'!$B$15),)</f>
        <v>0</v>
      </c>
      <c r="U16" s="576">
        <f>IFERROR(SUMIFS('Rozpočet - HW a licencie'!$I$3:$I$102,'Rozpočet - HW a licencie'!$A$3:$A$102,'TCO TO BE - HW'!U$2,'Rozpočet - HW a licencie'!$C$3:$C$102,"HW",'Rozpočet - HW a licencie'!$G$3:$G$102,'TCO TO BE - HW'!$D6,'Rozpočet - HW a licencie'!$D$3:$D$102,'TCO TO BE - HW'!$B$15)+SUMIFS('Rozpočet - HW a licencie'!$I$3:$I$102,'Rozpočet - HW a licencie'!$A$3:$A$102,'TCO TO BE - HW'!U$2,'Rozpočet - HW a licencie'!$C$3:$C$102,"SW pre HW",'Rozpočet - HW a licencie'!$G$3:$G$102,'TCO TO BE - HW'!$D6,'Rozpočet - HW a licencie'!$D$3:$D$102,'TCO TO BE - HW'!$B$15),)</f>
        <v>0</v>
      </c>
      <c r="V16" s="576">
        <f>IFERROR(SUMIFS('Rozpočet - HW a licencie'!$I$3:$I$102,'Rozpočet - HW a licencie'!$A$3:$A$102,'TCO TO BE - HW'!V$2,'Rozpočet - HW a licencie'!$C$3:$C$102,"HW",'Rozpočet - HW a licencie'!$G$3:$G$102,'TCO TO BE - HW'!$D6,'Rozpočet - HW a licencie'!$D$3:$D$102,'TCO TO BE - HW'!$B$15)+SUMIFS('Rozpočet - HW a licencie'!$I$3:$I$102,'Rozpočet - HW a licencie'!$A$3:$A$102,'TCO TO BE - HW'!V$2,'Rozpočet - HW a licencie'!$C$3:$C$102,"SW pre HW",'Rozpočet - HW a licencie'!$G$3:$G$102,'TCO TO BE - HW'!$D6,'Rozpočet - HW a licencie'!$D$3:$D$102,'TCO TO BE - HW'!$B$15),)</f>
        <v>0</v>
      </c>
      <c r="W16" s="576">
        <f>IFERROR(SUMIFS('Rozpočet - HW a licencie'!$I$3:$I$102,'Rozpočet - HW a licencie'!$A$3:$A$102,'TCO TO BE - HW'!W$2,'Rozpočet - HW a licencie'!$C$3:$C$102,"HW",'Rozpočet - HW a licencie'!$G$3:$G$102,'TCO TO BE - HW'!$D6,'Rozpočet - HW a licencie'!$D$3:$D$102,'TCO TO BE - HW'!$B$15)+SUMIFS('Rozpočet - HW a licencie'!$I$3:$I$102,'Rozpočet - HW a licencie'!$A$3:$A$102,'TCO TO BE - HW'!W$2,'Rozpočet - HW a licencie'!$C$3:$C$102,"SW pre HW",'Rozpočet - HW a licencie'!$G$3:$G$102,'TCO TO BE - HW'!$D6,'Rozpočet - HW a licencie'!$D$3:$D$102,'TCO TO BE - HW'!$B$15),)</f>
        <v>0</v>
      </c>
      <c r="X16" s="576">
        <f>IFERROR(SUMIFS('Rozpočet - HW a licencie'!$I$3:$I$102,'Rozpočet - HW a licencie'!$A$3:$A$102,'TCO TO BE - HW'!X$2,'Rozpočet - HW a licencie'!$C$3:$C$102,"HW",'Rozpočet - HW a licencie'!$G$3:$G$102,'TCO TO BE - HW'!$D6,'Rozpočet - HW a licencie'!$D$3:$D$102,'TCO TO BE - HW'!$B$15)+SUMIFS('Rozpočet - HW a licencie'!$I$3:$I$102,'Rozpočet - HW a licencie'!$A$3:$A$102,'TCO TO BE - HW'!X$2,'Rozpočet - HW a licencie'!$C$3:$C$102,"SW pre HW",'Rozpočet - HW a licencie'!$G$3:$G$102,'TCO TO BE - HW'!$D6,'Rozpočet - HW a licencie'!$D$3:$D$102,'TCO TO BE - HW'!$B$15),)</f>
        <v>0</v>
      </c>
      <c r="Y16" s="576">
        <f>IFERROR(SUMIFS('Rozpočet - HW a licencie'!$I$3:$I$102,'Rozpočet - HW a licencie'!$A$3:$A$102,'TCO TO BE - HW'!Y$2,'Rozpočet - HW a licencie'!$C$3:$C$102,"HW",'Rozpočet - HW a licencie'!$G$3:$G$102,'TCO TO BE - HW'!$D6,'Rozpočet - HW a licencie'!$D$3:$D$102,'TCO TO BE - HW'!$B$15)+SUMIFS('Rozpočet - HW a licencie'!$I$3:$I$102,'Rozpočet - HW a licencie'!$A$3:$A$102,'TCO TO BE - HW'!Y$2,'Rozpočet - HW a licencie'!$C$3:$C$102,"SW pre HW",'Rozpočet - HW a licencie'!$G$3:$G$102,'TCO TO BE - HW'!$D6,'Rozpočet - HW a licencie'!$D$3:$D$102,'TCO TO BE - HW'!$B$15),)</f>
        <v>0</v>
      </c>
      <c r="Z16" s="576">
        <f>IFERROR(SUMIFS('Rozpočet - HW a licencie'!$I$3:$I$102,'Rozpočet - HW a licencie'!$A$3:$A$102,'TCO TO BE - HW'!Z$2,'Rozpočet - HW a licencie'!$C$3:$C$102,"HW",'Rozpočet - HW a licencie'!$G$3:$G$102,'TCO TO BE - HW'!$D6,'Rozpočet - HW a licencie'!$D$3:$D$102,'TCO TO BE - HW'!$B$15)+SUMIFS('Rozpočet - HW a licencie'!$I$3:$I$102,'Rozpočet - HW a licencie'!$A$3:$A$102,'TCO TO BE - HW'!Z$2,'Rozpočet - HW a licencie'!$C$3:$C$102,"SW pre HW",'Rozpočet - HW a licencie'!$G$3:$G$102,'TCO TO BE - HW'!$D6,'Rozpočet - HW a licencie'!$D$3:$D$102,'TCO TO BE - HW'!$B$15),)</f>
        <v>0</v>
      </c>
    </row>
    <row r="17" spans="1:26" hidden="1" outlineLevel="1">
      <c r="A17" s="875"/>
      <c r="B17" s="876"/>
      <c r="C17" s="876"/>
      <c r="D17" s="495">
        <v>3</v>
      </c>
      <c r="E17" s="68">
        <f t="shared" si="2"/>
        <v>0</v>
      </c>
      <c r="F17" s="576">
        <f>IFERROR(SUMIFS('Rozpočet - HW a licencie'!$I$3:$I$102,'Rozpočet - HW a licencie'!$A$3:$A$102,'TCO TO BE - HW'!F$2,'Rozpočet - HW a licencie'!$C$3:$C$102,"HW",'Rozpočet - HW a licencie'!$G$3:$G$102,'TCO TO BE - HW'!$D7,'Rozpočet - HW a licencie'!$D$3:$D$102,'TCO TO BE - HW'!$B$15)+SUMIFS('Rozpočet - HW a licencie'!$I$3:$I$102,'Rozpočet - HW a licencie'!$A$3:$A$102,'TCO TO BE - HW'!F$2,'Rozpočet - HW a licencie'!$C$3:$C$102,"SW pre HW",'Rozpočet - HW a licencie'!$G$3:$G$102,'TCO TO BE - HW'!$D7,'Rozpočet - HW a licencie'!$D$3:$D$102,'TCO TO BE - HW'!$B$15),)</f>
        <v>0</v>
      </c>
      <c r="G17" s="576">
        <f>IFERROR(SUMIFS('Rozpočet - HW a licencie'!$I$3:$I$102,'Rozpočet - HW a licencie'!$A$3:$A$102,'TCO TO BE - HW'!G$2,'Rozpočet - HW a licencie'!$C$3:$C$102,"HW",'Rozpočet - HW a licencie'!$G$3:$G$102,'TCO TO BE - HW'!$D7,'Rozpočet - HW a licencie'!$D$3:$D$102,'TCO TO BE - HW'!$B$15)+SUMIFS('Rozpočet - HW a licencie'!$I$3:$I$102,'Rozpočet - HW a licencie'!$A$3:$A$102,'TCO TO BE - HW'!G$2,'Rozpočet - HW a licencie'!$C$3:$C$102,"SW pre HW",'Rozpočet - HW a licencie'!$G$3:$G$102,'TCO TO BE - HW'!$D7,'Rozpočet - HW a licencie'!$D$3:$D$102,'TCO TO BE - HW'!$B$15),)</f>
        <v>0</v>
      </c>
      <c r="H17" s="576">
        <f>IFERROR(SUMIFS('Rozpočet - HW a licencie'!$I$3:$I$102,'Rozpočet - HW a licencie'!$A$3:$A$102,'TCO TO BE - HW'!H$2,'Rozpočet - HW a licencie'!$C$3:$C$102,"HW",'Rozpočet - HW a licencie'!$G$3:$G$102,'TCO TO BE - HW'!$D7,'Rozpočet - HW a licencie'!$D$3:$D$102,'TCO TO BE - HW'!$B$15)+SUMIFS('Rozpočet - HW a licencie'!$I$3:$I$102,'Rozpočet - HW a licencie'!$A$3:$A$102,'TCO TO BE - HW'!H$2,'Rozpočet - HW a licencie'!$C$3:$C$102,"SW pre HW",'Rozpočet - HW a licencie'!$G$3:$G$102,'TCO TO BE - HW'!$D7,'Rozpočet - HW a licencie'!$D$3:$D$102,'TCO TO BE - HW'!$B$15),)</f>
        <v>0</v>
      </c>
      <c r="I17" s="576">
        <f>IFERROR(SUMIFS('Rozpočet - HW a licencie'!$I$3:$I$102,'Rozpočet - HW a licencie'!$A$3:$A$102,'TCO TO BE - HW'!I$2,'Rozpočet - HW a licencie'!$C$3:$C$102,"HW",'Rozpočet - HW a licencie'!$G$3:$G$102,'TCO TO BE - HW'!$D7,'Rozpočet - HW a licencie'!$D$3:$D$102,'TCO TO BE - HW'!$B$15)+SUMIFS('Rozpočet - HW a licencie'!$I$3:$I$102,'Rozpočet - HW a licencie'!$A$3:$A$102,'TCO TO BE - HW'!I$2,'Rozpočet - HW a licencie'!$C$3:$C$102,"SW pre HW",'Rozpočet - HW a licencie'!$G$3:$G$102,'TCO TO BE - HW'!$D7,'Rozpočet - HW a licencie'!$D$3:$D$102,'TCO TO BE - HW'!$B$15),)</f>
        <v>0</v>
      </c>
      <c r="J17" s="576">
        <f>IFERROR(SUMIFS('Rozpočet - HW a licencie'!$I$3:$I$102,'Rozpočet - HW a licencie'!$A$3:$A$102,'TCO TO BE - HW'!J$2,'Rozpočet - HW a licencie'!$C$3:$C$102,"HW",'Rozpočet - HW a licencie'!$G$3:$G$102,'TCO TO BE - HW'!$D7,'Rozpočet - HW a licencie'!$D$3:$D$102,'TCO TO BE - HW'!$B$15)+SUMIFS('Rozpočet - HW a licencie'!$I$3:$I$102,'Rozpočet - HW a licencie'!$A$3:$A$102,'TCO TO BE - HW'!J$2,'Rozpočet - HW a licencie'!$C$3:$C$102,"SW pre HW",'Rozpočet - HW a licencie'!$G$3:$G$102,'TCO TO BE - HW'!$D7,'Rozpočet - HW a licencie'!$D$3:$D$102,'TCO TO BE - HW'!$B$15),)</f>
        <v>0</v>
      </c>
      <c r="K17" s="576">
        <f>IFERROR(SUMIFS('Rozpočet - HW a licencie'!$I$3:$I$102,'Rozpočet - HW a licencie'!$A$3:$A$102,'TCO TO BE - HW'!K$2,'Rozpočet - HW a licencie'!$C$3:$C$102,"HW",'Rozpočet - HW a licencie'!$G$3:$G$102,'TCO TO BE - HW'!$D7,'Rozpočet - HW a licencie'!$D$3:$D$102,'TCO TO BE - HW'!$B$15)+SUMIFS('Rozpočet - HW a licencie'!$I$3:$I$102,'Rozpočet - HW a licencie'!$A$3:$A$102,'TCO TO BE - HW'!K$2,'Rozpočet - HW a licencie'!$C$3:$C$102,"SW pre HW",'Rozpočet - HW a licencie'!$G$3:$G$102,'TCO TO BE - HW'!$D7,'Rozpočet - HW a licencie'!$D$3:$D$102,'TCO TO BE - HW'!$B$15),)</f>
        <v>0</v>
      </c>
      <c r="L17" s="576">
        <f>IFERROR(SUMIFS('Rozpočet - HW a licencie'!$I$3:$I$102,'Rozpočet - HW a licencie'!$A$3:$A$102,'TCO TO BE - HW'!L$2,'Rozpočet - HW a licencie'!$C$3:$C$102,"HW",'Rozpočet - HW a licencie'!$G$3:$G$102,'TCO TO BE - HW'!$D7,'Rozpočet - HW a licencie'!$D$3:$D$102,'TCO TO BE - HW'!$B$15)+SUMIFS('Rozpočet - HW a licencie'!$I$3:$I$102,'Rozpočet - HW a licencie'!$A$3:$A$102,'TCO TO BE - HW'!L$2,'Rozpočet - HW a licencie'!$C$3:$C$102,"SW pre HW",'Rozpočet - HW a licencie'!$G$3:$G$102,'TCO TO BE - HW'!$D7,'Rozpočet - HW a licencie'!$D$3:$D$102,'TCO TO BE - HW'!$B$15),)</f>
        <v>0</v>
      </c>
      <c r="M17" s="576">
        <f>IFERROR(SUMIFS('Rozpočet - HW a licencie'!$I$3:$I$102,'Rozpočet - HW a licencie'!$A$3:$A$102,'TCO TO BE - HW'!M$2,'Rozpočet - HW a licencie'!$C$3:$C$102,"HW",'Rozpočet - HW a licencie'!$G$3:$G$102,'TCO TO BE - HW'!$D7,'Rozpočet - HW a licencie'!$D$3:$D$102,'TCO TO BE - HW'!$B$15)+SUMIFS('Rozpočet - HW a licencie'!$I$3:$I$102,'Rozpočet - HW a licencie'!$A$3:$A$102,'TCO TO BE - HW'!M$2,'Rozpočet - HW a licencie'!$C$3:$C$102,"SW pre HW",'Rozpočet - HW a licencie'!$G$3:$G$102,'TCO TO BE - HW'!$D7,'Rozpočet - HW a licencie'!$D$3:$D$102,'TCO TO BE - HW'!$B$15),)</f>
        <v>0</v>
      </c>
      <c r="N17" s="576">
        <f>IFERROR(SUMIFS('Rozpočet - HW a licencie'!$I$3:$I$102,'Rozpočet - HW a licencie'!$A$3:$A$102,'TCO TO BE - HW'!N$2,'Rozpočet - HW a licencie'!$C$3:$C$102,"HW",'Rozpočet - HW a licencie'!$G$3:$G$102,'TCO TO BE - HW'!$D7,'Rozpočet - HW a licencie'!$D$3:$D$102,'TCO TO BE - HW'!$B$15)+SUMIFS('Rozpočet - HW a licencie'!$I$3:$I$102,'Rozpočet - HW a licencie'!$A$3:$A$102,'TCO TO BE - HW'!N$2,'Rozpočet - HW a licencie'!$C$3:$C$102,"SW pre HW",'Rozpočet - HW a licencie'!$G$3:$G$102,'TCO TO BE - HW'!$D7,'Rozpočet - HW a licencie'!$D$3:$D$102,'TCO TO BE - HW'!$B$15),)</f>
        <v>0</v>
      </c>
      <c r="O17" s="576">
        <f>IFERROR(SUMIFS('Rozpočet - HW a licencie'!$I$3:$I$102,'Rozpočet - HW a licencie'!$A$3:$A$102,'TCO TO BE - HW'!O$2,'Rozpočet - HW a licencie'!$C$3:$C$102,"HW",'Rozpočet - HW a licencie'!$G$3:$G$102,'TCO TO BE - HW'!$D7,'Rozpočet - HW a licencie'!$D$3:$D$102,'TCO TO BE - HW'!$B$15)+SUMIFS('Rozpočet - HW a licencie'!$I$3:$I$102,'Rozpočet - HW a licencie'!$A$3:$A$102,'TCO TO BE - HW'!O$2,'Rozpočet - HW a licencie'!$C$3:$C$102,"SW pre HW",'Rozpočet - HW a licencie'!$G$3:$G$102,'TCO TO BE - HW'!$D7,'Rozpočet - HW a licencie'!$D$3:$D$102,'TCO TO BE - HW'!$B$15),)</f>
        <v>0</v>
      </c>
      <c r="P17" s="576">
        <f>IFERROR(SUMIFS('Rozpočet - HW a licencie'!$I$3:$I$102,'Rozpočet - HW a licencie'!$A$3:$A$102,'TCO TO BE - HW'!P$2,'Rozpočet - HW a licencie'!$C$3:$C$102,"HW",'Rozpočet - HW a licencie'!$G$3:$G$102,'TCO TO BE - HW'!$D7,'Rozpočet - HW a licencie'!$D$3:$D$102,'TCO TO BE - HW'!$B$15)+SUMIFS('Rozpočet - HW a licencie'!$I$3:$I$102,'Rozpočet - HW a licencie'!$A$3:$A$102,'TCO TO BE - HW'!P$2,'Rozpočet - HW a licencie'!$C$3:$C$102,"SW pre HW",'Rozpočet - HW a licencie'!$G$3:$G$102,'TCO TO BE - HW'!$D7,'Rozpočet - HW a licencie'!$D$3:$D$102,'TCO TO BE - HW'!$B$15),)</f>
        <v>0</v>
      </c>
      <c r="Q17" s="576">
        <f>IFERROR(SUMIFS('Rozpočet - HW a licencie'!$I$3:$I$102,'Rozpočet - HW a licencie'!$A$3:$A$102,'TCO TO BE - HW'!Q$2,'Rozpočet - HW a licencie'!$C$3:$C$102,"HW",'Rozpočet - HW a licencie'!$G$3:$G$102,'TCO TO BE - HW'!$D7,'Rozpočet - HW a licencie'!$D$3:$D$102,'TCO TO BE - HW'!$B$15)+SUMIFS('Rozpočet - HW a licencie'!$I$3:$I$102,'Rozpočet - HW a licencie'!$A$3:$A$102,'TCO TO BE - HW'!Q$2,'Rozpočet - HW a licencie'!$C$3:$C$102,"SW pre HW",'Rozpočet - HW a licencie'!$G$3:$G$102,'TCO TO BE - HW'!$D7,'Rozpočet - HW a licencie'!$D$3:$D$102,'TCO TO BE - HW'!$B$15),)</f>
        <v>0</v>
      </c>
      <c r="R17" s="576">
        <f>IFERROR(SUMIFS('Rozpočet - HW a licencie'!$I$3:$I$102,'Rozpočet - HW a licencie'!$A$3:$A$102,'TCO TO BE - HW'!R$2,'Rozpočet - HW a licencie'!$C$3:$C$102,"HW",'Rozpočet - HW a licencie'!$G$3:$G$102,'TCO TO BE - HW'!$D7,'Rozpočet - HW a licencie'!$D$3:$D$102,'TCO TO BE - HW'!$B$15)+SUMIFS('Rozpočet - HW a licencie'!$I$3:$I$102,'Rozpočet - HW a licencie'!$A$3:$A$102,'TCO TO BE - HW'!R$2,'Rozpočet - HW a licencie'!$C$3:$C$102,"SW pre HW",'Rozpočet - HW a licencie'!$G$3:$G$102,'TCO TO BE - HW'!$D7,'Rozpočet - HW a licencie'!$D$3:$D$102,'TCO TO BE - HW'!$B$15),)</f>
        <v>0</v>
      </c>
      <c r="S17" s="576">
        <f>IFERROR(SUMIFS('Rozpočet - HW a licencie'!$I$3:$I$102,'Rozpočet - HW a licencie'!$A$3:$A$102,'TCO TO BE - HW'!S$2,'Rozpočet - HW a licencie'!$C$3:$C$102,"HW",'Rozpočet - HW a licencie'!$G$3:$G$102,'TCO TO BE - HW'!$D7,'Rozpočet - HW a licencie'!$D$3:$D$102,'TCO TO BE - HW'!$B$15)+SUMIFS('Rozpočet - HW a licencie'!$I$3:$I$102,'Rozpočet - HW a licencie'!$A$3:$A$102,'TCO TO BE - HW'!S$2,'Rozpočet - HW a licencie'!$C$3:$C$102,"SW pre HW",'Rozpočet - HW a licencie'!$G$3:$G$102,'TCO TO BE - HW'!$D7,'Rozpočet - HW a licencie'!$D$3:$D$102,'TCO TO BE - HW'!$B$15),)</f>
        <v>0</v>
      </c>
      <c r="T17" s="576">
        <f>IFERROR(SUMIFS('Rozpočet - HW a licencie'!$I$3:$I$102,'Rozpočet - HW a licencie'!$A$3:$A$102,'TCO TO BE - HW'!T$2,'Rozpočet - HW a licencie'!$C$3:$C$102,"HW",'Rozpočet - HW a licencie'!$G$3:$G$102,'TCO TO BE - HW'!$D7,'Rozpočet - HW a licencie'!$D$3:$D$102,'TCO TO BE - HW'!$B$15)+SUMIFS('Rozpočet - HW a licencie'!$I$3:$I$102,'Rozpočet - HW a licencie'!$A$3:$A$102,'TCO TO BE - HW'!T$2,'Rozpočet - HW a licencie'!$C$3:$C$102,"SW pre HW",'Rozpočet - HW a licencie'!$G$3:$G$102,'TCO TO BE - HW'!$D7,'Rozpočet - HW a licencie'!$D$3:$D$102,'TCO TO BE - HW'!$B$15),)</f>
        <v>0</v>
      </c>
      <c r="U17" s="576">
        <f>IFERROR(SUMIFS('Rozpočet - HW a licencie'!$I$3:$I$102,'Rozpočet - HW a licencie'!$A$3:$A$102,'TCO TO BE - HW'!U$2,'Rozpočet - HW a licencie'!$C$3:$C$102,"HW",'Rozpočet - HW a licencie'!$G$3:$G$102,'TCO TO BE - HW'!$D7,'Rozpočet - HW a licencie'!$D$3:$D$102,'TCO TO BE - HW'!$B$15)+SUMIFS('Rozpočet - HW a licencie'!$I$3:$I$102,'Rozpočet - HW a licencie'!$A$3:$A$102,'TCO TO BE - HW'!U$2,'Rozpočet - HW a licencie'!$C$3:$C$102,"SW pre HW",'Rozpočet - HW a licencie'!$G$3:$G$102,'TCO TO BE - HW'!$D7,'Rozpočet - HW a licencie'!$D$3:$D$102,'TCO TO BE - HW'!$B$15),)</f>
        <v>0</v>
      </c>
      <c r="V17" s="576">
        <f>IFERROR(SUMIFS('Rozpočet - HW a licencie'!$I$3:$I$102,'Rozpočet - HW a licencie'!$A$3:$A$102,'TCO TO BE - HW'!V$2,'Rozpočet - HW a licencie'!$C$3:$C$102,"HW",'Rozpočet - HW a licencie'!$G$3:$G$102,'TCO TO BE - HW'!$D7,'Rozpočet - HW a licencie'!$D$3:$D$102,'TCO TO BE - HW'!$B$15)+SUMIFS('Rozpočet - HW a licencie'!$I$3:$I$102,'Rozpočet - HW a licencie'!$A$3:$A$102,'TCO TO BE - HW'!V$2,'Rozpočet - HW a licencie'!$C$3:$C$102,"SW pre HW",'Rozpočet - HW a licencie'!$G$3:$G$102,'TCO TO BE - HW'!$D7,'Rozpočet - HW a licencie'!$D$3:$D$102,'TCO TO BE - HW'!$B$15),)</f>
        <v>0</v>
      </c>
      <c r="W17" s="576">
        <f>IFERROR(SUMIFS('Rozpočet - HW a licencie'!$I$3:$I$102,'Rozpočet - HW a licencie'!$A$3:$A$102,'TCO TO BE - HW'!W$2,'Rozpočet - HW a licencie'!$C$3:$C$102,"HW",'Rozpočet - HW a licencie'!$G$3:$G$102,'TCO TO BE - HW'!$D7,'Rozpočet - HW a licencie'!$D$3:$D$102,'TCO TO BE - HW'!$B$15)+SUMIFS('Rozpočet - HW a licencie'!$I$3:$I$102,'Rozpočet - HW a licencie'!$A$3:$A$102,'TCO TO BE - HW'!W$2,'Rozpočet - HW a licencie'!$C$3:$C$102,"SW pre HW",'Rozpočet - HW a licencie'!$G$3:$G$102,'TCO TO BE - HW'!$D7,'Rozpočet - HW a licencie'!$D$3:$D$102,'TCO TO BE - HW'!$B$15),)</f>
        <v>0</v>
      </c>
      <c r="X17" s="576">
        <f>IFERROR(SUMIFS('Rozpočet - HW a licencie'!$I$3:$I$102,'Rozpočet - HW a licencie'!$A$3:$A$102,'TCO TO BE - HW'!X$2,'Rozpočet - HW a licencie'!$C$3:$C$102,"HW",'Rozpočet - HW a licencie'!$G$3:$G$102,'TCO TO BE - HW'!$D7,'Rozpočet - HW a licencie'!$D$3:$D$102,'TCO TO BE - HW'!$B$15)+SUMIFS('Rozpočet - HW a licencie'!$I$3:$I$102,'Rozpočet - HW a licencie'!$A$3:$A$102,'TCO TO BE - HW'!X$2,'Rozpočet - HW a licencie'!$C$3:$C$102,"SW pre HW",'Rozpočet - HW a licencie'!$G$3:$G$102,'TCO TO BE - HW'!$D7,'Rozpočet - HW a licencie'!$D$3:$D$102,'TCO TO BE - HW'!$B$15),)</f>
        <v>0</v>
      </c>
      <c r="Y17" s="576">
        <f>IFERROR(SUMIFS('Rozpočet - HW a licencie'!$I$3:$I$102,'Rozpočet - HW a licencie'!$A$3:$A$102,'TCO TO BE - HW'!Y$2,'Rozpočet - HW a licencie'!$C$3:$C$102,"HW",'Rozpočet - HW a licencie'!$G$3:$G$102,'TCO TO BE - HW'!$D7,'Rozpočet - HW a licencie'!$D$3:$D$102,'TCO TO BE - HW'!$B$15)+SUMIFS('Rozpočet - HW a licencie'!$I$3:$I$102,'Rozpočet - HW a licencie'!$A$3:$A$102,'TCO TO BE - HW'!Y$2,'Rozpočet - HW a licencie'!$C$3:$C$102,"SW pre HW",'Rozpočet - HW a licencie'!$G$3:$G$102,'TCO TO BE - HW'!$D7,'Rozpočet - HW a licencie'!$D$3:$D$102,'TCO TO BE - HW'!$B$15),)</f>
        <v>0</v>
      </c>
      <c r="Z17" s="576">
        <f>IFERROR(SUMIFS('Rozpočet - HW a licencie'!$I$3:$I$102,'Rozpočet - HW a licencie'!$A$3:$A$102,'TCO TO BE - HW'!Z$2,'Rozpočet - HW a licencie'!$C$3:$C$102,"HW",'Rozpočet - HW a licencie'!$G$3:$G$102,'TCO TO BE - HW'!$D7,'Rozpočet - HW a licencie'!$D$3:$D$102,'TCO TO BE - HW'!$B$15)+SUMIFS('Rozpočet - HW a licencie'!$I$3:$I$102,'Rozpočet - HW a licencie'!$A$3:$A$102,'TCO TO BE - HW'!Z$2,'Rozpočet - HW a licencie'!$C$3:$C$102,"SW pre HW",'Rozpočet - HW a licencie'!$G$3:$G$102,'TCO TO BE - HW'!$D7,'Rozpočet - HW a licencie'!$D$3:$D$102,'TCO TO BE - HW'!$B$15),)</f>
        <v>0</v>
      </c>
    </row>
    <row r="18" spans="1:26" hidden="1" outlineLevel="1">
      <c r="A18" s="875"/>
      <c r="B18" s="876"/>
      <c r="C18" s="876"/>
      <c r="D18" s="495">
        <v>4</v>
      </c>
      <c r="E18" s="68">
        <f t="shared" si="2"/>
        <v>0</v>
      </c>
      <c r="F18" s="576">
        <f>IFERROR(SUMIFS('Rozpočet - HW a licencie'!$I$3:$I$102,'Rozpočet - HW a licencie'!$A$3:$A$102,'TCO TO BE - HW'!F$2,'Rozpočet - HW a licencie'!$C$3:$C$102,"HW",'Rozpočet - HW a licencie'!$G$3:$G$102,'TCO TO BE - HW'!$D8,'Rozpočet - HW a licencie'!$D$3:$D$102,'TCO TO BE - HW'!$B$15)+SUMIFS('Rozpočet - HW a licencie'!$I$3:$I$102,'Rozpočet - HW a licencie'!$A$3:$A$102,'TCO TO BE - HW'!F$2,'Rozpočet - HW a licencie'!$C$3:$C$102,"SW pre HW",'Rozpočet - HW a licencie'!$G$3:$G$102,'TCO TO BE - HW'!$D8,'Rozpočet - HW a licencie'!$D$3:$D$102,'TCO TO BE - HW'!$B$15),)</f>
        <v>0</v>
      </c>
      <c r="G18" s="576">
        <f>IFERROR(SUMIFS('Rozpočet - HW a licencie'!$I$3:$I$102,'Rozpočet - HW a licencie'!$A$3:$A$102,'TCO TO BE - HW'!G$2,'Rozpočet - HW a licencie'!$C$3:$C$102,"HW",'Rozpočet - HW a licencie'!$G$3:$G$102,'TCO TO BE - HW'!$D8,'Rozpočet - HW a licencie'!$D$3:$D$102,'TCO TO BE - HW'!$B$15)+SUMIFS('Rozpočet - HW a licencie'!$I$3:$I$102,'Rozpočet - HW a licencie'!$A$3:$A$102,'TCO TO BE - HW'!G$2,'Rozpočet - HW a licencie'!$C$3:$C$102,"SW pre HW",'Rozpočet - HW a licencie'!$G$3:$G$102,'TCO TO BE - HW'!$D8,'Rozpočet - HW a licencie'!$D$3:$D$102,'TCO TO BE - HW'!$B$15),)</f>
        <v>0</v>
      </c>
      <c r="H18" s="576">
        <f>IFERROR(SUMIFS('Rozpočet - HW a licencie'!$I$3:$I$102,'Rozpočet - HW a licencie'!$A$3:$A$102,'TCO TO BE - HW'!H$2,'Rozpočet - HW a licencie'!$C$3:$C$102,"HW",'Rozpočet - HW a licencie'!$G$3:$G$102,'TCO TO BE - HW'!$D8,'Rozpočet - HW a licencie'!$D$3:$D$102,'TCO TO BE - HW'!$B$15)+SUMIFS('Rozpočet - HW a licencie'!$I$3:$I$102,'Rozpočet - HW a licencie'!$A$3:$A$102,'TCO TO BE - HW'!H$2,'Rozpočet - HW a licencie'!$C$3:$C$102,"SW pre HW",'Rozpočet - HW a licencie'!$G$3:$G$102,'TCO TO BE - HW'!$D8,'Rozpočet - HW a licencie'!$D$3:$D$102,'TCO TO BE - HW'!$B$15),)</f>
        <v>0</v>
      </c>
      <c r="I18" s="576">
        <f>IFERROR(SUMIFS('Rozpočet - HW a licencie'!$I$3:$I$102,'Rozpočet - HW a licencie'!$A$3:$A$102,'TCO TO BE - HW'!I$2,'Rozpočet - HW a licencie'!$C$3:$C$102,"HW",'Rozpočet - HW a licencie'!$G$3:$G$102,'TCO TO BE - HW'!$D8,'Rozpočet - HW a licencie'!$D$3:$D$102,'TCO TO BE - HW'!$B$15)+SUMIFS('Rozpočet - HW a licencie'!$I$3:$I$102,'Rozpočet - HW a licencie'!$A$3:$A$102,'TCO TO BE - HW'!I$2,'Rozpočet - HW a licencie'!$C$3:$C$102,"SW pre HW",'Rozpočet - HW a licencie'!$G$3:$G$102,'TCO TO BE - HW'!$D8,'Rozpočet - HW a licencie'!$D$3:$D$102,'TCO TO BE - HW'!$B$15),)</f>
        <v>0</v>
      </c>
      <c r="J18" s="576">
        <f>IFERROR(SUMIFS('Rozpočet - HW a licencie'!$I$3:$I$102,'Rozpočet - HW a licencie'!$A$3:$A$102,'TCO TO BE - HW'!J$2,'Rozpočet - HW a licencie'!$C$3:$C$102,"HW",'Rozpočet - HW a licencie'!$G$3:$G$102,'TCO TO BE - HW'!$D8,'Rozpočet - HW a licencie'!$D$3:$D$102,'TCO TO BE - HW'!$B$15)+SUMIFS('Rozpočet - HW a licencie'!$I$3:$I$102,'Rozpočet - HW a licencie'!$A$3:$A$102,'TCO TO BE - HW'!J$2,'Rozpočet - HW a licencie'!$C$3:$C$102,"SW pre HW",'Rozpočet - HW a licencie'!$G$3:$G$102,'TCO TO BE - HW'!$D8,'Rozpočet - HW a licencie'!$D$3:$D$102,'TCO TO BE - HW'!$B$15),)</f>
        <v>0</v>
      </c>
      <c r="K18" s="576">
        <f>IFERROR(SUMIFS('Rozpočet - HW a licencie'!$I$3:$I$102,'Rozpočet - HW a licencie'!$A$3:$A$102,'TCO TO BE - HW'!K$2,'Rozpočet - HW a licencie'!$C$3:$C$102,"HW",'Rozpočet - HW a licencie'!$G$3:$G$102,'TCO TO BE - HW'!$D8,'Rozpočet - HW a licencie'!$D$3:$D$102,'TCO TO BE - HW'!$B$15)+SUMIFS('Rozpočet - HW a licencie'!$I$3:$I$102,'Rozpočet - HW a licencie'!$A$3:$A$102,'TCO TO BE - HW'!K$2,'Rozpočet - HW a licencie'!$C$3:$C$102,"SW pre HW",'Rozpočet - HW a licencie'!$G$3:$G$102,'TCO TO BE - HW'!$D8,'Rozpočet - HW a licencie'!$D$3:$D$102,'TCO TO BE - HW'!$B$15),)</f>
        <v>0</v>
      </c>
      <c r="L18" s="576">
        <f>IFERROR(SUMIFS('Rozpočet - HW a licencie'!$I$3:$I$102,'Rozpočet - HW a licencie'!$A$3:$A$102,'TCO TO BE - HW'!L$2,'Rozpočet - HW a licencie'!$C$3:$C$102,"HW",'Rozpočet - HW a licencie'!$G$3:$G$102,'TCO TO BE - HW'!$D8,'Rozpočet - HW a licencie'!$D$3:$D$102,'TCO TO BE - HW'!$B$15)+SUMIFS('Rozpočet - HW a licencie'!$I$3:$I$102,'Rozpočet - HW a licencie'!$A$3:$A$102,'TCO TO BE - HW'!L$2,'Rozpočet - HW a licencie'!$C$3:$C$102,"SW pre HW",'Rozpočet - HW a licencie'!$G$3:$G$102,'TCO TO BE - HW'!$D8,'Rozpočet - HW a licencie'!$D$3:$D$102,'TCO TO BE - HW'!$B$15),)</f>
        <v>0</v>
      </c>
      <c r="M18" s="576">
        <f>IFERROR(SUMIFS('Rozpočet - HW a licencie'!$I$3:$I$102,'Rozpočet - HW a licencie'!$A$3:$A$102,'TCO TO BE - HW'!M$2,'Rozpočet - HW a licencie'!$C$3:$C$102,"HW",'Rozpočet - HW a licencie'!$G$3:$G$102,'TCO TO BE - HW'!$D8,'Rozpočet - HW a licencie'!$D$3:$D$102,'TCO TO BE - HW'!$B$15)+SUMIFS('Rozpočet - HW a licencie'!$I$3:$I$102,'Rozpočet - HW a licencie'!$A$3:$A$102,'TCO TO BE - HW'!M$2,'Rozpočet - HW a licencie'!$C$3:$C$102,"SW pre HW",'Rozpočet - HW a licencie'!$G$3:$G$102,'TCO TO BE - HW'!$D8,'Rozpočet - HW a licencie'!$D$3:$D$102,'TCO TO BE - HW'!$B$15),)</f>
        <v>0</v>
      </c>
      <c r="N18" s="576">
        <f>IFERROR(SUMIFS('Rozpočet - HW a licencie'!$I$3:$I$102,'Rozpočet - HW a licencie'!$A$3:$A$102,'TCO TO BE - HW'!N$2,'Rozpočet - HW a licencie'!$C$3:$C$102,"HW",'Rozpočet - HW a licencie'!$G$3:$G$102,'TCO TO BE - HW'!$D8,'Rozpočet - HW a licencie'!$D$3:$D$102,'TCO TO BE - HW'!$B$15)+SUMIFS('Rozpočet - HW a licencie'!$I$3:$I$102,'Rozpočet - HW a licencie'!$A$3:$A$102,'TCO TO BE - HW'!N$2,'Rozpočet - HW a licencie'!$C$3:$C$102,"SW pre HW",'Rozpočet - HW a licencie'!$G$3:$G$102,'TCO TO BE - HW'!$D8,'Rozpočet - HW a licencie'!$D$3:$D$102,'TCO TO BE - HW'!$B$15),)</f>
        <v>0</v>
      </c>
      <c r="O18" s="576">
        <f>IFERROR(SUMIFS('Rozpočet - HW a licencie'!$I$3:$I$102,'Rozpočet - HW a licencie'!$A$3:$A$102,'TCO TO BE - HW'!O$2,'Rozpočet - HW a licencie'!$C$3:$C$102,"HW",'Rozpočet - HW a licencie'!$G$3:$G$102,'TCO TO BE - HW'!$D8,'Rozpočet - HW a licencie'!$D$3:$D$102,'TCO TO BE - HW'!$B$15)+SUMIFS('Rozpočet - HW a licencie'!$I$3:$I$102,'Rozpočet - HW a licencie'!$A$3:$A$102,'TCO TO BE - HW'!O$2,'Rozpočet - HW a licencie'!$C$3:$C$102,"SW pre HW",'Rozpočet - HW a licencie'!$G$3:$G$102,'TCO TO BE - HW'!$D8,'Rozpočet - HW a licencie'!$D$3:$D$102,'TCO TO BE - HW'!$B$15),)</f>
        <v>0</v>
      </c>
      <c r="P18" s="576">
        <f>IFERROR(SUMIFS('Rozpočet - HW a licencie'!$I$3:$I$102,'Rozpočet - HW a licencie'!$A$3:$A$102,'TCO TO BE - HW'!P$2,'Rozpočet - HW a licencie'!$C$3:$C$102,"HW",'Rozpočet - HW a licencie'!$G$3:$G$102,'TCO TO BE - HW'!$D8,'Rozpočet - HW a licencie'!$D$3:$D$102,'TCO TO BE - HW'!$B$15)+SUMIFS('Rozpočet - HW a licencie'!$I$3:$I$102,'Rozpočet - HW a licencie'!$A$3:$A$102,'TCO TO BE - HW'!P$2,'Rozpočet - HW a licencie'!$C$3:$C$102,"SW pre HW",'Rozpočet - HW a licencie'!$G$3:$G$102,'TCO TO BE - HW'!$D8,'Rozpočet - HW a licencie'!$D$3:$D$102,'TCO TO BE - HW'!$B$15),)</f>
        <v>0</v>
      </c>
      <c r="Q18" s="576">
        <f>IFERROR(SUMIFS('Rozpočet - HW a licencie'!$I$3:$I$102,'Rozpočet - HW a licencie'!$A$3:$A$102,'TCO TO BE - HW'!Q$2,'Rozpočet - HW a licencie'!$C$3:$C$102,"HW",'Rozpočet - HW a licencie'!$G$3:$G$102,'TCO TO BE - HW'!$D8,'Rozpočet - HW a licencie'!$D$3:$D$102,'TCO TO BE - HW'!$B$15)+SUMIFS('Rozpočet - HW a licencie'!$I$3:$I$102,'Rozpočet - HW a licencie'!$A$3:$A$102,'TCO TO BE - HW'!Q$2,'Rozpočet - HW a licencie'!$C$3:$C$102,"SW pre HW",'Rozpočet - HW a licencie'!$G$3:$G$102,'TCO TO BE - HW'!$D8,'Rozpočet - HW a licencie'!$D$3:$D$102,'TCO TO BE - HW'!$B$15),)</f>
        <v>0</v>
      </c>
      <c r="R18" s="576">
        <f>IFERROR(SUMIFS('Rozpočet - HW a licencie'!$I$3:$I$102,'Rozpočet - HW a licencie'!$A$3:$A$102,'TCO TO BE - HW'!R$2,'Rozpočet - HW a licencie'!$C$3:$C$102,"HW",'Rozpočet - HW a licencie'!$G$3:$G$102,'TCO TO BE - HW'!$D8,'Rozpočet - HW a licencie'!$D$3:$D$102,'TCO TO BE - HW'!$B$15)+SUMIFS('Rozpočet - HW a licencie'!$I$3:$I$102,'Rozpočet - HW a licencie'!$A$3:$A$102,'TCO TO BE - HW'!R$2,'Rozpočet - HW a licencie'!$C$3:$C$102,"SW pre HW",'Rozpočet - HW a licencie'!$G$3:$G$102,'TCO TO BE - HW'!$D8,'Rozpočet - HW a licencie'!$D$3:$D$102,'TCO TO BE - HW'!$B$15),)</f>
        <v>0</v>
      </c>
      <c r="S18" s="576">
        <f>IFERROR(SUMIFS('Rozpočet - HW a licencie'!$I$3:$I$102,'Rozpočet - HW a licencie'!$A$3:$A$102,'TCO TO BE - HW'!S$2,'Rozpočet - HW a licencie'!$C$3:$C$102,"HW",'Rozpočet - HW a licencie'!$G$3:$G$102,'TCO TO BE - HW'!$D8,'Rozpočet - HW a licencie'!$D$3:$D$102,'TCO TO BE - HW'!$B$15)+SUMIFS('Rozpočet - HW a licencie'!$I$3:$I$102,'Rozpočet - HW a licencie'!$A$3:$A$102,'TCO TO BE - HW'!S$2,'Rozpočet - HW a licencie'!$C$3:$C$102,"SW pre HW",'Rozpočet - HW a licencie'!$G$3:$G$102,'TCO TO BE - HW'!$D8,'Rozpočet - HW a licencie'!$D$3:$D$102,'TCO TO BE - HW'!$B$15),)</f>
        <v>0</v>
      </c>
      <c r="T18" s="576">
        <f>IFERROR(SUMIFS('Rozpočet - HW a licencie'!$I$3:$I$102,'Rozpočet - HW a licencie'!$A$3:$A$102,'TCO TO BE - HW'!T$2,'Rozpočet - HW a licencie'!$C$3:$C$102,"HW",'Rozpočet - HW a licencie'!$G$3:$G$102,'TCO TO BE - HW'!$D8,'Rozpočet - HW a licencie'!$D$3:$D$102,'TCO TO BE - HW'!$B$15)+SUMIFS('Rozpočet - HW a licencie'!$I$3:$I$102,'Rozpočet - HW a licencie'!$A$3:$A$102,'TCO TO BE - HW'!T$2,'Rozpočet - HW a licencie'!$C$3:$C$102,"SW pre HW",'Rozpočet - HW a licencie'!$G$3:$G$102,'TCO TO BE - HW'!$D8,'Rozpočet - HW a licencie'!$D$3:$D$102,'TCO TO BE - HW'!$B$15),)</f>
        <v>0</v>
      </c>
      <c r="U18" s="576">
        <f>IFERROR(SUMIFS('Rozpočet - HW a licencie'!$I$3:$I$102,'Rozpočet - HW a licencie'!$A$3:$A$102,'TCO TO BE - HW'!U$2,'Rozpočet - HW a licencie'!$C$3:$C$102,"HW",'Rozpočet - HW a licencie'!$G$3:$G$102,'TCO TO BE - HW'!$D8,'Rozpočet - HW a licencie'!$D$3:$D$102,'TCO TO BE - HW'!$B$15)+SUMIFS('Rozpočet - HW a licencie'!$I$3:$I$102,'Rozpočet - HW a licencie'!$A$3:$A$102,'TCO TO BE - HW'!U$2,'Rozpočet - HW a licencie'!$C$3:$C$102,"SW pre HW",'Rozpočet - HW a licencie'!$G$3:$G$102,'TCO TO BE - HW'!$D8,'Rozpočet - HW a licencie'!$D$3:$D$102,'TCO TO BE - HW'!$B$15),)</f>
        <v>0</v>
      </c>
      <c r="V18" s="576">
        <f>IFERROR(SUMIFS('Rozpočet - HW a licencie'!$I$3:$I$102,'Rozpočet - HW a licencie'!$A$3:$A$102,'TCO TO BE - HW'!V$2,'Rozpočet - HW a licencie'!$C$3:$C$102,"HW",'Rozpočet - HW a licencie'!$G$3:$G$102,'TCO TO BE - HW'!$D8,'Rozpočet - HW a licencie'!$D$3:$D$102,'TCO TO BE - HW'!$B$15)+SUMIFS('Rozpočet - HW a licencie'!$I$3:$I$102,'Rozpočet - HW a licencie'!$A$3:$A$102,'TCO TO BE - HW'!V$2,'Rozpočet - HW a licencie'!$C$3:$C$102,"SW pre HW",'Rozpočet - HW a licencie'!$G$3:$G$102,'TCO TO BE - HW'!$D8,'Rozpočet - HW a licencie'!$D$3:$D$102,'TCO TO BE - HW'!$B$15),)</f>
        <v>0</v>
      </c>
      <c r="W18" s="576">
        <f>IFERROR(SUMIFS('Rozpočet - HW a licencie'!$I$3:$I$102,'Rozpočet - HW a licencie'!$A$3:$A$102,'TCO TO BE - HW'!W$2,'Rozpočet - HW a licencie'!$C$3:$C$102,"HW",'Rozpočet - HW a licencie'!$G$3:$G$102,'TCO TO BE - HW'!$D8,'Rozpočet - HW a licencie'!$D$3:$D$102,'TCO TO BE - HW'!$B$15)+SUMIFS('Rozpočet - HW a licencie'!$I$3:$I$102,'Rozpočet - HW a licencie'!$A$3:$A$102,'TCO TO BE - HW'!W$2,'Rozpočet - HW a licencie'!$C$3:$C$102,"SW pre HW",'Rozpočet - HW a licencie'!$G$3:$G$102,'TCO TO BE - HW'!$D8,'Rozpočet - HW a licencie'!$D$3:$D$102,'TCO TO BE - HW'!$B$15),)</f>
        <v>0</v>
      </c>
      <c r="X18" s="576">
        <f>IFERROR(SUMIFS('Rozpočet - HW a licencie'!$I$3:$I$102,'Rozpočet - HW a licencie'!$A$3:$A$102,'TCO TO BE - HW'!X$2,'Rozpočet - HW a licencie'!$C$3:$C$102,"HW",'Rozpočet - HW a licencie'!$G$3:$G$102,'TCO TO BE - HW'!$D8,'Rozpočet - HW a licencie'!$D$3:$D$102,'TCO TO BE - HW'!$B$15)+SUMIFS('Rozpočet - HW a licencie'!$I$3:$I$102,'Rozpočet - HW a licencie'!$A$3:$A$102,'TCO TO BE - HW'!X$2,'Rozpočet - HW a licencie'!$C$3:$C$102,"SW pre HW",'Rozpočet - HW a licencie'!$G$3:$G$102,'TCO TO BE - HW'!$D8,'Rozpočet - HW a licencie'!$D$3:$D$102,'TCO TO BE - HW'!$B$15),)</f>
        <v>0</v>
      </c>
      <c r="Y18" s="576">
        <f>IFERROR(SUMIFS('Rozpočet - HW a licencie'!$I$3:$I$102,'Rozpočet - HW a licencie'!$A$3:$A$102,'TCO TO BE - HW'!Y$2,'Rozpočet - HW a licencie'!$C$3:$C$102,"HW",'Rozpočet - HW a licencie'!$G$3:$G$102,'TCO TO BE - HW'!$D8,'Rozpočet - HW a licencie'!$D$3:$D$102,'TCO TO BE - HW'!$B$15)+SUMIFS('Rozpočet - HW a licencie'!$I$3:$I$102,'Rozpočet - HW a licencie'!$A$3:$A$102,'TCO TO BE - HW'!Y$2,'Rozpočet - HW a licencie'!$C$3:$C$102,"SW pre HW",'Rozpočet - HW a licencie'!$G$3:$G$102,'TCO TO BE - HW'!$D8,'Rozpočet - HW a licencie'!$D$3:$D$102,'TCO TO BE - HW'!$B$15),)</f>
        <v>0</v>
      </c>
      <c r="Z18" s="576">
        <f>IFERROR(SUMIFS('Rozpočet - HW a licencie'!$I$3:$I$102,'Rozpočet - HW a licencie'!$A$3:$A$102,'TCO TO BE - HW'!Z$2,'Rozpočet - HW a licencie'!$C$3:$C$102,"HW",'Rozpočet - HW a licencie'!$G$3:$G$102,'TCO TO BE - HW'!$D8,'Rozpočet - HW a licencie'!$D$3:$D$102,'TCO TO BE - HW'!$B$15)+SUMIFS('Rozpočet - HW a licencie'!$I$3:$I$102,'Rozpočet - HW a licencie'!$A$3:$A$102,'TCO TO BE - HW'!Z$2,'Rozpočet - HW a licencie'!$C$3:$C$102,"SW pre HW",'Rozpočet - HW a licencie'!$G$3:$G$102,'TCO TO BE - HW'!$D8,'Rozpočet - HW a licencie'!$D$3:$D$102,'TCO TO BE - HW'!$B$15),)</f>
        <v>0</v>
      </c>
    </row>
    <row r="19" spans="1:26" hidden="1" outlineLevel="1">
      <c r="A19" s="875"/>
      <c r="B19" s="876"/>
      <c r="C19" s="876"/>
      <c r="D19" s="495">
        <v>5</v>
      </c>
      <c r="E19" s="68">
        <f t="shared" si="2"/>
        <v>0</v>
      </c>
      <c r="F19" s="576">
        <f>IFERROR(SUMIFS('Rozpočet - HW a licencie'!$I$3:$I$102,'Rozpočet - HW a licencie'!$A$3:$A$102,'TCO TO BE - HW'!F$2,'Rozpočet - HW a licencie'!$C$3:$C$102,"HW",'Rozpočet - HW a licencie'!$G$3:$G$102,'TCO TO BE - HW'!$D9,'Rozpočet - HW a licencie'!$D$3:$D$102,'TCO TO BE - HW'!$B$15)+SUMIFS('Rozpočet - HW a licencie'!$I$3:$I$102,'Rozpočet - HW a licencie'!$A$3:$A$102,'TCO TO BE - HW'!F$2,'Rozpočet - HW a licencie'!$C$3:$C$102,"SW pre HW",'Rozpočet - HW a licencie'!$G$3:$G$102,'TCO TO BE - HW'!$D9,'Rozpočet - HW a licencie'!$D$3:$D$102,'TCO TO BE - HW'!$B$15),)</f>
        <v>0</v>
      </c>
      <c r="G19" s="576">
        <f>IFERROR(SUMIFS('Rozpočet - HW a licencie'!$I$3:$I$102,'Rozpočet - HW a licencie'!$A$3:$A$102,'TCO TO BE - HW'!G$2,'Rozpočet - HW a licencie'!$C$3:$C$102,"HW",'Rozpočet - HW a licencie'!$G$3:$G$102,'TCO TO BE - HW'!$D9,'Rozpočet - HW a licencie'!$D$3:$D$102,'TCO TO BE - HW'!$B$15)+SUMIFS('Rozpočet - HW a licencie'!$I$3:$I$102,'Rozpočet - HW a licencie'!$A$3:$A$102,'TCO TO BE - HW'!G$2,'Rozpočet - HW a licencie'!$C$3:$C$102,"SW pre HW",'Rozpočet - HW a licencie'!$G$3:$G$102,'TCO TO BE - HW'!$D9,'Rozpočet - HW a licencie'!$D$3:$D$102,'TCO TO BE - HW'!$B$15),)</f>
        <v>0</v>
      </c>
      <c r="H19" s="576">
        <f>IFERROR(SUMIFS('Rozpočet - HW a licencie'!$I$3:$I$102,'Rozpočet - HW a licencie'!$A$3:$A$102,'TCO TO BE - HW'!H$2,'Rozpočet - HW a licencie'!$C$3:$C$102,"HW",'Rozpočet - HW a licencie'!$G$3:$G$102,'TCO TO BE - HW'!$D9,'Rozpočet - HW a licencie'!$D$3:$D$102,'TCO TO BE - HW'!$B$15)+SUMIFS('Rozpočet - HW a licencie'!$I$3:$I$102,'Rozpočet - HW a licencie'!$A$3:$A$102,'TCO TO BE - HW'!H$2,'Rozpočet - HW a licencie'!$C$3:$C$102,"SW pre HW",'Rozpočet - HW a licencie'!$G$3:$G$102,'TCO TO BE - HW'!$D9,'Rozpočet - HW a licencie'!$D$3:$D$102,'TCO TO BE - HW'!$B$15),)</f>
        <v>0</v>
      </c>
      <c r="I19" s="576">
        <f>IFERROR(SUMIFS('Rozpočet - HW a licencie'!$I$3:$I$102,'Rozpočet - HW a licencie'!$A$3:$A$102,'TCO TO BE - HW'!I$2,'Rozpočet - HW a licencie'!$C$3:$C$102,"HW",'Rozpočet - HW a licencie'!$G$3:$G$102,'TCO TO BE - HW'!$D9,'Rozpočet - HW a licencie'!$D$3:$D$102,'TCO TO BE - HW'!$B$15)+SUMIFS('Rozpočet - HW a licencie'!$I$3:$I$102,'Rozpočet - HW a licencie'!$A$3:$A$102,'TCO TO BE - HW'!I$2,'Rozpočet - HW a licencie'!$C$3:$C$102,"SW pre HW",'Rozpočet - HW a licencie'!$G$3:$G$102,'TCO TO BE - HW'!$D9,'Rozpočet - HW a licencie'!$D$3:$D$102,'TCO TO BE - HW'!$B$15),)</f>
        <v>0</v>
      </c>
      <c r="J19" s="576">
        <f>IFERROR(SUMIFS('Rozpočet - HW a licencie'!$I$3:$I$102,'Rozpočet - HW a licencie'!$A$3:$A$102,'TCO TO BE - HW'!J$2,'Rozpočet - HW a licencie'!$C$3:$C$102,"HW",'Rozpočet - HW a licencie'!$G$3:$G$102,'TCO TO BE - HW'!$D9,'Rozpočet - HW a licencie'!$D$3:$D$102,'TCO TO BE - HW'!$B$15)+SUMIFS('Rozpočet - HW a licencie'!$I$3:$I$102,'Rozpočet - HW a licencie'!$A$3:$A$102,'TCO TO BE - HW'!J$2,'Rozpočet - HW a licencie'!$C$3:$C$102,"SW pre HW",'Rozpočet - HW a licencie'!$G$3:$G$102,'TCO TO BE - HW'!$D9,'Rozpočet - HW a licencie'!$D$3:$D$102,'TCO TO BE - HW'!$B$15),)</f>
        <v>0</v>
      </c>
      <c r="K19" s="576">
        <f>IFERROR(SUMIFS('Rozpočet - HW a licencie'!$I$3:$I$102,'Rozpočet - HW a licencie'!$A$3:$A$102,'TCO TO BE - HW'!K$2,'Rozpočet - HW a licencie'!$C$3:$C$102,"HW",'Rozpočet - HW a licencie'!$G$3:$G$102,'TCO TO BE - HW'!$D9,'Rozpočet - HW a licencie'!$D$3:$D$102,'TCO TO BE - HW'!$B$15)+SUMIFS('Rozpočet - HW a licencie'!$I$3:$I$102,'Rozpočet - HW a licencie'!$A$3:$A$102,'TCO TO BE - HW'!K$2,'Rozpočet - HW a licencie'!$C$3:$C$102,"SW pre HW",'Rozpočet - HW a licencie'!$G$3:$G$102,'TCO TO BE - HW'!$D9,'Rozpočet - HW a licencie'!$D$3:$D$102,'TCO TO BE - HW'!$B$15),)</f>
        <v>0</v>
      </c>
      <c r="L19" s="576">
        <f>IFERROR(SUMIFS('Rozpočet - HW a licencie'!$I$3:$I$102,'Rozpočet - HW a licencie'!$A$3:$A$102,'TCO TO BE - HW'!L$2,'Rozpočet - HW a licencie'!$C$3:$C$102,"HW",'Rozpočet - HW a licencie'!$G$3:$G$102,'TCO TO BE - HW'!$D9,'Rozpočet - HW a licencie'!$D$3:$D$102,'TCO TO BE - HW'!$B$15)+SUMIFS('Rozpočet - HW a licencie'!$I$3:$I$102,'Rozpočet - HW a licencie'!$A$3:$A$102,'TCO TO BE - HW'!L$2,'Rozpočet - HW a licencie'!$C$3:$C$102,"SW pre HW",'Rozpočet - HW a licencie'!$G$3:$G$102,'TCO TO BE - HW'!$D9,'Rozpočet - HW a licencie'!$D$3:$D$102,'TCO TO BE - HW'!$B$15),)</f>
        <v>0</v>
      </c>
      <c r="M19" s="576">
        <f>IFERROR(SUMIFS('Rozpočet - HW a licencie'!$I$3:$I$102,'Rozpočet - HW a licencie'!$A$3:$A$102,'TCO TO BE - HW'!M$2,'Rozpočet - HW a licencie'!$C$3:$C$102,"HW",'Rozpočet - HW a licencie'!$G$3:$G$102,'TCO TO BE - HW'!$D9,'Rozpočet - HW a licencie'!$D$3:$D$102,'TCO TO BE - HW'!$B$15)+SUMIFS('Rozpočet - HW a licencie'!$I$3:$I$102,'Rozpočet - HW a licencie'!$A$3:$A$102,'TCO TO BE - HW'!M$2,'Rozpočet - HW a licencie'!$C$3:$C$102,"SW pre HW",'Rozpočet - HW a licencie'!$G$3:$G$102,'TCO TO BE - HW'!$D9,'Rozpočet - HW a licencie'!$D$3:$D$102,'TCO TO BE - HW'!$B$15),)</f>
        <v>0</v>
      </c>
      <c r="N19" s="576">
        <f>IFERROR(SUMIFS('Rozpočet - HW a licencie'!$I$3:$I$102,'Rozpočet - HW a licencie'!$A$3:$A$102,'TCO TO BE - HW'!N$2,'Rozpočet - HW a licencie'!$C$3:$C$102,"HW",'Rozpočet - HW a licencie'!$G$3:$G$102,'TCO TO BE - HW'!$D9,'Rozpočet - HW a licencie'!$D$3:$D$102,'TCO TO BE - HW'!$B$15)+SUMIFS('Rozpočet - HW a licencie'!$I$3:$I$102,'Rozpočet - HW a licencie'!$A$3:$A$102,'TCO TO BE - HW'!N$2,'Rozpočet - HW a licencie'!$C$3:$C$102,"SW pre HW",'Rozpočet - HW a licencie'!$G$3:$G$102,'TCO TO BE - HW'!$D9,'Rozpočet - HW a licencie'!$D$3:$D$102,'TCO TO BE - HW'!$B$15),)</f>
        <v>0</v>
      </c>
      <c r="O19" s="576">
        <f>IFERROR(SUMIFS('Rozpočet - HW a licencie'!$I$3:$I$102,'Rozpočet - HW a licencie'!$A$3:$A$102,'TCO TO BE - HW'!O$2,'Rozpočet - HW a licencie'!$C$3:$C$102,"HW",'Rozpočet - HW a licencie'!$G$3:$G$102,'TCO TO BE - HW'!$D9,'Rozpočet - HW a licencie'!$D$3:$D$102,'TCO TO BE - HW'!$B$15)+SUMIFS('Rozpočet - HW a licencie'!$I$3:$I$102,'Rozpočet - HW a licencie'!$A$3:$A$102,'TCO TO BE - HW'!O$2,'Rozpočet - HW a licencie'!$C$3:$C$102,"SW pre HW",'Rozpočet - HW a licencie'!$G$3:$G$102,'TCO TO BE - HW'!$D9,'Rozpočet - HW a licencie'!$D$3:$D$102,'TCO TO BE - HW'!$B$15),)</f>
        <v>0</v>
      </c>
      <c r="P19" s="576">
        <f>IFERROR(SUMIFS('Rozpočet - HW a licencie'!$I$3:$I$102,'Rozpočet - HW a licencie'!$A$3:$A$102,'TCO TO BE - HW'!P$2,'Rozpočet - HW a licencie'!$C$3:$C$102,"HW",'Rozpočet - HW a licencie'!$G$3:$G$102,'TCO TO BE - HW'!$D9,'Rozpočet - HW a licencie'!$D$3:$D$102,'TCO TO BE - HW'!$B$15)+SUMIFS('Rozpočet - HW a licencie'!$I$3:$I$102,'Rozpočet - HW a licencie'!$A$3:$A$102,'TCO TO BE - HW'!P$2,'Rozpočet - HW a licencie'!$C$3:$C$102,"SW pre HW",'Rozpočet - HW a licencie'!$G$3:$G$102,'TCO TO BE - HW'!$D9,'Rozpočet - HW a licencie'!$D$3:$D$102,'TCO TO BE - HW'!$B$15),)</f>
        <v>0</v>
      </c>
      <c r="Q19" s="576">
        <f>IFERROR(SUMIFS('Rozpočet - HW a licencie'!$I$3:$I$102,'Rozpočet - HW a licencie'!$A$3:$A$102,'TCO TO BE - HW'!Q$2,'Rozpočet - HW a licencie'!$C$3:$C$102,"HW",'Rozpočet - HW a licencie'!$G$3:$G$102,'TCO TO BE - HW'!$D9,'Rozpočet - HW a licencie'!$D$3:$D$102,'TCO TO BE - HW'!$B$15)+SUMIFS('Rozpočet - HW a licencie'!$I$3:$I$102,'Rozpočet - HW a licencie'!$A$3:$A$102,'TCO TO BE - HW'!Q$2,'Rozpočet - HW a licencie'!$C$3:$C$102,"SW pre HW",'Rozpočet - HW a licencie'!$G$3:$G$102,'TCO TO BE - HW'!$D9,'Rozpočet - HW a licencie'!$D$3:$D$102,'TCO TO BE - HW'!$B$15),)</f>
        <v>0</v>
      </c>
      <c r="R19" s="576">
        <f>IFERROR(SUMIFS('Rozpočet - HW a licencie'!$I$3:$I$102,'Rozpočet - HW a licencie'!$A$3:$A$102,'TCO TO BE - HW'!R$2,'Rozpočet - HW a licencie'!$C$3:$C$102,"HW",'Rozpočet - HW a licencie'!$G$3:$G$102,'TCO TO BE - HW'!$D9,'Rozpočet - HW a licencie'!$D$3:$D$102,'TCO TO BE - HW'!$B$15)+SUMIFS('Rozpočet - HW a licencie'!$I$3:$I$102,'Rozpočet - HW a licencie'!$A$3:$A$102,'TCO TO BE - HW'!R$2,'Rozpočet - HW a licencie'!$C$3:$C$102,"SW pre HW",'Rozpočet - HW a licencie'!$G$3:$G$102,'TCO TO BE - HW'!$D9,'Rozpočet - HW a licencie'!$D$3:$D$102,'TCO TO BE - HW'!$B$15),)</f>
        <v>0</v>
      </c>
      <c r="S19" s="576">
        <f>IFERROR(SUMIFS('Rozpočet - HW a licencie'!$I$3:$I$102,'Rozpočet - HW a licencie'!$A$3:$A$102,'TCO TO BE - HW'!S$2,'Rozpočet - HW a licencie'!$C$3:$C$102,"HW",'Rozpočet - HW a licencie'!$G$3:$G$102,'TCO TO BE - HW'!$D9,'Rozpočet - HW a licencie'!$D$3:$D$102,'TCO TO BE - HW'!$B$15)+SUMIFS('Rozpočet - HW a licencie'!$I$3:$I$102,'Rozpočet - HW a licencie'!$A$3:$A$102,'TCO TO BE - HW'!S$2,'Rozpočet - HW a licencie'!$C$3:$C$102,"SW pre HW",'Rozpočet - HW a licencie'!$G$3:$G$102,'TCO TO BE - HW'!$D9,'Rozpočet - HW a licencie'!$D$3:$D$102,'TCO TO BE - HW'!$B$15),)</f>
        <v>0</v>
      </c>
      <c r="T19" s="576">
        <f>IFERROR(SUMIFS('Rozpočet - HW a licencie'!$I$3:$I$102,'Rozpočet - HW a licencie'!$A$3:$A$102,'TCO TO BE - HW'!T$2,'Rozpočet - HW a licencie'!$C$3:$C$102,"HW",'Rozpočet - HW a licencie'!$G$3:$G$102,'TCO TO BE - HW'!$D9,'Rozpočet - HW a licencie'!$D$3:$D$102,'TCO TO BE - HW'!$B$15)+SUMIFS('Rozpočet - HW a licencie'!$I$3:$I$102,'Rozpočet - HW a licencie'!$A$3:$A$102,'TCO TO BE - HW'!T$2,'Rozpočet - HW a licencie'!$C$3:$C$102,"SW pre HW",'Rozpočet - HW a licencie'!$G$3:$G$102,'TCO TO BE - HW'!$D9,'Rozpočet - HW a licencie'!$D$3:$D$102,'TCO TO BE - HW'!$B$15),)</f>
        <v>0</v>
      </c>
      <c r="U19" s="576">
        <f>IFERROR(SUMIFS('Rozpočet - HW a licencie'!$I$3:$I$102,'Rozpočet - HW a licencie'!$A$3:$A$102,'TCO TO BE - HW'!U$2,'Rozpočet - HW a licencie'!$C$3:$C$102,"HW",'Rozpočet - HW a licencie'!$G$3:$G$102,'TCO TO BE - HW'!$D9,'Rozpočet - HW a licencie'!$D$3:$D$102,'TCO TO BE - HW'!$B$15)+SUMIFS('Rozpočet - HW a licencie'!$I$3:$I$102,'Rozpočet - HW a licencie'!$A$3:$A$102,'TCO TO BE - HW'!U$2,'Rozpočet - HW a licencie'!$C$3:$C$102,"SW pre HW",'Rozpočet - HW a licencie'!$G$3:$G$102,'TCO TO BE - HW'!$D9,'Rozpočet - HW a licencie'!$D$3:$D$102,'TCO TO BE - HW'!$B$15),)</f>
        <v>0</v>
      </c>
      <c r="V19" s="576">
        <f>IFERROR(SUMIFS('Rozpočet - HW a licencie'!$I$3:$I$102,'Rozpočet - HW a licencie'!$A$3:$A$102,'TCO TO BE - HW'!V$2,'Rozpočet - HW a licencie'!$C$3:$C$102,"HW",'Rozpočet - HW a licencie'!$G$3:$G$102,'TCO TO BE - HW'!$D9,'Rozpočet - HW a licencie'!$D$3:$D$102,'TCO TO BE - HW'!$B$15)+SUMIFS('Rozpočet - HW a licencie'!$I$3:$I$102,'Rozpočet - HW a licencie'!$A$3:$A$102,'TCO TO BE - HW'!V$2,'Rozpočet - HW a licencie'!$C$3:$C$102,"SW pre HW",'Rozpočet - HW a licencie'!$G$3:$G$102,'TCO TO BE - HW'!$D9,'Rozpočet - HW a licencie'!$D$3:$D$102,'TCO TO BE - HW'!$B$15),)</f>
        <v>0</v>
      </c>
      <c r="W19" s="576">
        <f>IFERROR(SUMIFS('Rozpočet - HW a licencie'!$I$3:$I$102,'Rozpočet - HW a licencie'!$A$3:$A$102,'TCO TO BE - HW'!W$2,'Rozpočet - HW a licencie'!$C$3:$C$102,"HW",'Rozpočet - HW a licencie'!$G$3:$G$102,'TCO TO BE - HW'!$D9,'Rozpočet - HW a licencie'!$D$3:$D$102,'TCO TO BE - HW'!$B$15)+SUMIFS('Rozpočet - HW a licencie'!$I$3:$I$102,'Rozpočet - HW a licencie'!$A$3:$A$102,'TCO TO BE - HW'!W$2,'Rozpočet - HW a licencie'!$C$3:$C$102,"SW pre HW",'Rozpočet - HW a licencie'!$G$3:$G$102,'TCO TO BE - HW'!$D9,'Rozpočet - HW a licencie'!$D$3:$D$102,'TCO TO BE - HW'!$B$15),)</f>
        <v>0</v>
      </c>
      <c r="X19" s="576">
        <f>IFERROR(SUMIFS('Rozpočet - HW a licencie'!$I$3:$I$102,'Rozpočet - HW a licencie'!$A$3:$A$102,'TCO TO BE - HW'!X$2,'Rozpočet - HW a licencie'!$C$3:$C$102,"HW",'Rozpočet - HW a licencie'!$G$3:$G$102,'TCO TO BE - HW'!$D9,'Rozpočet - HW a licencie'!$D$3:$D$102,'TCO TO BE - HW'!$B$15)+SUMIFS('Rozpočet - HW a licencie'!$I$3:$I$102,'Rozpočet - HW a licencie'!$A$3:$A$102,'TCO TO BE - HW'!X$2,'Rozpočet - HW a licencie'!$C$3:$C$102,"SW pre HW",'Rozpočet - HW a licencie'!$G$3:$G$102,'TCO TO BE - HW'!$D9,'Rozpočet - HW a licencie'!$D$3:$D$102,'TCO TO BE - HW'!$B$15),)</f>
        <v>0</v>
      </c>
      <c r="Y19" s="576">
        <f>IFERROR(SUMIFS('Rozpočet - HW a licencie'!$I$3:$I$102,'Rozpočet - HW a licencie'!$A$3:$A$102,'TCO TO BE - HW'!Y$2,'Rozpočet - HW a licencie'!$C$3:$C$102,"HW",'Rozpočet - HW a licencie'!$G$3:$G$102,'TCO TO BE - HW'!$D9,'Rozpočet - HW a licencie'!$D$3:$D$102,'TCO TO BE - HW'!$B$15)+SUMIFS('Rozpočet - HW a licencie'!$I$3:$I$102,'Rozpočet - HW a licencie'!$A$3:$A$102,'TCO TO BE - HW'!Y$2,'Rozpočet - HW a licencie'!$C$3:$C$102,"SW pre HW",'Rozpočet - HW a licencie'!$G$3:$G$102,'TCO TO BE - HW'!$D9,'Rozpočet - HW a licencie'!$D$3:$D$102,'TCO TO BE - HW'!$B$15),)</f>
        <v>0</v>
      </c>
      <c r="Z19" s="576">
        <f>IFERROR(SUMIFS('Rozpočet - HW a licencie'!$I$3:$I$102,'Rozpočet - HW a licencie'!$A$3:$A$102,'TCO TO BE - HW'!Z$2,'Rozpočet - HW a licencie'!$C$3:$C$102,"HW",'Rozpočet - HW a licencie'!$G$3:$G$102,'TCO TO BE - HW'!$D9,'Rozpočet - HW a licencie'!$D$3:$D$102,'TCO TO BE - HW'!$B$15)+SUMIFS('Rozpočet - HW a licencie'!$I$3:$I$102,'Rozpočet - HW a licencie'!$A$3:$A$102,'TCO TO BE - HW'!Z$2,'Rozpočet - HW a licencie'!$C$3:$C$102,"SW pre HW",'Rozpočet - HW a licencie'!$G$3:$G$102,'TCO TO BE - HW'!$D9,'Rozpočet - HW a licencie'!$D$3:$D$102,'TCO TO BE - HW'!$B$15),)</f>
        <v>0</v>
      </c>
    </row>
    <row r="20" spans="1:26" hidden="1" outlineLevel="1">
      <c r="A20" s="875"/>
      <c r="B20" s="876"/>
      <c r="C20" s="876"/>
      <c r="D20" s="495">
        <v>6</v>
      </c>
      <c r="E20" s="68">
        <f t="shared" si="2"/>
        <v>0</v>
      </c>
      <c r="F20" s="576">
        <f>IFERROR(SUMIFS('Rozpočet - HW a licencie'!$I$3:$I$102,'Rozpočet - HW a licencie'!$A$3:$A$102,'TCO TO BE - HW'!F$2,'Rozpočet - HW a licencie'!$C$3:$C$102,"HW",'Rozpočet - HW a licencie'!$G$3:$G$102,'TCO TO BE - HW'!$D10,'Rozpočet - HW a licencie'!$D$3:$D$102,'TCO TO BE - HW'!$B$15)+SUMIFS('Rozpočet - HW a licencie'!$I$3:$I$102,'Rozpočet - HW a licencie'!$A$3:$A$102,'TCO TO BE - HW'!F$2,'Rozpočet - HW a licencie'!$C$3:$C$102,"SW pre HW",'Rozpočet - HW a licencie'!$G$3:$G$102,'TCO TO BE - HW'!$D10,'Rozpočet - HW a licencie'!$D$3:$D$102,'TCO TO BE - HW'!$B$15),)</f>
        <v>0</v>
      </c>
      <c r="G20" s="576">
        <f>IFERROR(SUMIFS('Rozpočet - HW a licencie'!$I$3:$I$102,'Rozpočet - HW a licencie'!$A$3:$A$102,'TCO TO BE - HW'!G$2,'Rozpočet - HW a licencie'!$C$3:$C$102,"HW",'Rozpočet - HW a licencie'!$G$3:$G$102,'TCO TO BE - HW'!$D10,'Rozpočet - HW a licencie'!$D$3:$D$102,'TCO TO BE - HW'!$B$15)+SUMIFS('Rozpočet - HW a licencie'!$I$3:$I$102,'Rozpočet - HW a licencie'!$A$3:$A$102,'TCO TO BE - HW'!G$2,'Rozpočet - HW a licencie'!$C$3:$C$102,"SW pre HW",'Rozpočet - HW a licencie'!$G$3:$G$102,'TCO TO BE - HW'!$D10,'Rozpočet - HW a licencie'!$D$3:$D$102,'TCO TO BE - HW'!$B$15),)</f>
        <v>0</v>
      </c>
      <c r="H20" s="576">
        <f>IFERROR(SUMIFS('Rozpočet - HW a licencie'!$I$3:$I$102,'Rozpočet - HW a licencie'!$A$3:$A$102,'TCO TO BE - HW'!H$2,'Rozpočet - HW a licencie'!$C$3:$C$102,"HW",'Rozpočet - HW a licencie'!$G$3:$G$102,'TCO TO BE - HW'!$D10,'Rozpočet - HW a licencie'!$D$3:$D$102,'TCO TO BE - HW'!$B$15)+SUMIFS('Rozpočet - HW a licencie'!$I$3:$I$102,'Rozpočet - HW a licencie'!$A$3:$A$102,'TCO TO BE - HW'!H$2,'Rozpočet - HW a licencie'!$C$3:$C$102,"SW pre HW",'Rozpočet - HW a licencie'!$G$3:$G$102,'TCO TO BE - HW'!$D10,'Rozpočet - HW a licencie'!$D$3:$D$102,'TCO TO BE - HW'!$B$15),)</f>
        <v>0</v>
      </c>
      <c r="I20" s="576">
        <f>IFERROR(SUMIFS('Rozpočet - HW a licencie'!$I$3:$I$102,'Rozpočet - HW a licencie'!$A$3:$A$102,'TCO TO BE - HW'!I$2,'Rozpočet - HW a licencie'!$C$3:$C$102,"HW",'Rozpočet - HW a licencie'!$G$3:$G$102,'TCO TO BE - HW'!$D10,'Rozpočet - HW a licencie'!$D$3:$D$102,'TCO TO BE - HW'!$B$15)+SUMIFS('Rozpočet - HW a licencie'!$I$3:$I$102,'Rozpočet - HW a licencie'!$A$3:$A$102,'TCO TO BE - HW'!I$2,'Rozpočet - HW a licencie'!$C$3:$C$102,"SW pre HW",'Rozpočet - HW a licencie'!$G$3:$G$102,'TCO TO BE - HW'!$D10,'Rozpočet - HW a licencie'!$D$3:$D$102,'TCO TO BE - HW'!$B$15),)</f>
        <v>0</v>
      </c>
      <c r="J20" s="576">
        <f>IFERROR(SUMIFS('Rozpočet - HW a licencie'!$I$3:$I$102,'Rozpočet - HW a licencie'!$A$3:$A$102,'TCO TO BE - HW'!J$2,'Rozpočet - HW a licencie'!$C$3:$C$102,"HW",'Rozpočet - HW a licencie'!$G$3:$G$102,'TCO TO BE - HW'!$D10,'Rozpočet - HW a licencie'!$D$3:$D$102,'TCO TO BE - HW'!$B$15)+SUMIFS('Rozpočet - HW a licencie'!$I$3:$I$102,'Rozpočet - HW a licencie'!$A$3:$A$102,'TCO TO BE - HW'!J$2,'Rozpočet - HW a licencie'!$C$3:$C$102,"SW pre HW",'Rozpočet - HW a licencie'!$G$3:$G$102,'TCO TO BE - HW'!$D10,'Rozpočet - HW a licencie'!$D$3:$D$102,'TCO TO BE - HW'!$B$15),)</f>
        <v>0</v>
      </c>
      <c r="K20" s="576">
        <f>IFERROR(SUMIFS('Rozpočet - HW a licencie'!$I$3:$I$102,'Rozpočet - HW a licencie'!$A$3:$A$102,'TCO TO BE - HW'!K$2,'Rozpočet - HW a licencie'!$C$3:$C$102,"HW",'Rozpočet - HW a licencie'!$G$3:$G$102,'TCO TO BE - HW'!$D10,'Rozpočet - HW a licencie'!$D$3:$D$102,'TCO TO BE - HW'!$B$15)+SUMIFS('Rozpočet - HW a licencie'!$I$3:$I$102,'Rozpočet - HW a licencie'!$A$3:$A$102,'TCO TO BE - HW'!K$2,'Rozpočet - HW a licencie'!$C$3:$C$102,"SW pre HW",'Rozpočet - HW a licencie'!$G$3:$G$102,'TCO TO BE - HW'!$D10,'Rozpočet - HW a licencie'!$D$3:$D$102,'TCO TO BE - HW'!$B$15),)</f>
        <v>0</v>
      </c>
      <c r="L20" s="576">
        <f>IFERROR(SUMIFS('Rozpočet - HW a licencie'!$I$3:$I$102,'Rozpočet - HW a licencie'!$A$3:$A$102,'TCO TO BE - HW'!L$2,'Rozpočet - HW a licencie'!$C$3:$C$102,"HW",'Rozpočet - HW a licencie'!$G$3:$G$102,'TCO TO BE - HW'!$D10,'Rozpočet - HW a licencie'!$D$3:$D$102,'TCO TO BE - HW'!$B$15)+SUMIFS('Rozpočet - HW a licencie'!$I$3:$I$102,'Rozpočet - HW a licencie'!$A$3:$A$102,'TCO TO BE - HW'!L$2,'Rozpočet - HW a licencie'!$C$3:$C$102,"SW pre HW",'Rozpočet - HW a licencie'!$G$3:$G$102,'TCO TO BE - HW'!$D10,'Rozpočet - HW a licencie'!$D$3:$D$102,'TCO TO BE - HW'!$B$15),)</f>
        <v>0</v>
      </c>
      <c r="M20" s="576">
        <f>IFERROR(SUMIFS('Rozpočet - HW a licencie'!$I$3:$I$102,'Rozpočet - HW a licencie'!$A$3:$A$102,'TCO TO BE - HW'!M$2,'Rozpočet - HW a licencie'!$C$3:$C$102,"HW",'Rozpočet - HW a licencie'!$G$3:$G$102,'TCO TO BE - HW'!$D10,'Rozpočet - HW a licencie'!$D$3:$D$102,'TCO TO BE - HW'!$B$15)+SUMIFS('Rozpočet - HW a licencie'!$I$3:$I$102,'Rozpočet - HW a licencie'!$A$3:$A$102,'TCO TO BE - HW'!M$2,'Rozpočet - HW a licencie'!$C$3:$C$102,"SW pre HW",'Rozpočet - HW a licencie'!$G$3:$G$102,'TCO TO BE - HW'!$D10,'Rozpočet - HW a licencie'!$D$3:$D$102,'TCO TO BE - HW'!$B$15),)</f>
        <v>0</v>
      </c>
      <c r="N20" s="576">
        <f>IFERROR(SUMIFS('Rozpočet - HW a licencie'!$I$3:$I$102,'Rozpočet - HW a licencie'!$A$3:$A$102,'TCO TO BE - HW'!N$2,'Rozpočet - HW a licencie'!$C$3:$C$102,"HW",'Rozpočet - HW a licencie'!$G$3:$G$102,'TCO TO BE - HW'!$D10,'Rozpočet - HW a licencie'!$D$3:$D$102,'TCO TO BE - HW'!$B$15)+SUMIFS('Rozpočet - HW a licencie'!$I$3:$I$102,'Rozpočet - HW a licencie'!$A$3:$A$102,'TCO TO BE - HW'!N$2,'Rozpočet - HW a licencie'!$C$3:$C$102,"SW pre HW",'Rozpočet - HW a licencie'!$G$3:$G$102,'TCO TO BE - HW'!$D10,'Rozpočet - HW a licencie'!$D$3:$D$102,'TCO TO BE - HW'!$B$15),)</f>
        <v>0</v>
      </c>
      <c r="O20" s="576">
        <f>IFERROR(SUMIFS('Rozpočet - HW a licencie'!$I$3:$I$102,'Rozpočet - HW a licencie'!$A$3:$A$102,'TCO TO BE - HW'!O$2,'Rozpočet - HW a licencie'!$C$3:$C$102,"HW",'Rozpočet - HW a licencie'!$G$3:$G$102,'TCO TO BE - HW'!$D10,'Rozpočet - HW a licencie'!$D$3:$D$102,'TCO TO BE - HW'!$B$15)+SUMIFS('Rozpočet - HW a licencie'!$I$3:$I$102,'Rozpočet - HW a licencie'!$A$3:$A$102,'TCO TO BE - HW'!O$2,'Rozpočet - HW a licencie'!$C$3:$C$102,"SW pre HW",'Rozpočet - HW a licencie'!$G$3:$G$102,'TCO TO BE - HW'!$D10,'Rozpočet - HW a licencie'!$D$3:$D$102,'TCO TO BE - HW'!$B$15),)</f>
        <v>0</v>
      </c>
      <c r="P20" s="576">
        <f>IFERROR(SUMIFS('Rozpočet - HW a licencie'!$I$3:$I$102,'Rozpočet - HW a licencie'!$A$3:$A$102,'TCO TO BE - HW'!P$2,'Rozpočet - HW a licencie'!$C$3:$C$102,"HW",'Rozpočet - HW a licencie'!$G$3:$G$102,'TCO TO BE - HW'!$D10,'Rozpočet - HW a licencie'!$D$3:$D$102,'TCO TO BE - HW'!$B$15)+SUMIFS('Rozpočet - HW a licencie'!$I$3:$I$102,'Rozpočet - HW a licencie'!$A$3:$A$102,'TCO TO BE - HW'!P$2,'Rozpočet - HW a licencie'!$C$3:$C$102,"SW pre HW",'Rozpočet - HW a licencie'!$G$3:$G$102,'TCO TO BE - HW'!$D10,'Rozpočet - HW a licencie'!$D$3:$D$102,'TCO TO BE - HW'!$B$15),)</f>
        <v>0</v>
      </c>
      <c r="Q20" s="576">
        <f>IFERROR(SUMIFS('Rozpočet - HW a licencie'!$I$3:$I$102,'Rozpočet - HW a licencie'!$A$3:$A$102,'TCO TO BE - HW'!Q$2,'Rozpočet - HW a licencie'!$C$3:$C$102,"HW",'Rozpočet - HW a licencie'!$G$3:$G$102,'TCO TO BE - HW'!$D10,'Rozpočet - HW a licencie'!$D$3:$D$102,'TCO TO BE - HW'!$B$15)+SUMIFS('Rozpočet - HW a licencie'!$I$3:$I$102,'Rozpočet - HW a licencie'!$A$3:$A$102,'TCO TO BE - HW'!Q$2,'Rozpočet - HW a licencie'!$C$3:$C$102,"SW pre HW",'Rozpočet - HW a licencie'!$G$3:$G$102,'TCO TO BE - HW'!$D10,'Rozpočet - HW a licencie'!$D$3:$D$102,'TCO TO BE - HW'!$B$15),)</f>
        <v>0</v>
      </c>
      <c r="R20" s="576">
        <f>IFERROR(SUMIFS('Rozpočet - HW a licencie'!$I$3:$I$102,'Rozpočet - HW a licencie'!$A$3:$A$102,'TCO TO BE - HW'!R$2,'Rozpočet - HW a licencie'!$C$3:$C$102,"HW",'Rozpočet - HW a licencie'!$G$3:$G$102,'TCO TO BE - HW'!$D10,'Rozpočet - HW a licencie'!$D$3:$D$102,'TCO TO BE - HW'!$B$15)+SUMIFS('Rozpočet - HW a licencie'!$I$3:$I$102,'Rozpočet - HW a licencie'!$A$3:$A$102,'TCO TO BE - HW'!R$2,'Rozpočet - HW a licencie'!$C$3:$C$102,"SW pre HW",'Rozpočet - HW a licencie'!$G$3:$G$102,'TCO TO BE - HW'!$D10,'Rozpočet - HW a licencie'!$D$3:$D$102,'TCO TO BE - HW'!$B$15),)</f>
        <v>0</v>
      </c>
      <c r="S20" s="576">
        <f>IFERROR(SUMIFS('Rozpočet - HW a licencie'!$I$3:$I$102,'Rozpočet - HW a licencie'!$A$3:$A$102,'TCO TO BE - HW'!S$2,'Rozpočet - HW a licencie'!$C$3:$C$102,"HW",'Rozpočet - HW a licencie'!$G$3:$G$102,'TCO TO BE - HW'!$D10,'Rozpočet - HW a licencie'!$D$3:$D$102,'TCO TO BE - HW'!$B$15)+SUMIFS('Rozpočet - HW a licencie'!$I$3:$I$102,'Rozpočet - HW a licencie'!$A$3:$A$102,'TCO TO BE - HW'!S$2,'Rozpočet - HW a licencie'!$C$3:$C$102,"SW pre HW",'Rozpočet - HW a licencie'!$G$3:$G$102,'TCO TO BE - HW'!$D10,'Rozpočet - HW a licencie'!$D$3:$D$102,'TCO TO BE - HW'!$B$15),)</f>
        <v>0</v>
      </c>
      <c r="T20" s="576">
        <f>IFERROR(SUMIFS('Rozpočet - HW a licencie'!$I$3:$I$102,'Rozpočet - HW a licencie'!$A$3:$A$102,'TCO TO BE - HW'!T$2,'Rozpočet - HW a licencie'!$C$3:$C$102,"HW",'Rozpočet - HW a licencie'!$G$3:$G$102,'TCO TO BE - HW'!$D10,'Rozpočet - HW a licencie'!$D$3:$D$102,'TCO TO BE - HW'!$B$15)+SUMIFS('Rozpočet - HW a licencie'!$I$3:$I$102,'Rozpočet - HW a licencie'!$A$3:$A$102,'TCO TO BE - HW'!T$2,'Rozpočet - HW a licencie'!$C$3:$C$102,"SW pre HW",'Rozpočet - HW a licencie'!$G$3:$G$102,'TCO TO BE - HW'!$D10,'Rozpočet - HW a licencie'!$D$3:$D$102,'TCO TO BE - HW'!$B$15),)</f>
        <v>0</v>
      </c>
      <c r="U20" s="576">
        <f>IFERROR(SUMIFS('Rozpočet - HW a licencie'!$I$3:$I$102,'Rozpočet - HW a licencie'!$A$3:$A$102,'TCO TO BE - HW'!U$2,'Rozpočet - HW a licencie'!$C$3:$C$102,"HW",'Rozpočet - HW a licencie'!$G$3:$G$102,'TCO TO BE - HW'!$D10,'Rozpočet - HW a licencie'!$D$3:$D$102,'TCO TO BE - HW'!$B$15)+SUMIFS('Rozpočet - HW a licencie'!$I$3:$I$102,'Rozpočet - HW a licencie'!$A$3:$A$102,'TCO TO BE - HW'!U$2,'Rozpočet - HW a licencie'!$C$3:$C$102,"SW pre HW",'Rozpočet - HW a licencie'!$G$3:$G$102,'TCO TO BE - HW'!$D10,'Rozpočet - HW a licencie'!$D$3:$D$102,'TCO TO BE - HW'!$B$15),)</f>
        <v>0</v>
      </c>
      <c r="V20" s="576">
        <f>IFERROR(SUMIFS('Rozpočet - HW a licencie'!$I$3:$I$102,'Rozpočet - HW a licencie'!$A$3:$A$102,'TCO TO BE - HW'!V$2,'Rozpočet - HW a licencie'!$C$3:$C$102,"HW",'Rozpočet - HW a licencie'!$G$3:$G$102,'TCO TO BE - HW'!$D10,'Rozpočet - HW a licencie'!$D$3:$D$102,'TCO TO BE - HW'!$B$15)+SUMIFS('Rozpočet - HW a licencie'!$I$3:$I$102,'Rozpočet - HW a licencie'!$A$3:$A$102,'TCO TO BE - HW'!V$2,'Rozpočet - HW a licencie'!$C$3:$C$102,"SW pre HW",'Rozpočet - HW a licencie'!$G$3:$G$102,'TCO TO BE - HW'!$D10,'Rozpočet - HW a licencie'!$D$3:$D$102,'TCO TO BE - HW'!$B$15),)</f>
        <v>0</v>
      </c>
      <c r="W20" s="576">
        <f>IFERROR(SUMIFS('Rozpočet - HW a licencie'!$I$3:$I$102,'Rozpočet - HW a licencie'!$A$3:$A$102,'TCO TO BE - HW'!W$2,'Rozpočet - HW a licencie'!$C$3:$C$102,"HW",'Rozpočet - HW a licencie'!$G$3:$G$102,'TCO TO BE - HW'!$D10,'Rozpočet - HW a licencie'!$D$3:$D$102,'TCO TO BE - HW'!$B$15)+SUMIFS('Rozpočet - HW a licencie'!$I$3:$I$102,'Rozpočet - HW a licencie'!$A$3:$A$102,'TCO TO BE - HW'!W$2,'Rozpočet - HW a licencie'!$C$3:$C$102,"SW pre HW",'Rozpočet - HW a licencie'!$G$3:$G$102,'TCO TO BE - HW'!$D10,'Rozpočet - HW a licencie'!$D$3:$D$102,'TCO TO BE - HW'!$B$15),)</f>
        <v>0</v>
      </c>
      <c r="X20" s="576">
        <f>IFERROR(SUMIFS('Rozpočet - HW a licencie'!$I$3:$I$102,'Rozpočet - HW a licencie'!$A$3:$A$102,'TCO TO BE - HW'!X$2,'Rozpočet - HW a licencie'!$C$3:$C$102,"HW",'Rozpočet - HW a licencie'!$G$3:$G$102,'TCO TO BE - HW'!$D10,'Rozpočet - HW a licencie'!$D$3:$D$102,'TCO TO BE - HW'!$B$15)+SUMIFS('Rozpočet - HW a licencie'!$I$3:$I$102,'Rozpočet - HW a licencie'!$A$3:$A$102,'TCO TO BE - HW'!X$2,'Rozpočet - HW a licencie'!$C$3:$C$102,"SW pre HW",'Rozpočet - HW a licencie'!$G$3:$G$102,'TCO TO BE - HW'!$D10,'Rozpočet - HW a licencie'!$D$3:$D$102,'TCO TO BE - HW'!$B$15),)</f>
        <v>0</v>
      </c>
      <c r="Y20" s="576">
        <f>IFERROR(SUMIFS('Rozpočet - HW a licencie'!$I$3:$I$102,'Rozpočet - HW a licencie'!$A$3:$A$102,'TCO TO BE - HW'!Y$2,'Rozpočet - HW a licencie'!$C$3:$C$102,"HW",'Rozpočet - HW a licencie'!$G$3:$G$102,'TCO TO BE - HW'!$D10,'Rozpočet - HW a licencie'!$D$3:$D$102,'TCO TO BE - HW'!$B$15)+SUMIFS('Rozpočet - HW a licencie'!$I$3:$I$102,'Rozpočet - HW a licencie'!$A$3:$A$102,'TCO TO BE - HW'!Y$2,'Rozpočet - HW a licencie'!$C$3:$C$102,"SW pre HW",'Rozpočet - HW a licencie'!$G$3:$G$102,'TCO TO BE - HW'!$D10,'Rozpočet - HW a licencie'!$D$3:$D$102,'TCO TO BE - HW'!$B$15),)</f>
        <v>0</v>
      </c>
      <c r="Z20" s="576">
        <f>IFERROR(SUMIFS('Rozpočet - HW a licencie'!$I$3:$I$102,'Rozpočet - HW a licencie'!$A$3:$A$102,'TCO TO BE - HW'!Z$2,'Rozpočet - HW a licencie'!$C$3:$C$102,"HW",'Rozpočet - HW a licencie'!$G$3:$G$102,'TCO TO BE - HW'!$D10,'Rozpočet - HW a licencie'!$D$3:$D$102,'TCO TO BE - HW'!$B$15)+SUMIFS('Rozpočet - HW a licencie'!$I$3:$I$102,'Rozpočet - HW a licencie'!$A$3:$A$102,'TCO TO BE - HW'!Z$2,'Rozpočet - HW a licencie'!$C$3:$C$102,"SW pre HW",'Rozpočet - HW a licencie'!$G$3:$G$102,'TCO TO BE - HW'!$D10,'Rozpočet - HW a licencie'!$D$3:$D$102,'TCO TO BE - HW'!$B$15),)</f>
        <v>0</v>
      </c>
    </row>
    <row r="21" spans="1:26" hidden="1" outlineLevel="1">
      <c r="A21" s="875"/>
      <c r="B21" s="876"/>
      <c r="C21" s="876"/>
      <c r="D21" s="495">
        <v>7</v>
      </c>
      <c r="E21" s="68">
        <f t="shared" si="2"/>
        <v>0</v>
      </c>
      <c r="F21" s="576">
        <f>IFERROR(SUMIFS('Rozpočet - HW a licencie'!$I$3:$I$102,'Rozpočet - HW a licencie'!$A$3:$A$102,'TCO TO BE - HW'!F$2,'Rozpočet - HW a licencie'!$C$3:$C$102,"HW",'Rozpočet - HW a licencie'!$G$3:$G$102,'TCO TO BE - HW'!$D11,'Rozpočet - HW a licencie'!$D$3:$D$102,'TCO TO BE - HW'!$B$15)+SUMIFS('Rozpočet - HW a licencie'!$I$3:$I$102,'Rozpočet - HW a licencie'!$A$3:$A$102,'TCO TO BE - HW'!F$2,'Rozpočet - HW a licencie'!$C$3:$C$102,"SW pre HW",'Rozpočet - HW a licencie'!$G$3:$G$102,'TCO TO BE - HW'!$D11,'Rozpočet - HW a licencie'!$D$3:$D$102,'TCO TO BE - HW'!$B$15),)</f>
        <v>0</v>
      </c>
      <c r="G21" s="576">
        <f>IFERROR(SUMIFS('Rozpočet - HW a licencie'!$I$3:$I$102,'Rozpočet - HW a licencie'!$A$3:$A$102,'TCO TO BE - HW'!G$2,'Rozpočet - HW a licencie'!$C$3:$C$102,"HW",'Rozpočet - HW a licencie'!$G$3:$G$102,'TCO TO BE - HW'!$D11,'Rozpočet - HW a licencie'!$D$3:$D$102,'TCO TO BE - HW'!$B$15)+SUMIFS('Rozpočet - HW a licencie'!$I$3:$I$102,'Rozpočet - HW a licencie'!$A$3:$A$102,'TCO TO BE - HW'!G$2,'Rozpočet - HW a licencie'!$C$3:$C$102,"SW pre HW",'Rozpočet - HW a licencie'!$G$3:$G$102,'TCO TO BE - HW'!$D11,'Rozpočet - HW a licencie'!$D$3:$D$102,'TCO TO BE - HW'!$B$15),)</f>
        <v>0</v>
      </c>
      <c r="H21" s="576">
        <f>IFERROR(SUMIFS('Rozpočet - HW a licencie'!$I$3:$I$102,'Rozpočet - HW a licencie'!$A$3:$A$102,'TCO TO BE - HW'!H$2,'Rozpočet - HW a licencie'!$C$3:$C$102,"HW",'Rozpočet - HW a licencie'!$G$3:$G$102,'TCO TO BE - HW'!$D11,'Rozpočet - HW a licencie'!$D$3:$D$102,'TCO TO BE - HW'!$B$15)+SUMIFS('Rozpočet - HW a licencie'!$I$3:$I$102,'Rozpočet - HW a licencie'!$A$3:$A$102,'TCO TO BE - HW'!H$2,'Rozpočet - HW a licencie'!$C$3:$C$102,"SW pre HW",'Rozpočet - HW a licencie'!$G$3:$G$102,'TCO TO BE - HW'!$D11,'Rozpočet - HW a licencie'!$D$3:$D$102,'TCO TO BE - HW'!$B$15),)</f>
        <v>0</v>
      </c>
      <c r="I21" s="576">
        <f>IFERROR(SUMIFS('Rozpočet - HW a licencie'!$I$3:$I$102,'Rozpočet - HW a licencie'!$A$3:$A$102,'TCO TO BE - HW'!I$2,'Rozpočet - HW a licencie'!$C$3:$C$102,"HW",'Rozpočet - HW a licencie'!$G$3:$G$102,'TCO TO BE - HW'!$D11,'Rozpočet - HW a licencie'!$D$3:$D$102,'TCO TO BE - HW'!$B$15)+SUMIFS('Rozpočet - HW a licencie'!$I$3:$I$102,'Rozpočet - HW a licencie'!$A$3:$A$102,'TCO TO BE - HW'!I$2,'Rozpočet - HW a licencie'!$C$3:$C$102,"SW pre HW",'Rozpočet - HW a licencie'!$G$3:$G$102,'TCO TO BE - HW'!$D11,'Rozpočet - HW a licencie'!$D$3:$D$102,'TCO TO BE - HW'!$B$15),)</f>
        <v>0</v>
      </c>
      <c r="J21" s="576">
        <f>IFERROR(SUMIFS('Rozpočet - HW a licencie'!$I$3:$I$102,'Rozpočet - HW a licencie'!$A$3:$A$102,'TCO TO BE - HW'!J$2,'Rozpočet - HW a licencie'!$C$3:$C$102,"HW",'Rozpočet - HW a licencie'!$G$3:$G$102,'TCO TO BE - HW'!$D11,'Rozpočet - HW a licencie'!$D$3:$D$102,'TCO TO BE - HW'!$B$15)+SUMIFS('Rozpočet - HW a licencie'!$I$3:$I$102,'Rozpočet - HW a licencie'!$A$3:$A$102,'TCO TO BE - HW'!J$2,'Rozpočet - HW a licencie'!$C$3:$C$102,"SW pre HW",'Rozpočet - HW a licencie'!$G$3:$G$102,'TCO TO BE - HW'!$D11,'Rozpočet - HW a licencie'!$D$3:$D$102,'TCO TO BE - HW'!$B$15),)</f>
        <v>0</v>
      </c>
      <c r="K21" s="576">
        <f>IFERROR(SUMIFS('Rozpočet - HW a licencie'!$I$3:$I$102,'Rozpočet - HW a licencie'!$A$3:$A$102,'TCO TO BE - HW'!K$2,'Rozpočet - HW a licencie'!$C$3:$C$102,"HW",'Rozpočet - HW a licencie'!$G$3:$G$102,'TCO TO BE - HW'!$D11,'Rozpočet - HW a licencie'!$D$3:$D$102,'TCO TO BE - HW'!$B$15)+SUMIFS('Rozpočet - HW a licencie'!$I$3:$I$102,'Rozpočet - HW a licencie'!$A$3:$A$102,'TCO TO BE - HW'!K$2,'Rozpočet - HW a licencie'!$C$3:$C$102,"SW pre HW",'Rozpočet - HW a licencie'!$G$3:$G$102,'TCO TO BE - HW'!$D11,'Rozpočet - HW a licencie'!$D$3:$D$102,'TCO TO BE - HW'!$B$15),)</f>
        <v>0</v>
      </c>
      <c r="L21" s="576">
        <f>IFERROR(SUMIFS('Rozpočet - HW a licencie'!$I$3:$I$102,'Rozpočet - HW a licencie'!$A$3:$A$102,'TCO TO BE - HW'!L$2,'Rozpočet - HW a licencie'!$C$3:$C$102,"HW",'Rozpočet - HW a licencie'!$G$3:$G$102,'TCO TO BE - HW'!$D11,'Rozpočet - HW a licencie'!$D$3:$D$102,'TCO TO BE - HW'!$B$15)+SUMIFS('Rozpočet - HW a licencie'!$I$3:$I$102,'Rozpočet - HW a licencie'!$A$3:$A$102,'TCO TO BE - HW'!L$2,'Rozpočet - HW a licencie'!$C$3:$C$102,"SW pre HW",'Rozpočet - HW a licencie'!$G$3:$G$102,'TCO TO BE - HW'!$D11,'Rozpočet - HW a licencie'!$D$3:$D$102,'TCO TO BE - HW'!$B$15),)</f>
        <v>0</v>
      </c>
      <c r="M21" s="576">
        <f>IFERROR(SUMIFS('Rozpočet - HW a licencie'!$I$3:$I$102,'Rozpočet - HW a licencie'!$A$3:$A$102,'TCO TO BE - HW'!M$2,'Rozpočet - HW a licencie'!$C$3:$C$102,"HW",'Rozpočet - HW a licencie'!$G$3:$G$102,'TCO TO BE - HW'!$D11,'Rozpočet - HW a licencie'!$D$3:$D$102,'TCO TO BE - HW'!$B$15)+SUMIFS('Rozpočet - HW a licencie'!$I$3:$I$102,'Rozpočet - HW a licencie'!$A$3:$A$102,'TCO TO BE - HW'!M$2,'Rozpočet - HW a licencie'!$C$3:$C$102,"SW pre HW",'Rozpočet - HW a licencie'!$G$3:$G$102,'TCO TO BE - HW'!$D11,'Rozpočet - HW a licencie'!$D$3:$D$102,'TCO TO BE - HW'!$B$15),)</f>
        <v>0</v>
      </c>
      <c r="N21" s="576">
        <f>IFERROR(SUMIFS('Rozpočet - HW a licencie'!$I$3:$I$102,'Rozpočet - HW a licencie'!$A$3:$A$102,'TCO TO BE - HW'!N$2,'Rozpočet - HW a licencie'!$C$3:$C$102,"HW",'Rozpočet - HW a licencie'!$G$3:$G$102,'TCO TO BE - HW'!$D11,'Rozpočet - HW a licencie'!$D$3:$D$102,'TCO TO BE - HW'!$B$15)+SUMIFS('Rozpočet - HW a licencie'!$I$3:$I$102,'Rozpočet - HW a licencie'!$A$3:$A$102,'TCO TO BE - HW'!N$2,'Rozpočet - HW a licencie'!$C$3:$C$102,"SW pre HW",'Rozpočet - HW a licencie'!$G$3:$G$102,'TCO TO BE - HW'!$D11,'Rozpočet - HW a licencie'!$D$3:$D$102,'TCO TO BE - HW'!$B$15),)</f>
        <v>0</v>
      </c>
      <c r="O21" s="576">
        <f>IFERROR(SUMIFS('Rozpočet - HW a licencie'!$I$3:$I$102,'Rozpočet - HW a licencie'!$A$3:$A$102,'TCO TO BE - HW'!O$2,'Rozpočet - HW a licencie'!$C$3:$C$102,"HW",'Rozpočet - HW a licencie'!$G$3:$G$102,'TCO TO BE - HW'!$D11,'Rozpočet - HW a licencie'!$D$3:$D$102,'TCO TO BE - HW'!$B$15)+SUMIFS('Rozpočet - HW a licencie'!$I$3:$I$102,'Rozpočet - HW a licencie'!$A$3:$A$102,'TCO TO BE - HW'!O$2,'Rozpočet - HW a licencie'!$C$3:$C$102,"SW pre HW",'Rozpočet - HW a licencie'!$G$3:$G$102,'TCO TO BE - HW'!$D11,'Rozpočet - HW a licencie'!$D$3:$D$102,'TCO TO BE - HW'!$B$15),)</f>
        <v>0</v>
      </c>
      <c r="P21" s="576">
        <f>IFERROR(SUMIFS('Rozpočet - HW a licencie'!$I$3:$I$102,'Rozpočet - HW a licencie'!$A$3:$A$102,'TCO TO BE - HW'!P$2,'Rozpočet - HW a licencie'!$C$3:$C$102,"HW",'Rozpočet - HW a licencie'!$G$3:$G$102,'TCO TO BE - HW'!$D11,'Rozpočet - HW a licencie'!$D$3:$D$102,'TCO TO BE - HW'!$B$15)+SUMIFS('Rozpočet - HW a licencie'!$I$3:$I$102,'Rozpočet - HW a licencie'!$A$3:$A$102,'TCO TO BE - HW'!P$2,'Rozpočet - HW a licencie'!$C$3:$C$102,"SW pre HW",'Rozpočet - HW a licencie'!$G$3:$G$102,'TCO TO BE - HW'!$D11,'Rozpočet - HW a licencie'!$D$3:$D$102,'TCO TO BE - HW'!$B$15),)</f>
        <v>0</v>
      </c>
      <c r="Q21" s="576">
        <f>IFERROR(SUMIFS('Rozpočet - HW a licencie'!$I$3:$I$102,'Rozpočet - HW a licencie'!$A$3:$A$102,'TCO TO BE - HW'!Q$2,'Rozpočet - HW a licencie'!$C$3:$C$102,"HW",'Rozpočet - HW a licencie'!$G$3:$G$102,'TCO TO BE - HW'!$D11,'Rozpočet - HW a licencie'!$D$3:$D$102,'TCO TO BE - HW'!$B$15)+SUMIFS('Rozpočet - HW a licencie'!$I$3:$I$102,'Rozpočet - HW a licencie'!$A$3:$A$102,'TCO TO BE - HW'!Q$2,'Rozpočet - HW a licencie'!$C$3:$C$102,"SW pre HW",'Rozpočet - HW a licencie'!$G$3:$G$102,'TCO TO BE - HW'!$D11,'Rozpočet - HW a licencie'!$D$3:$D$102,'TCO TO BE - HW'!$B$15),)</f>
        <v>0</v>
      </c>
      <c r="R21" s="576">
        <f>IFERROR(SUMIFS('Rozpočet - HW a licencie'!$I$3:$I$102,'Rozpočet - HW a licencie'!$A$3:$A$102,'TCO TO BE - HW'!R$2,'Rozpočet - HW a licencie'!$C$3:$C$102,"HW",'Rozpočet - HW a licencie'!$G$3:$G$102,'TCO TO BE - HW'!$D11,'Rozpočet - HW a licencie'!$D$3:$D$102,'TCO TO BE - HW'!$B$15)+SUMIFS('Rozpočet - HW a licencie'!$I$3:$I$102,'Rozpočet - HW a licencie'!$A$3:$A$102,'TCO TO BE - HW'!R$2,'Rozpočet - HW a licencie'!$C$3:$C$102,"SW pre HW",'Rozpočet - HW a licencie'!$G$3:$G$102,'TCO TO BE - HW'!$D11,'Rozpočet - HW a licencie'!$D$3:$D$102,'TCO TO BE - HW'!$B$15),)</f>
        <v>0</v>
      </c>
      <c r="S21" s="576">
        <f>IFERROR(SUMIFS('Rozpočet - HW a licencie'!$I$3:$I$102,'Rozpočet - HW a licencie'!$A$3:$A$102,'TCO TO BE - HW'!S$2,'Rozpočet - HW a licencie'!$C$3:$C$102,"HW",'Rozpočet - HW a licencie'!$G$3:$G$102,'TCO TO BE - HW'!$D11,'Rozpočet - HW a licencie'!$D$3:$D$102,'TCO TO BE - HW'!$B$15)+SUMIFS('Rozpočet - HW a licencie'!$I$3:$I$102,'Rozpočet - HW a licencie'!$A$3:$A$102,'TCO TO BE - HW'!S$2,'Rozpočet - HW a licencie'!$C$3:$C$102,"SW pre HW",'Rozpočet - HW a licencie'!$G$3:$G$102,'TCO TO BE - HW'!$D11,'Rozpočet - HW a licencie'!$D$3:$D$102,'TCO TO BE - HW'!$B$15),)</f>
        <v>0</v>
      </c>
      <c r="T21" s="576">
        <f>IFERROR(SUMIFS('Rozpočet - HW a licencie'!$I$3:$I$102,'Rozpočet - HW a licencie'!$A$3:$A$102,'TCO TO BE - HW'!T$2,'Rozpočet - HW a licencie'!$C$3:$C$102,"HW",'Rozpočet - HW a licencie'!$G$3:$G$102,'TCO TO BE - HW'!$D11,'Rozpočet - HW a licencie'!$D$3:$D$102,'TCO TO BE - HW'!$B$15)+SUMIFS('Rozpočet - HW a licencie'!$I$3:$I$102,'Rozpočet - HW a licencie'!$A$3:$A$102,'TCO TO BE - HW'!T$2,'Rozpočet - HW a licencie'!$C$3:$C$102,"SW pre HW",'Rozpočet - HW a licencie'!$G$3:$G$102,'TCO TO BE - HW'!$D11,'Rozpočet - HW a licencie'!$D$3:$D$102,'TCO TO BE - HW'!$B$15),)</f>
        <v>0</v>
      </c>
      <c r="U21" s="576">
        <f>IFERROR(SUMIFS('Rozpočet - HW a licencie'!$I$3:$I$102,'Rozpočet - HW a licencie'!$A$3:$A$102,'TCO TO BE - HW'!U$2,'Rozpočet - HW a licencie'!$C$3:$C$102,"HW",'Rozpočet - HW a licencie'!$G$3:$G$102,'TCO TO BE - HW'!$D11,'Rozpočet - HW a licencie'!$D$3:$D$102,'TCO TO BE - HW'!$B$15)+SUMIFS('Rozpočet - HW a licencie'!$I$3:$I$102,'Rozpočet - HW a licencie'!$A$3:$A$102,'TCO TO BE - HW'!U$2,'Rozpočet - HW a licencie'!$C$3:$C$102,"SW pre HW",'Rozpočet - HW a licencie'!$G$3:$G$102,'TCO TO BE - HW'!$D11,'Rozpočet - HW a licencie'!$D$3:$D$102,'TCO TO BE - HW'!$B$15),)</f>
        <v>0</v>
      </c>
      <c r="V21" s="576">
        <f>IFERROR(SUMIFS('Rozpočet - HW a licencie'!$I$3:$I$102,'Rozpočet - HW a licencie'!$A$3:$A$102,'TCO TO BE - HW'!V$2,'Rozpočet - HW a licencie'!$C$3:$C$102,"HW",'Rozpočet - HW a licencie'!$G$3:$G$102,'TCO TO BE - HW'!$D11,'Rozpočet - HW a licencie'!$D$3:$D$102,'TCO TO BE - HW'!$B$15)+SUMIFS('Rozpočet - HW a licencie'!$I$3:$I$102,'Rozpočet - HW a licencie'!$A$3:$A$102,'TCO TO BE - HW'!V$2,'Rozpočet - HW a licencie'!$C$3:$C$102,"SW pre HW",'Rozpočet - HW a licencie'!$G$3:$G$102,'TCO TO BE - HW'!$D11,'Rozpočet - HW a licencie'!$D$3:$D$102,'TCO TO BE - HW'!$B$15),)</f>
        <v>0</v>
      </c>
      <c r="W21" s="576">
        <f>IFERROR(SUMIFS('Rozpočet - HW a licencie'!$I$3:$I$102,'Rozpočet - HW a licencie'!$A$3:$A$102,'TCO TO BE - HW'!W$2,'Rozpočet - HW a licencie'!$C$3:$C$102,"HW",'Rozpočet - HW a licencie'!$G$3:$G$102,'TCO TO BE - HW'!$D11,'Rozpočet - HW a licencie'!$D$3:$D$102,'TCO TO BE - HW'!$B$15)+SUMIFS('Rozpočet - HW a licencie'!$I$3:$I$102,'Rozpočet - HW a licencie'!$A$3:$A$102,'TCO TO BE - HW'!W$2,'Rozpočet - HW a licencie'!$C$3:$C$102,"SW pre HW",'Rozpočet - HW a licencie'!$G$3:$G$102,'TCO TO BE - HW'!$D11,'Rozpočet - HW a licencie'!$D$3:$D$102,'TCO TO BE - HW'!$B$15),)</f>
        <v>0</v>
      </c>
      <c r="X21" s="576">
        <f>IFERROR(SUMIFS('Rozpočet - HW a licencie'!$I$3:$I$102,'Rozpočet - HW a licencie'!$A$3:$A$102,'TCO TO BE - HW'!X$2,'Rozpočet - HW a licencie'!$C$3:$C$102,"HW",'Rozpočet - HW a licencie'!$G$3:$G$102,'TCO TO BE - HW'!$D11,'Rozpočet - HW a licencie'!$D$3:$D$102,'TCO TO BE - HW'!$B$15)+SUMIFS('Rozpočet - HW a licencie'!$I$3:$I$102,'Rozpočet - HW a licencie'!$A$3:$A$102,'TCO TO BE - HW'!X$2,'Rozpočet - HW a licencie'!$C$3:$C$102,"SW pre HW",'Rozpočet - HW a licencie'!$G$3:$G$102,'TCO TO BE - HW'!$D11,'Rozpočet - HW a licencie'!$D$3:$D$102,'TCO TO BE - HW'!$B$15),)</f>
        <v>0</v>
      </c>
      <c r="Y21" s="576">
        <f>IFERROR(SUMIFS('Rozpočet - HW a licencie'!$I$3:$I$102,'Rozpočet - HW a licencie'!$A$3:$A$102,'TCO TO BE - HW'!Y$2,'Rozpočet - HW a licencie'!$C$3:$C$102,"HW",'Rozpočet - HW a licencie'!$G$3:$G$102,'TCO TO BE - HW'!$D11,'Rozpočet - HW a licencie'!$D$3:$D$102,'TCO TO BE - HW'!$B$15)+SUMIFS('Rozpočet - HW a licencie'!$I$3:$I$102,'Rozpočet - HW a licencie'!$A$3:$A$102,'TCO TO BE - HW'!Y$2,'Rozpočet - HW a licencie'!$C$3:$C$102,"SW pre HW",'Rozpočet - HW a licencie'!$G$3:$G$102,'TCO TO BE - HW'!$D11,'Rozpočet - HW a licencie'!$D$3:$D$102,'TCO TO BE - HW'!$B$15),)</f>
        <v>0</v>
      </c>
      <c r="Z21" s="576">
        <f>IFERROR(SUMIFS('Rozpočet - HW a licencie'!$I$3:$I$102,'Rozpočet - HW a licencie'!$A$3:$A$102,'TCO TO BE - HW'!Z$2,'Rozpočet - HW a licencie'!$C$3:$C$102,"HW",'Rozpočet - HW a licencie'!$G$3:$G$102,'TCO TO BE - HW'!$D11,'Rozpočet - HW a licencie'!$D$3:$D$102,'TCO TO BE - HW'!$B$15)+SUMIFS('Rozpočet - HW a licencie'!$I$3:$I$102,'Rozpočet - HW a licencie'!$A$3:$A$102,'TCO TO BE - HW'!Z$2,'Rozpočet - HW a licencie'!$C$3:$C$102,"SW pre HW",'Rozpočet - HW a licencie'!$G$3:$G$102,'TCO TO BE - HW'!$D11,'Rozpočet - HW a licencie'!$D$3:$D$102,'TCO TO BE - HW'!$B$15),)</f>
        <v>0</v>
      </c>
    </row>
    <row r="22" spans="1:26" hidden="1" outlineLevel="1">
      <c r="A22" s="875"/>
      <c r="B22" s="876"/>
      <c r="C22" s="876"/>
      <c r="D22" s="495">
        <v>8</v>
      </c>
      <c r="E22" s="68">
        <f t="shared" si="2"/>
        <v>0</v>
      </c>
      <c r="F22" s="576">
        <f>IFERROR(SUMIFS('Rozpočet - HW a licencie'!$I$3:$I$102,'Rozpočet - HW a licencie'!$A$3:$A$102,'TCO TO BE - HW'!F$2,'Rozpočet - HW a licencie'!$C$3:$C$102,"HW",'Rozpočet - HW a licencie'!$G$3:$G$102,'TCO TO BE - HW'!$D12,'Rozpočet - HW a licencie'!$D$3:$D$102,'TCO TO BE - HW'!$B$15)+SUMIFS('Rozpočet - HW a licencie'!$I$3:$I$102,'Rozpočet - HW a licencie'!$A$3:$A$102,'TCO TO BE - HW'!F$2,'Rozpočet - HW a licencie'!$C$3:$C$102,"SW pre HW",'Rozpočet - HW a licencie'!$G$3:$G$102,'TCO TO BE - HW'!$D12,'Rozpočet - HW a licencie'!$D$3:$D$102,'TCO TO BE - HW'!$B$15),)</f>
        <v>0</v>
      </c>
      <c r="G22" s="576">
        <f>IFERROR(SUMIFS('Rozpočet - HW a licencie'!$I$3:$I$102,'Rozpočet - HW a licencie'!$A$3:$A$102,'TCO TO BE - HW'!G$2,'Rozpočet - HW a licencie'!$C$3:$C$102,"HW",'Rozpočet - HW a licencie'!$G$3:$G$102,'TCO TO BE - HW'!$D12,'Rozpočet - HW a licencie'!$D$3:$D$102,'TCO TO BE - HW'!$B$15)+SUMIFS('Rozpočet - HW a licencie'!$I$3:$I$102,'Rozpočet - HW a licencie'!$A$3:$A$102,'TCO TO BE - HW'!G$2,'Rozpočet - HW a licencie'!$C$3:$C$102,"SW pre HW",'Rozpočet - HW a licencie'!$G$3:$G$102,'TCO TO BE - HW'!$D12,'Rozpočet - HW a licencie'!$D$3:$D$102,'TCO TO BE - HW'!$B$15),)</f>
        <v>0</v>
      </c>
      <c r="H22" s="576">
        <f>IFERROR(SUMIFS('Rozpočet - HW a licencie'!$I$3:$I$102,'Rozpočet - HW a licencie'!$A$3:$A$102,'TCO TO BE - HW'!H$2,'Rozpočet - HW a licencie'!$C$3:$C$102,"HW",'Rozpočet - HW a licencie'!$G$3:$G$102,'TCO TO BE - HW'!$D12,'Rozpočet - HW a licencie'!$D$3:$D$102,'TCO TO BE - HW'!$B$15)+SUMIFS('Rozpočet - HW a licencie'!$I$3:$I$102,'Rozpočet - HW a licencie'!$A$3:$A$102,'TCO TO BE - HW'!H$2,'Rozpočet - HW a licencie'!$C$3:$C$102,"SW pre HW",'Rozpočet - HW a licencie'!$G$3:$G$102,'TCO TO BE - HW'!$D12,'Rozpočet - HW a licencie'!$D$3:$D$102,'TCO TO BE - HW'!$B$15),)</f>
        <v>0</v>
      </c>
      <c r="I22" s="576">
        <f>IFERROR(SUMIFS('Rozpočet - HW a licencie'!$I$3:$I$102,'Rozpočet - HW a licencie'!$A$3:$A$102,'TCO TO BE - HW'!I$2,'Rozpočet - HW a licencie'!$C$3:$C$102,"HW",'Rozpočet - HW a licencie'!$G$3:$G$102,'TCO TO BE - HW'!$D12,'Rozpočet - HW a licencie'!$D$3:$D$102,'TCO TO BE - HW'!$B$15)+SUMIFS('Rozpočet - HW a licencie'!$I$3:$I$102,'Rozpočet - HW a licencie'!$A$3:$A$102,'TCO TO BE - HW'!I$2,'Rozpočet - HW a licencie'!$C$3:$C$102,"SW pre HW",'Rozpočet - HW a licencie'!$G$3:$G$102,'TCO TO BE - HW'!$D12,'Rozpočet - HW a licencie'!$D$3:$D$102,'TCO TO BE - HW'!$B$15),)</f>
        <v>0</v>
      </c>
      <c r="J22" s="576">
        <f>IFERROR(SUMIFS('Rozpočet - HW a licencie'!$I$3:$I$102,'Rozpočet - HW a licencie'!$A$3:$A$102,'TCO TO BE - HW'!J$2,'Rozpočet - HW a licencie'!$C$3:$C$102,"HW",'Rozpočet - HW a licencie'!$G$3:$G$102,'TCO TO BE - HW'!$D12,'Rozpočet - HW a licencie'!$D$3:$D$102,'TCO TO BE - HW'!$B$15)+SUMIFS('Rozpočet - HW a licencie'!$I$3:$I$102,'Rozpočet - HW a licencie'!$A$3:$A$102,'TCO TO BE - HW'!J$2,'Rozpočet - HW a licencie'!$C$3:$C$102,"SW pre HW",'Rozpočet - HW a licencie'!$G$3:$G$102,'TCO TO BE - HW'!$D12,'Rozpočet - HW a licencie'!$D$3:$D$102,'TCO TO BE - HW'!$B$15),)</f>
        <v>0</v>
      </c>
      <c r="K22" s="576">
        <f>IFERROR(SUMIFS('Rozpočet - HW a licencie'!$I$3:$I$102,'Rozpočet - HW a licencie'!$A$3:$A$102,'TCO TO BE - HW'!K$2,'Rozpočet - HW a licencie'!$C$3:$C$102,"HW",'Rozpočet - HW a licencie'!$G$3:$G$102,'TCO TO BE - HW'!$D12,'Rozpočet - HW a licencie'!$D$3:$D$102,'TCO TO BE - HW'!$B$15)+SUMIFS('Rozpočet - HW a licencie'!$I$3:$I$102,'Rozpočet - HW a licencie'!$A$3:$A$102,'TCO TO BE - HW'!K$2,'Rozpočet - HW a licencie'!$C$3:$C$102,"SW pre HW",'Rozpočet - HW a licencie'!$G$3:$G$102,'TCO TO BE - HW'!$D12,'Rozpočet - HW a licencie'!$D$3:$D$102,'TCO TO BE - HW'!$B$15),)</f>
        <v>0</v>
      </c>
      <c r="L22" s="576">
        <f>IFERROR(SUMIFS('Rozpočet - HW a licencie'!$I$3:$I$102,'Rozpočet - HW a licencie'!$A$3:$A$102,'TCO TO BE - HW'!L$2,'Rozpočet - HW a licencie'!$C$3:$C$102,"HW",'Rozpočet - HW a licencie'!$G$3:$G$102,'TCO TO BE - HW'!$D12,'Rozpočet - HW a licencie'!$D$3:$D$102,'TCO TO BE - HW'!$B$15)+SUMIFS('Rozpočet - HW a licencie'!$I$3:$I$102,'Rozpočet - HW a licencie'!$A$3:$A$102,'TCO TO BE - HW'!L$2,'Rozpočet - HW a licencie'!$C$3:$C$102,"SW pre HW",'Rozpočet - HW a licencie'!$G$3:$G$102,'TCO TO BE - HW'!$D12,'Rozpočet - HW a licencie'!$D$3:$D$102,'TCO TO BE - HW'!$B$15),)</f>
        <v>0</v>
      </c>
      <c r="M22" s="576">
        <f>IFERROR(SUMIFS('Rozpočet - HW a licencie'!$I$3:$I$102,'Rozpočet - HW a licencie'!$A$3:$A$102,'TCO TO BE - HW'!M$2,'Rozpočet - HW a licencie'!$C$3:$C$102,"HW",'Rozpočet - HW a licencie'!$G$3:$G$102,'TCO TO BE - HW'!$D12,'Rozpočet - HW a licencie'!$D$3:$D$102,'TCO TO BE - HW'!$B$15)+SUMIFS('Rozpočet - HW a licencie'!$I$3:$I$102,'Rozpočet - HW a licencie'!$A$3:$A$102,'TCO TO BE - HW'!M$2,'Rozpočet - HW a licencie'!$C$3:$C$102,"SW pre HW",'Rozpočet - HW a licencie'!$G$3:$G$102,'TCO TO BE - HW'!$D12,'Rozpočet - HW a licencie'!$D$3:$D$102,'TCO TO BE - HW'!$B$15),)</f>
        <v>0</v>
      </c>
      <c r="N22" s="576">
        <f>IFERROR(SUMIFS('Rozpočet - HW a licencie'!$I$3:$I$102,'Rozpočet - HW a licencie'!$A$3:$A$102,'TCO TO BE - HW'!N$2,'Rozpočet - HW a licencie'!$C$3:$C$102,"HW",'Rozpočet - HW a licencie'!$G$3:$G$102,'TCO TO BE - HW'!$D12,'Rozpočet - HW a licencie'!$D$3:$D$102,'TCO TO BE - HW'!$B$15)+SUMIFS('Rozpočet - HW a licencie'!$I$3:$I$102,'Rozpočet - HW a licencie'!$A$3:$A$102,'TCO TO BE - HW'!N$2,'Rozpočet - HW a licencie'!$C$3:$C$102,"SW pre HW",'Rozpočet - HW a licencie'!$G$3:$G$102,'TCO TO BE - HW'!$D12,'Rozpočet - HW a licencie'!$D$3:$D$102,'TCO TO BE - HW'!$B$15),)</f>
        <v>0</v>
      </c>
      <c r="O22" s="576">
        <f>IFERROR(SUMIFS('Rozpočet - HW a licencie'!$I$3:$I$102,'Rozpočet - HW a licencie'!$A$3:$A$102,'TCO TO BE - HW'!O$2,'Rozpočet - HW a licencie'!$C$3:$C$102,"HW",'Rozpočet - HW a licencie'!$G$3:$G$102,'TCO TO BE - HW'!$D12,'Rozpočet - HW a licencie'!$D$3:$D$102,'TCO TO BE - HW'!$B$15)+SUMIFS('Rozpočet - HW a licencie'!$I$3:$I$102,'Rozpočet - HW a licencie'!$A$3:$A$102,'TCO TO BE - HW'!O$2,'Rozpočet - HW a licencie'!$C$3:$C$102,"SW pre HW",'Rozpočet - HW a licencie'!$G$3:$G$102,'TCO TO BE - HW'!$D12,'Rozpočet - HW a licencie'!$D$3:$D$102,'TCO TO BE - HW'!$B$15),)</f>
        <v>0</v>
      </c>
      <c r="P22" s="576">
        <f>IFERROR(SUMIFS('Rozpočet - HW a licencie'!$I$3:$I$102,'Rozpočet - HW a licencie'!$A$3:$A$102,'TCO TO BE - HW'!P$2,'Rozpočet - HW a licencie'!$C$3:$C$102,"HW",'Rozpočet - HW a licencie'!$G$3:$G$102,'TCO TO BE - HW'!$D12,'Rozpočet - HW a licencie'!$D$3:$D$102,'TCO TO BE - HW'!$B$15)+SUMIFS('Rozpočet - HW a licencie'!$I$3:$I$102,'Rozpočet - HW a licencie'!$A$3:$A$102,'TCO TO BE - HW'!P$2,'Rozpočet - HW a licencie'!$C$3:$C$102,"SW pre HW",'Rozpočet - HW a licencie'!$G$3:$G$102,'TCO TO BE - HW'!$D12,'Rozpočet - HW a licencie'!$D$3:$D$102,'TCO TO BE - HW'!$B$15),)</f>
        <v>0</v>
      </c>
      <c r="Q22" s="576">
        <f>IFERROR(SUMIFS('Rozpočet - HW a licencie'!$I$3:$I$102,'Rozpočet - HW a licencie'!$A$3:$A$102,'TCO TO BE - HW'!Q$2,'Rozpočet - HW a licencie'!$C$3:$C$102,"HW",'Rozpočet - HW a licencie'!$G$3:$G$102,'TCO TO BE - HW'!$D12,'Rozpočet - HW a licencie'!$D$3:$D$102,'TCO TO BE - HW'!$B$15)+SUMIFS('Rozpočet - HW a licencie'!$I$3:$I$102,'Rozpočet - HW a licencie'!$A$3:$A$102,'TCO TO BE - HW'!Q$2,'Rozpočet - HW a licencie'!$C$3:$C$102,"SW pre HW",'Rozpočet - HW a licencie'!$G$3:$G$102,'TCO TO BE - HW'!$D12,'Rozpočet - HW a licencie'!$D$3:$D$102,'TCO TO BE - HW'!$B$15),)</f>
        <v>0</v>
      </c>
      <c r="R22" s="576">
        <f>IFERROR(SUMIFS('Rozpočet - HW a licencie'!$I$3:$I$102,'Rozpočet - HW a licencie'!$A$3:$A$102,'TCO TO BE - HW'!R$2,'Rozpočet - HW a licencie'!$C$3:$C$102,"HW",'Rozpočet - HW a licencie'!$G$3:$G$102,'TCO TO BE - HW'!$D12,'Rozpočet - HW a licencie'!$D$3:$D$102,'TCO TO BE - HW'!$B$15)+SUMIFS('Rozpočet - HW a licencie'!$I$3:$I$102,'Rozpočet - HW a licencie'!$A$3:$A$102,'TCO TO BE - HW'!R$2,'Rozpočet - HW a licencie'!$C$3:$C$102,"SW pre HW",'Rozpočet - HW a licencie'!$G$3:$G$102,'TCO TO BE - HW'!$D12,'Rozpočet - HW a licencie'!$D$3:$D$102,'TCO TO BE - HW'!$B$15),)</f>
        <v>0</v>
      </c>
      <c r="S22" s="576">
        <f>IFERROR(SUMIFS('Rozpočet - HW a licencie'!$I$3:$I$102,'Rozpočet - HW a licencie'!$A$3:$A$102,'TCO TO BE - HW'!S$2,'Rozpočet - HW a licencie'!$C$3:$C$102,"HW",'Rozpočet - HW a licencie'!$G$3:$G$102,'TCO TO BE - HW'!$D12,'Rozpočet - HW a licencie'!$D$3:$D$102,'TCO TO BE - HW'!$B$15)+SUMIFS('Rozpočet - HW a licencie'!$I$3:$I$102,'Rozpočet - HW a licencie'!$A$3:$A$102,'TCO TO BE - HW'!S$2,'Rozpočet - HW a licencie'!$C$3:$C$102,"SW pre HW",'Rozpočet - HW a licencie'!$G$3:$G$102,'TCO TO BE - HW'!$D12,'Rozpočet - HW a licencie'!$D$3:$D$102,'TCO TO BE - HW'!$B$15),)</f>
        <v>0</v>
      </c>
      <c r="T22" s="576">
        <f>IFERROR(SUMIFS('Rozpočet - HW a licencie'!$I$3:$I$102,'Rozpočet - HW a licencie'!$A$3:$A$102,'TCO TO BE - HW'!T$2,'Rozpočet - HW a licencie'!$C$3:$C$102,"HW",'Rozpočet - HW a licencie'!$G$3:$G$102,'TCO TO BE - HW'!$D12,'Rozpočet - HW a licencie'!$D$3:$D$102,'TCO TO BE - HW'!$B$15)+SUMIFS('Rozpočet - HW a licencie'!$I$3:$I$102,'Rozpočet - HW a licencie'!$A$3:$A$102,'TCO TO BE - HW'!T$2,'Rozpočet - HW a licencie'!$C$3:$C$102,"SW pre HW",'Rozpočet - HW a licencie'!$G$3:$G$102,'TCO TO BE - HW'!$D12,'Rozpočet - HW a licencie'!$D$3:$D$102,'TCO TO BE - HW'!$B$15),)</f>
        <v>0</v>
      </c>
      <c r="U22" s="576">
        <f>IFERROR(SUMIFS('Rozpočet - HW a licencie'!$I$3:$I$102,'Rozpočet - HW a licencie'!$A$3:$A$102,'TCO TO BE - HW'!U$2,'Rozpočet - HW a licencie'!$C$3:$C$102,"HW",'Rozpočet - HW a licencie'!$G$3:$G$102,'TCO TO BE - HW'!$D12,'Rozpočet - HW a licencie'!$D$3:$D$102,'TCO TO BE - HW'!$B$15)+SUMIFS('Rozpočet - HW a licencie'!$I$3:$I$102,'Rozpočet - HW a licencie'!$A$3:$A$102,'TCO TO BE - HW'!U$2,'Rozpočet - HW a licencie'!$C$3:$C$102,"SW pre HW",'Rozpočet - HW a licencie'!$G$3:$G$102,'TCO TO BE - HW'!$D12,'Rozpočet - HW a licencie'!$D$3:$D$102,'TCO TO BE - HW'!$B$15),)</f>
        <v>0</v>
      </c>
      <c r="V22" s="576">
        <f>IFERROR(SUMIFS('Rozpočet - HW a licencie'!$I$3:$I$102,'Rozpočet - HW a licencie'!$A$3:$A$102,'TCO TO BE - HW'!V$2,'Rozpočet - HW a licencie'!$C$3:$C$102,"HW",'Rozpočet - HW a licencie'!$G$3:$G$102,'TCO TO BE - HW'!$D12,'Rozpočet - HW a licencie'!$D$3:$D$102,'TCO TO BE - HW'!$B$15)+SUMIFS('Rozpočet - HW a licencie'!$I$3:$I$102,'Rozpočet - HW a licencie'!$A$3:$A$102,'TCO TO BE - HW'!V$2,'Rozpočet - HW a licencie'!$C$3:$C$102,"SW pre HW",'Rozpočet - HW a licencie'!$G$3:$G$102,'TCO TO BE - HW'!$D12,'Rozpočet - HW a licencie'!$D$3:$D$102,'TCO TO BE - HW'!$B$15),)</f>
        <v>0</v>
      </c>
      <c r="W22" s="576">
        <f>IFERROR(SUMIFS('Rozpočet - HW a licencie'!$I$3:$I$102,'Rozpočet - HW a licencie'!$A$3:$A$102,'TCO TO BE - HW'!W$2,'Rozpočet - HW a licencie'!$C$3:$C$102,"HW",'Rozpočet - HW a licencie'!$G$3:$G$102,'TCO TO BE - HW'!$D12,'Rozpočet - HW a licencie'!$D$3:$D$102,'TCO TO BE - HW'!$B$15)+SUMIFS('Rozpočet - HW a licencie'!$I$3:$I$102,'Rozpočet - HW a licencie'!$A$3:$A$102,'TCO TO BE - HW'!W$2,'Rozpočet - HW a licencie'!$C$3:$C$102,"SW pre HW",'Rozpočet - HW a licencie'!$G$3:$G$102,'TCO TO BE - HW'!$D12,'Rozpočet - HW a licencie'!$D$3:$D$102,'TCO TO BE - HW'!$B$15),)</f>
        <v>0</v>
      </c>
      <c r="X22" s="576">
        <f>IFERROR(SUMIFS('Rozpočet - HW a licencie'!$I$3:$I$102,'Rozpočet - HW a licencie'!$A$3:$A$102,'TCO TO BE - HW'!X$2,'Rozpočet - HW a licencie'!$C$3:$C$102,"HW",'Rozpočet - HW a licencie'!$G$3:$G$102,'TCO TO BE - HW'!$D12,'Rozpočet - HW a licencie'!$D$3:$D$102,'TCO TO BE - HW'!$B$15)+SUMIFS('Rozpočet - HW a licencie'!$I$3:$I$102,'Rozpočet - HW a licencie'!$A$3:$A$102,'TCO TO BE - HW'!X$2,'Rozpočet - HW a licencie'!$C$3:$C$102,"SW pre HW",'Rozpočet - HW a licencie'!$G$3:$G$102,'TCO TO BE - HW'!$D12,'Rozpočet - HW a licencie'!$D$3:$D$102,'TCO TO BE - HW'!$B$15),)</f>
        <v>0</v>
      </c>
      <c r="Y22" s="576">
        <f>IFERROR(SUMIFS('Rozpočet - HW a licencie'!$I$3:$I$102,'Rozpočet - HW a licencie'!$A$3:$A$102,'TCO TO BE - HW'!Y$2,'Rozpočet - HW a licencie'!$C$3:$C$102,"HW",'Rozpočet - HW a licencie'!$G$3:$G$102,'TCO TO BE - HW'!$D12,'Rozpočet - HW a licencie'!$D$3:$D$102,'TCO TO BE - HW'!$B$15)+SUMIFS('Rozpočet - HW a licencie'!$I$3:$I$102,'Rozpočet - HW a licencie'!$A$3:$A$102,'TCO TO BE - HW'!Y$2,'Rozpočet - HW a licencie'!$C$3:$C$102,"SW pre HW",'Rozpočet - HW a licencie'!$G$3:$G$102,'TCO TO BE - HW'!$D12,'Rozpočet - HW a licencie'!$D$3:$D$102,'TCO TO BE - HW'!$B$15),)</f>
        <v>0</v>
      </c>
      <c r="Z22" s="576">
        <f>IFERROR(SUMIFS('Rozpočet - HW a licencie'!$I$3:$I$102,'Rozpočet - HW a licencie'!$A$3:$A$102,'TCO TO BE - HW'!Z$2,'Rozpočet - HW a licencie'!$C$3:$C$102,"HW",'Rozpočet - HW a licencie'!$G$3:$G$102,'TCO TO BE - HW'!$D12,'Rozpočet - HW a licencie'!$D$3:$D$102,'TCO TO BE - HW'!$B$15)+SUMIFS('Rozpočet - HW a licencie'!$I$3:$I$102,'Rozpočet - HW a licencie'!$A$3:$A$102,'TCO TO BE - HW'!Z$2,'Rozpočet - HW a licencie'!$C$3:$C$102,"SW pre HW",'Rozpočet - HW a licencie'!$G$3:$G$102,'TCO TO BE - HW'!$D12,'Rozpočet - HW a licencie'!$D$3:$D$102,'TCO TO BE - HW'!$B$15),)</f>
        <v>0</v>
      </c>
    </row>
    <row r="23" spans="1:26" hidden="1" outlineLevel="1">
      <c r="A23" s="875"/>
      <c r="B23" s="876"/>
      <c r="C23" s="876"/>
      <c r="D23" s="495">
        <v>9</v>
      </c>
      <c r="E23" s="68">
        <f t="shared" si="2"/>
        <v>0</v>
      </c>
      <c r="F23" s="576">
        <f>IFERROR(SUMIFS('Rozpočet - HW a licencie'!$I$3:$I$102,'Rozpočet - HW a licencie'!$A$3:$A$102,'TCO TO BE - HW'!F$2,'Rozpočet - HW a licencie'!$C$3:$C$102,"HW",'Rozpočet - HW a licencie'!$G$3:$G$102,'TCO TO BE - HW'!$D13,'Rozpočet - HW a licencie'!$D$3:$D$102,'TCO TO BE - HW'!$B$15)+SUMIFS('Rozpočet - HW a licencie'!$I$3:$I$102,'Rozpočet - HW a licencie'!$A$3:$A$102,'TCO TO BE - HW'!F$2,'Rozpočet - HW a licencie'!$C$3:$C$102,"SW pre HW",'Rozpočet - HW a licencie'!$G$3:$G$102,'TCO TO BE - HW'!$D13,'Rozpočet - HW a licencie'!$D$3:$D$102,'TCO TO BE - HW'!$B$15),)</f>
        <v>0</v>
      </c>
      <c r="G23" s="576">
        <f>IFERROR(SUMIFS('Rozpočet - HW a licencie'!$I$3:$I$102,'Rozpočet - HW a licencie'!$A$3:$A$102,'TCO TO BE - HW'!G$2,'Rozpočet - HW a licencie'!$C$3:$C$102,"HW",'Rozpočet - HW a licencie'!$G$3:$G$102,'TCO TO BE - HW'!$D13,'Rozpočet - HW a licencie'!$D$3:$D$102,'TCO TO BE - HW'!$B$15)+SUMIFS('Rozpočet - HW a licencie'!$I$3:$I$102,'Rozpočet - HW a licencie'!$A$3:$A$102,'TCO TO BE - HW'!G$2,'Rozpočet - HW a licencie'!$C$3:$C$102,"SW pre HW",'Rozpočet - HW a licencie'!$G$3:$G$102,'TCO TO BE - HW'!$D13,'Rozpočet - HW a licencie'!$D$3:$D$102,'TCO TO BE - HW'!$B$15),)</f>
        <v>0</v>
      </c>
      <c r="H23" s="576">
        <f>IFERROR(SUMIFS('Rozpočet - HW a licencie'!$I$3:$I$102,'Rozpočet - HW a licencie'!$A$3:$A$102,'TCO TO BE - HW'!H$2,'Rozpočet - HW a licencie'!$C$3:$C$102,"HW",'Rozpočet - HW a licencie'!$G$3:$G$102,'TCO TO BE - HW'!$D13,'Rozpočet - HW a licencie'!$D$3:$D$102,'TCO TO BE - HW'!$B$15)+SUMIFS('Rozpočet - HW a licencie'!$I$3:$I$102,'Rozpočet - HW a licencie'!$A$3:$A$102,'TCO TO BE - HW'!H$2,'Rozpočet - HW a licencie'!$C$3:$C$102,"SW pre HW",'Rozpočet - HW a licencie'!$G$3:$G$102,'TCO TO BE - HW'!$D13,'Rozpočet - HW a licencie'!$D$3:$D$102,'TCO TO BE - HW'!$B$15),)</f>
        <v>0</v>
      </c>
      <c r="I23" s="576">
        <f>IFERROR(SUMIFS('Rozpočet - HW a licencie'!$I$3:$I$102,'Rozpočet - HW a licencie'!$A$3:$A$102,'TCO TO BE - HW'!I$2,'Rozpočet - HW a licencie'!$C$3:$C$102,"HW",'Rozpočet - HW a licencie'!$G$3:$G$102,'TCO TO BE - HW'!$D13,'Rozpočet - HW a licencie'!$D$3:$D$102,'TCO TO BE - HW'!$B$15)+SUMIFS('Rozpočet - HW a licencie'!$I$3:$I$102,'Rozpočet - HW a licencie'!$A$3:$A$102,'TCO TO BE - HW'!I$2,'Rozpočet - HW a licencie'!$C$3:$C$102,"SW pre HW",'Rozpočet - HW a licencie'!$G$3:$G$102,'TCO TO BE - HW'!$D13,'Rozpočet - HW a licencie'!$D$3:$D$102,'TCO TO BE - HW'!$B$15),)</f>
        <v>0</v>
      </c>
      <c r="J23" s="576">
        <f>IFERROR(SUMIFS('Rozpočet - HW a licencie'!$I$3:$I$102,'Rozpočet - HW a licencie'!$A$3:$A$102,'TCO TO BE - HW'!J$2,'Rozpočet - HW a licencie'!$C$3:$C$102,"HW",'Rozpočet - HW a licencie'!$G$3:$G$102,'TCO TO BE - HW'!$D13,'Rozpočet - HW a licencie'!$D$3:$D$102,'TCO TO BE - HW'!$B$15)+SUMIFS('Rozpočet - HW a licencie'!$I$3:$I$102,'Rozpočet - HW a licencie'!$A$3:$A$102,'TCO TO BE - HW'!J$2,'Rozpočet - HW a licencie'!$C$3:$C$102,"SW pre HW",'Rozpočet - HW a licencie'!$G$3:$G$102,'TCO TO BE - HW'!$D13,'Rozpočet - HW a licencie'!$D$3:$D$102,'TCO TO BE - HW'!$B$15),)</f>
        <v>0</v>
      </c>
      <c r="K23" s="576">
        <f>IFERROR(SUMIFS('Rozpočet - HW a licencie'!$I$3:$I$102,'Rozpočet - HW a licencie'!$A$3:$A$102,'TCO TO BE - HW'!K$2,'Rozpočet - HW a licencie'!$C$3:$C$102,"HW",'Rozpočet - HW a licencie'!$G$3:$G$102,'TCO TO BE - HW'!$D13,'Rozpočet - HW a licencie'!$D$3:$D$102,'TCO TO BE - HW'!$B$15)+SUMIFS('Rozpočet - HW a licencie'!$I$3:$I$102,'Rozpočet - HW a licencie'!$A$3:$A$102,'TCO TO BE - HW'!K$2,'Rozpočet - HW a licencie'!$C$3:$C$102,"SW pre HW",'Rozpočet - HW a licencie'!$G$3:$G$102,'TCO TO BE - HW'!$D13,'Rozpočet - HW a licencie'!$D$3:$D$102,'TCO TO BE - HW'!$B$15),)</f>
        <v>0</v>
      </c>
      <c r="L23" s="576">
        <f>IFERROR(SUMIFS('Rozpočet - HW a licencie'!$I$3:$I$102,'Rozpočet - HW a licencie'!$A$3:$A$102,'TCO TO BE - HW'!L$2,'Rozpočet - HW a licencie'!$C$3:$C$102,"HW",'Rozpočet - HW a licencie'!$G$3:$G$102,'TCO TO BE - HW'!$D13,'Rozpočet - HW a licencie'!$D$3:$D$102,'TCO TO BE - HW'!$B$15)+SUMIFS('Rozpočet - HW a licencie'!$I$3:$I$102,'Rozpočet - HW a licencie'!$A$3:$A$102,'TCO TO BE - HW'!L$2,'Rozpočet - HW a licencie'!$C$3:$C$102,"SW pre HW",'Rozpočet - HW a licencie'!$G$3:$G$102,'TCO TO BE - HW'!$D13,'Rozpočet - HW a licencie'!$D$3:$D$102,'TCO TO BE - HW'!$B$15),)</f>
        <v>0</v>
      </c>
      <c r="M23" s="576">
        <f>IFERROR(SUMIFS('Rozpočet - HW a licencie'!$I$3:$I$102,'Rozpočet - HW a licencie'!$A$3:$A$102,'TCO TO BE - HW'!M$2,'Rozpočet - HW a licencie'!$C$3:$C$102,"HW",'Rozpočet - HW a licencie'!$G$3:$G$102,'TCO TO BE - HW'!$D13,'Rozpočet - HW a licencie'!$D$3:$D$102,'TCO TO BE - HW'!$B$15)+SUMIFS('Rozpočet - HW a licencie'!$I$3:$I$102,'Rozpočet - HW a licencie'!$A$3:$A$102,'TCO TO BE - HW'!M$2,'Rozpočet - HW a licencie'!$C$3:$C$102,"SW pre HW",'Rozpočet - HW a licencie'!$G$3:$G$102,'TCO TO BE - HW'!$D13,'Rozpočet - HW a licencie'!$D$3:$D$102,'TCO TO BE - HW'!$B$15),)</f>
        <v>0</v>
      </c>
      <c r="N23" s="576">
        <f>IFERROR(SUMIFS('Rozpočet - HW a licencie'!$I$3:$I$102,'Rozpočet - HW a licencie'!$A$3:$A$102,'TCO TO BE - HW'!N$2,'Rozpočet - HW a licencie'!$C$3:$C$102,"HW",'Rozpočet - HW a licencie'!$G$3:$G$102,'TCO TO BE - HW'!$D13,'Rozpočet - HW a licencie'!$D$3:$D$102,'TCO TO BE - HW'!$B$15)+SUMIFS('Rozpočet - HW a licencie'!$I$3:$I$102,'Rozpočet - HW a licencie'!$A$3:$A$102,'TCO TO BE - HW'!N$2,'Rozpočet - HW a licencie'!$C$3:$C$102,"SW pre HW",'Rozpočet - HW a licencie'!$G$3:$G$102,'TCO TO BE - HW'!$D13,'Rozpočet - HW a licencie'!$D$3:$D$102,'TCO TO BE - HW'!$B$15),)</f>
        <v>0</v>
      </c>
      <c r="O23" s="576">
        <f>IFERROR(SUMIFS('Rozpočet - HW a licencie'!$I$3:$I$102,'Rozpočet - HW a licencie'!$A$3:$A$102,'TCO TO BE - HW'!O$2,'Rozpočet - HW a licencie'!$C$3:$C$102,"HW",'Rozpočet - HW a licencie'!$G$3:$G$102,'TCO TO BE - HW'!$D13,'Rozpočet - HW a licencie'!$D$3:$D$102,'TCO TO BE - HW'!$B$15)+SUMIFS('Rozpočet - HW a licencie'!$I$3:$I$102,'Rozpočet - HW a licencie'!$A$3:$A$102,'TCO TO BE - HW'!O$2,'Rozpočet - HW a licencie'!$C$3:$C$102,"SW pre HW",'Rozpočet - HW a licencie'!$G$3:$G$102,'TCO TO BE - HW'!$D13,'Rozpočet - HW a licencie'!$D$3:$D$102,'TCO TO BE - HW'!$B$15),)</f>
        <v>0</v>
      </c>
      <c r="P23" s="576">
        <f>IFERROR(SUMIFS('Rozpočet - HW a licencie'!$I$3:$I$102,'Rozpočet - HW a licencie'!$A$3:$A$102,'TCO TO BE - HW'!P$2,'Rozpočet - HW a licencie'!$C$3:$C$102,"HW",'Rozpočet - HW a licencie'!$G$3:$G$102,'TCO TO BE - HW'!$D13,'Rozpočet - HW a licencie'!$D$3:$D$102,'TCO TO BE - HW'!$B$15)+SUMIFS('Rozpočet - HW a licencie'!$I$3:$I$102,'Rozpočet - HW a licencie'!$A$3:$A$102,'TCO TO BE - HW'!P$2,'Rozpočet - HW a licencie'!$C$3:$C$102,"SW pre HW",'Rozpočet - HW a licencie'!$G$3:$G$102,'TCO TO BE - HW'!$D13,'Rozpočet - HW a licencie'!$D$3:$D$102,'TCO TO BE - HW'!$B$15),)</f>
        <v>0</v>
      </c>
      <c r="Q23" s="576">
        <f>IFERROR(SUMIFS('Rozpočet - HW a licencie'!$I$3:$I$102,'Rozpočet - HW a licencie'!$A$3:$A$102,'TCO TO BE - HW'!Q$2,'Rozpočet - HW a licencie'!$C$3:$C$102,"HW",'Rozpočet - HW a licencie'!$G$3:$G$102,'TCO TO BE - HW'!$D13,'Rozpočet - HW a licencie'!$D$3:$D$102,'TCO TO BE - HW'!$B$15)+SUMIFS('Rozpočet - HW a licencie'!$I$3:$I$102,'Rozpočet - HW a licencie'!$A$3:$A$102,'TCO TO BE - HW'!Q$2,'Rozpočet - HW a licencie'!$C$3:$C$102,"SW pre HW",'Rozpočet - HW a licencie'!$G$3:$G$102,'TCO TO BE - HW'!$D13,'Rozpočet - HW a licencie'!$D$3:$D$102,'TCO TO BE - HW'!$B$15),)</f>
        <v>0</v>
      </c>
      <c r="R23" s="576">
        <f>IFERROR(SUMIFS('Rozpočet - HW a licencie'!$I$3:$I$102,'Rozpočet - HW a licencie'!$A$3:$A$102,'TCO TO BE - HW'!R$2,'Rozpočet - HW a licencie'!$C$3:$C$102,"HW",'Rozpočet - HW a licencie'!$G$3:$G$102,'TCO TO BE - HW'!$D13,'Rozpočet - HW a licencie'!$D$3:$D$102,'TCO TO BE - HW'!$B$15)+SUMIFS('Rozpočet - HW a licencie'!$I$3:$I$102,'Rozpočet - HW a licencie'!$A$3:$A$102,'TCO TO BE - HW'!R$2,'Rozpočet - HW a licencie'!$C$3:$C$102,"SW pre HW",'Rozpočet - HW a licencie'!$G$3:$G$102,'TCO TO BE - HW'!$D13,'Rozpočet - HW a licencie'!$D$3:$D$102,'TCO TO BE - HW'!$B$15),)</f>
        <v>0</v>
      </c>
      <c r="S23" s="576">
        <f>IFERROR(SUMIFS('Rozpočet - HW a licencie'!$I$3:$I$102,'Rozpočet - HW a licencie'!$A$3:$A$102,'TCO TO BE - HW'!S$2,'Rozpočet - HW a licencie'!$C$3:$C$102,"HW",'Rozpočet - HW a licencie'!$G$3:$G$102,'TCO TO BE - HW'!$D13,'Rozpočet - HW a licencie'!$D$3:$D$102,'TCO TO BE - HW'!$B$15)+SUMIFS('Rozpočet - HW a licencie'!$I$3:$I$102,'Rozpočet - HW a licencie'!$A$3:$A$102,'TCO TO BE - HW'!S$2,'Rozpočet - HW a licencie'!$C$3:$C$102,"SW pre HW",'Rozpočet - HW a licencie'!$G$3:$G$102,'TCO TO BE - HW'!$D13,'Rozpočet - HW a licencie'!$D$3:$D$102,'TCO TO BE - HW'!$B$15),)</f>
        <v>0</v>
      </c>
      <c r="T23" s="576">
        <f>IFERROR(SUMIFS('Rozpočet - HW a licencie'!$I$3:$I$102,'Rozpočet - HW a licencie'!$A$3:$A$102,'TCO TO BE - HW'!T$2,'Rozpočet - HW a licencie'!$C$3:$C$102,"HW",'Rozpočet - HW a licencie'!$G$3:$G$102,'TCO TO BE - HW'!$D13,'Rozpočet - HW a licencie'!$D$3:$D$102,'TCO TO BE - HW'!$B$15)+SUMIFS('Rozpočet - HW a licencie'!$I$3:$I$102,'Rozpočet - HW a licencie'!$A$3:$A$102,'TCO TO BE - HW'!T$2,'Rozpočet - HW a licencie'!$C$3:$C$102,"SW pre HW",'Rozpočet - HW a licencie'!$G$3:$G$102,'TCO TO BE - HW'!$D13,'Rozpočet - HW a licencie'!$D$3:$D$102,'TCO TO BE - HW'!$B$15),)</f>
        <v>0</v>
      </c>
      <c r="U23" s="576">
        <f>IFERROR(SUMIFS('Rozpočet - HW a licencie'!$I$3:$I$102,'Rozpočet - HW a licencie'!$A$3:$A$102,'TCO TO BE - HW'!U$2,'Rozpočet - HW a licencie'!$C$3:$C$102,"HW",'Rozpočet - HW a licencie'!$G$3:$G$102,'TCO TO BE - HW'!$D13,'Rozpočet - HW a licencie'!$D$3:$D$102,'TCO TO BE - HW'!$B$15)+SUMIFS('Rozpočet - HW a licencie'!$I$3:$I$102,'Rozpočet - HW a licencie'!$A$3:$A$102,'TCO TO BE - HW'!U$2,'Rozpočet - HW a licencie'!$C$3:$C$102,"SW pre HW",'Rozpočet - HW a licencie'!$G$3:$G$102,'TCO TO BE - HW'!$D13,'Rozpočet - HW a licencie'!$D$3:$D$102,'TCO TO BE - HW'!$B$15),)</f>
        <v>0</v>
      </c>
      <c r="V23" s="576">
        <f>IFERROR(SUMIFS('Rozpočet - HW a licencie'!$I$3:$I$102,'Rozpočet - HW a licencie'!$A$3:$A$102,'TCO TO BE - HW'!V$2,'Rozpočet - HW a licencie'!$C$3:$C$102,"HW",'Rozpočet - HW a licencie'!$G$3:$G$102,'TCO TO BE - HW'!$D13,'Rozpočet - HW a licencie'!$D$3:$D$102,'TCO TO BE - HW'!$B$15)+SUMIFS('Rozpočet - HW a licencie'!$I$3:$I$102,'Rozpočet - HW a licencie'!$A$3:$A$102,'TCO TO BE - HW'!V$2,'Rozpočet - HW a licencie'!$C$3:$C$102,"SW pre HW",'Rozpočet - HW a licencie'!$G$3:$G$102,'TCO TO BE - HW'!$D13,'Rozpočet - HW a licencie'!$D$3:$D$102,'TCO TO BE - HW'!$B$15),)</f>
        <v>0</v>
      </c>
      <c r="W23" s="576">
        <f>IFERROR(SUMIFS('Rozpočet - HW a licencie'!$I$3:$I$102,'Rozpočet - HW a licencie'!$A$3:$A$102,'TCO TO BE - HW'!W$2,'Rozpočet - HW a licencie'!$C$3:$C$102,"HW",'Rozpočet - HW a licencie'!$G$3:$G$102,'TCO TO BE - HW'!$D13,'Rozpočet - HW a licencie'!$D$3:$D$102,'TCO TO BE - HW'!$B$15)+SUMIFS('Rozpočet - HW a licencie'!$I$3:$I$102,'Rozpočet - HW a licencie'!$A$3:$A$102,'TCO TO BE - HW'!W$2,'Rozpočet - HW a licencie'!$C$3:$C$102,"SW pre HW",'Rozpočet - HW a licencie'!$G$3:$G$102,'TCO TO BE - HW'!$D13,'Rozpočet - HW a licencie'!$D$3:$D$102,'TCO TO BE - HW'!$B$15),)</f>
        <v>0</v>
      </c>
      <c r="X23" s="576">
        <f>IFERROR(SUMIFS('Rozpočet - HW a licencie'!$I$3:$I$102,'Rozpočet - HW a licencie'!$A$3:$A$102,'TCO TO BE - HW'!X$2,'Rozpočet - HW a licencie'!$C$3:$C$102,"HW",'Rozpočet - HW a licencie'!$G$3:$G$102,'TCO TO BE - HW'!$D13,'Rozpočet - HW a licencie'!$D$3:$D$102,'TCO TO BE - HW'!$B$15)+SUMIFS('Rozpočet - HW a licencie'!$I$3:$I$102,'Rozpočet - HW a licencie'!$A$3:$A$102,'TCO TO BE - HW'!X$2,'Rozpočet - HW a licencie'!$C$3:$C$102,"SW pre HW",'Rozpočet - HW a licencie'!$G$3:$G$102,'TCO TO BE - HW'!$D13,'Rozpočet - HW a licencie'!$D$3:$D$102,'TCO TO BE - HW'!$B$15),)</f>
        <v>0</v>
      </c>
      <c r="Y23" s="576">
        <f>IFERROR(SUMIFS('Rozpočet - HW a licencie'!$I$3:$I$102,'Rozpočet - HW a licencie'!$A$3:$A$102,'TCO TO BE - HW'!Y$2,'Rozpočet - HW a licencie'!$C$3:$C$102,"HW",'Rozpočet - HW a licencie'!$G$3:$G$102,'TCO TO BE - HW'!$D13,'Rozpočet - HW a licencie'!$D$3:$D$102,'TCO TO BE - HW'!$B$15)+SUMIFS('Rozpočet - HW a licencie'!$I$3:$I$102,'Rozpočet - HW a licencie'!$A$3:$A$102,'TCO TO BE - HW'!Y$2,'Rozpočet - HW a licencie'!$C$3:$C$102,"SW pre HW",'Rozpočet - HW a licencie'!$G$3:$G$102,'TCO TO BE - HW'!$D13,'Rozpočet - HW a licencie'!$D$3:$D$102,'TCO TO BE - HW'!$B$15),)</f>
        <v>0</v>
      </c>
      <c r="Z23" s="576">
        <f>IFERROR(SUMIFS('Rozpočet - HW a licencie'!$I$3:$I$102,'Rozpočet - HW a licencie'!$A$3:$A$102,'TCO TO BE - HW'!Z$2,'Rozpočet - HW a licencie'!$C$3:$C$102,"HW",'Rozpočet - HW a licencie'!$G$3:$G$102,'TCO TO BE - HW'!$D13,'Rozpočet - HW a licencie'!$D$3:$D$102,'TCO TO BE - HW'!$B$15)+SUMIFS('Rozpočet - HW a licencie'!$I$3:$I$102,'Rozpočet - HW a licencie'!$A$3:$A$102,'TCO TO BE - HW'!Z$2,'Rozpočet - HW a licencie'!$C$3:$C$102,"SW pre HW",'Rozpočet - HW a licencie'!$G$3:$G$102,'TCO TO BE - HW'!$D13,'Rozpočet - HW a licencie'!$D$3:$D$102,'TCO TO BE - HW'!$B$15),)</f>
        <v>0</v>
      </c>
    </row>
    <row r="24" spans="1:26" ht="15.75" hidden="1" outlineLevel="1" thickBot="1">
      <c r="A24" s="875"/>
      <c r="B24" s="876"/>
      <c r="C24" s="876"/>
      <c r="D24" s="496">
        <v>10</v>
      </c>
      <c r="E24" s="69">
        <f t="shared" si="2"/>
        <v>0</v>
      </c>
      <c r="F24" s="577">
        <f>IFERROR(SUMIFS('Rozpočet - HW a licencie'!$I$3:$I$102,'Rozpočet - HW a licencie'!$A$3:$A$102,'TCO TO BE - HW'!F$2,'Rozpočet - HW a licencie'!$C$3:$C$102,"HW",'Rozpočet - HW a licencie'!$G$3:$G$102,'TCO TO BE - HW'!$D14,'Rozpočet - HW a licencie'!$D$3:$D$102,'TCO TO BE - HW'!$B$15)+SUMIFS('Rozpočet - HW a licencie'!$I$3:$I$102,'Rozpočet - HW a licencie'!$A$3:$A$102,'TCO TO BE - HW'!F$2,'Rozpočet - HW a licencie'!$C$3:$C$102,"SW pre HW",'Rozpočet - HW a licencie'!$G$3:$G$102,'TCO TO BE - HW'!$D14,'Rozpočet - HW a licencie'!$D$3:$D$102,'TCO TO BE - HW'!$B$15),)</f>
        <v>0</v>
      </c>
      <c r="G24" s="577">
        <f>IFERROR(SUMIFS('Rozpočet - HW a licencie'!$I$3:$I$102,'Rozpočet - HW a licencie'!$A$3:$A$102,'TCO TO BE - HW'!G$2,'Rozpočet - HW a licencie'!$C$3:$C$102,"HW",'Rozpočet - HW a licencie'!$G$3:$G$102,'TCO TO BE - HW'!$D14,'Rozpočet - HW a licencie'!$D$3:$D$102,'TCO TO BE - HW'!$B$15)+SUMIFS('Rozpočet - HW a licencie'!$I$3:$I$102,'Rozpočet - HW a licencie'!$A$3:$A$102,'TCO TO BE - HW'!G$2,'Rozpočet - HW a licencie'!$C$3:$C$102,"SW pre HW",'Rozpočet - HW a licencie'!$G$3:$G$102,'TCO TO BE - HW'!$D14,'Rozpočet - HW a licencie'!$D$3:$D$102,'TCO TO BE - HW'!$B$15),)</f>
        <v>0</v>
      </c>
      <c r="H24" s="577">
        <f>IFERROR(SUMIFS('Rozpočet - HW a licencie'!$I$3:$I$102,'Rozpočet - HW a licencie'!$A$3:$A$102,'TCO TO BE - HW'!H$2,'Rozpočet - HW a licencie'!$C$3:$C$102,"HW",'Rozpočet - HW a licencie'!$G$3:$G$102,'TCO TO BE - HW'!$D14,'Rozpočet - HW a licencie'!$D$3:$D$102,'TCO TO BE - HW'!$B$15)+SUMIFS('Rozpočet - HW a licencie'!$I$3:$I$102,'Rozpočet - HW a licencie'!$A$3:$A$102,'TCO TO BE - HW'!H$2,'Rozpočet - HW a licencie'!$C$3:$C$102,"SW pre HW",'Rozpočet - HW a licencie'!$G$3:$G$102,'TCO TO BE - HW'!$D14,'Rozpočet - HW a licencie'!$D$3:$D$102,'TCO TO BE - HW'!$B$15),)</f>
        <v>0</v>
      </c>
      <c r="I24" s="577">
        <f>IFERROR(SUMIFS('Rozpočet - HW a licencie'!$I$3:$I$102,'Rozpočet - HW a licencie'!$A$3:$A$102,'TCO TO BE - HW'!I$2,'Rozpočet - HW a licencie'!$C$3:$C$102,"HW",'Rozpočet - HW a licencie'!$G$3:$G$102,'TCO TO BE - HW'!$D14,'Rozpočet - HW a licencie'!$D$3:$D$102,'TCO TO BE - HW'!$B$15)+SUMIFS('Rozpočet - HW a licencie'!$I$3:$I$102,'Rozpočet - HW a licencie'!$A$3:$A$102,'TCO TO BE - HW'!I$2,'Rozpočet - HW a licencie'!$C$3:$C$102,"SW pre HW",'Rozpočet - HW a licencie'!$G$3:$G$102,'TCO TO BE - HW'!$D14,'Rozpočet - HW a licencie'!$D$3:$D$102,'TCO TO BE - HW'!$B$15),)</f>
        <v>0</v>
      </c>
      <c r="J24" s="577">
        <f>IFERROR(SUMIFS('Rozpočet - HW a licencie'!$I$3:$I$102,'Rozpočet - HW a licencie'!$A$3:$A$102,'TCO TO BE - HW'!J$2,'Rozpočet - HW a licencie'!$C$3:$C$102,"HW",'Rozpočet - HW a licencie'!$G$3:$G$102,'TCO TO BE - HW'!$D14,'Rozpočet - HW a licencie'!$D$3:$D$102,'TCO TO BE - HW'!$B$15)+SUMIFS('Rozpočet - HW a licencie'!$I$3:$I$102,'Rozpočet - HW a licencie'!$A$3:$A$102,'TCO TO BE - HW'!J$2,'Rozpočet - HW a licencie'!$C$3:$C$102,"SW pre HW",'Rozpočet - HW a licencie'!$G$3:$G$102,'TCO TO BE - HW'!$D14,'Rozpočet - HW a licencie'!$D$3:$D$102,'TCO TO BE - HW'!$B$15),)</f>
        <v>0</v>
      </c>
      <c r="K24" s="577">
        <f>IFERROR(SUMIFS('Rozpočet - HW a licencie'!$I$3:$I$102,'Rozpočet - HW a licencie'!$A$3:$A$102,'TCO TO BE - HW'!K$2,'Rozpočet - HW a licencie'!$C$3:$C$102,"HW",'Rozpočet - HW a licencie'!$G$3:$G$102,'TCO TO BE - HW'!$D14,'Rozpočet - HW a licencie'!$D$3:$D$102,'TCO TO BE - HW'!$B$15)+SUMIFS('Rozpočet - HW a licencie'!$I$3:$I$102,'Rozpočet - HW a licencie'!$A$3:$A$102,'TCO TO BE - HW'!K$2,'Rozpočet - HW a licencie'!$C$3:$C$102,"SW pre HW",'Rozpočet - HW a licencie'!$G$3:$G$102,'TCO TO BE - HW'!$D14,'Rozpočet - HW a licencie'!$D$3:$D$102,'TCO TO BE - HW'!$B$15),)</f>
        <v>0</v>
      </c>
      <c r="L24" s="577">
        <f>IFERROR(SUMIFS('Rozpočet - HW a licencie'!$I$3:$I$102,'Rozpočet - HW a licencie'!$A$3:$A$102,'TCO TO BE - HW'!L$2,'Rozpočet - HW a licencie'!$C$3:$C$102,"HW",'Rozpočet - HW a licencie'!$G$3:$G$102,'TCO TO BE - HW'!$D14,'Rozpočet - HW a licencie'!$D$3:$D$102,'TCO TO BE - HW'!$B$15)+SUMIFS('Rozpočet - HW a licencie'!$I$3:$I$102,'Rozpočet - HW a licencie'!$A$3:$A$102,'TCO TO BE - HW'!L$2,'Rozpočet - HW a licencie'!$C$3:$C$102,"SW pre HW",'Rozpočet - HW a licencie'!$G$3:$G$102,'TCO TO BE - HW'!$D14,'Rozpočet - HW a licencie'!$D$3:$D$102,'TCO TO BE - HW'!$B$15),)</f>
        <v>0</v>
      </c>
      <c r="M24" s="577">
        <f>IFERROR(SUMIFS('Rozpočet - HW a licencie'!$I$3:$I$102,'Rozpočet - HW a licencie'!$A$3:$A$102,'TCO TO BE - HW'!M$2,'Rozpočet - HW a licencie'!$C$3:$C$102,"HW",'Rozpočet - HW a licencie'!$G$3:$G$102,'TCO TO BE - HW'!$D14,'Rozpočet - HW a licencie'!$D$3:$D$102,'TCO TO BE - HW'!$B$15)+SUMIFS('Rozpočet - HW a licencie'!$I$3:$I$102,'Rozpočet - HW a licencie'!$A$3:$A$102,'TCO TO BE - HW'!M$2,'Rozpočet - HW a licencie'!$C$3:$C$102,"SW pre HW",'Rozpočet - HW a licencie'!$G$3:$G$102,'TCO TO BE - HW'!$D14,'Rozpočet - HW a licencie'!$D$3:$D$102,'TCO TO BE - HW'!$B$15),)</f>
        <v>0</v>
      </c>
      <c r="N24" s="577">
        <f>IFERROR(SUMIFS('Rozpočet - HW a licencie'!$I$3:$I$102,'Rozpočet - HW a licencie'!$A$3:$A$102,'TCO TO BE - HW'!N$2,'Rozpočet - HW a licencie'!$C$3:$C$102,"HW",'Rozpočet - HW a licencie'!$G$3:$G$102,'TCO TO BE - HW'!$D14,'Rozpočet - HW a licencie'!$D$3:$D$102,'TCO TO BE - HW'!$B$15)+SUMIFS('Rozpočet - HW a licencie'!$I$3:$I$102,'Rozpočet - HW a licencie'!$A$3:$A$102,'TCO TO BE - HW'!N$2,'Rozpočet - HW a licencie'!$C$3:$C$102,"SW pre HW",'Rozpočet - HW a licencie'!$G$3:$G$102,'TCO TO BE - HW'!$D14,'Rozpočet - HW a licencie'!$D$3:$D$102,'TCO TO BE - HW'!$B$15),)</f>
        <v>0</v>
      </c>
      <c r="O24" s="577">
        <f>IFERROR(SUMIFS('Rozpočet - HW a licencie'!$I$3:$I$102,'Rozpočet - HW a licencie'!$A$3:$A$102,'TCO TO BE - HW'!O$2,'Rozpočet - HW a licencie'!$C$3:$C$102,"HW",'Rozpočet - HW a licencie'!$G$3:$G$102,'TCO TO BE - HW'!$D14,'Rozpočet - HW a licencie'!$D$3:$D$102,'TCO TO BE - HW'!$B$15)+SUMIFS('Rozpočet - HW a licencie'!$I$3:$I$102,'Rozpočet - HW a licencie'!$A$3:$A$102,'TCO TO BE - HW'!O$2,'Rozpočet - HW a licencie'!$C$3:$C$102,"SW pre HW",'Rozpočet - HW a licencie'!$G$3:$G$102,'TCO TO BE - HW'!$D14,'Rozpočet - HW a licencie'!$D$3:$D$102,'TCO TO BE - HW'!$B$15),)</f>
        <v>0</v>
      </c>
      <c r="P24" s="577">
        <f>IFERROR(SUMIFS('Rozpočet - HW a licencie'!$I$3:$I$102,'Rozpočet - HW a licencie'!$A$3:$A$102,'TCO TO BE - HW'!P$2,'Rozpočet - HW a licencie'!$C$3:$C$102,"HW",'Rozpočet - HW a licencie'!$G$3:$G$102,'TCO TO BE - HW'!$D14,'Rozpočet - HW a licencie'!$D$3:$D$102,'TCO TO BE - HW'!$B$15)+SUMIFS('Rozpočet - HW a licencie'!$I$3:$I$102,'Rozpočet - HW a licencie'!$A$3:$A$102,'TCO TO BE - HW'!P$2,'Rozpočet - HW a licencie'!$C$3:$C$102,"SW pre HW",'Rozpočet - HW a licencie'!$G$3:$G$102,'TCO TO BE - HW'!$D14,'Rozpočet - HW a licencie'!$D$3:$D$102,'TCO TO BE - HW'!$B$15),)</f>
        <v>0</v>
      </c>
      <c r="Q24" s="577">
        <f>IFERROR(SUMIFS('Rozpočet - HW a licencie'!$I$3:$I$102,'Rozpočet - HW a licencie'!$A$3:$A$102,'TCO TO BE - HW'!Q$2,'Rozpočet - HW a licencie'!$C$3:$C$102,"HW",'Rozpočet - HW a licencie'!$G$3:$G$102,'TCO TO BE - HW'!$D14,'Rozpočet - HW a licencie'!$D$3:$D$102,'TCO TO BE - HW'!$B$15)+SUMIFS('Rozpočet - HW a licencie'!$I$3:$I$102,'Rozpočet - HW a licencie'!$A$3:$A$102,'TCO TO BE - HW'!Q$2,'Rozpočet - HW a licencie'!$C$3:$C$102,"SW pre HW",'Rozpočet - HW a licencie'!$G$3:$G$102,'TCO TO BE - HW'!$D14,'Rozpočet - HW a licencie'!$D$3:$D$102,'TCO TO BE - HW'!$B$15),)</f>
        <v>0</v>
      </c>
      <c r="R24" s="577">
        <f>IFERROR(SUMIFS('Rozpočet - HW a licencie'!$I$3:$I$102,'Rozpočet - HW a licencie'!$A$3:$A$102,'TCO TO BE - HW'!R$2,'Rozpočet - HW a licencie'!$C$3:$C$102,"HW",'Rozpočet - HW a licencie'!$G$3:$G$102,'TCO TO BE - HW'!$D14,'Rozpočet - HW a licencie'!$D$3:$D$102,'TCO TO BE - HW'!$B$15)+SUMIFS('Rozpočet - HW a licencie'!$I$3:$I$102,'Rozpočet - HW a licencie'!$A$3:$A$102,'TCO TO BE - HW'!R$2,'Rozpočet - HW a licencie'!$C$3:$C$102,"SW pre HW",'Rozpočet - HW a licencie'!$G$3:$G$102,'TCO TO BE - HW'!$D14,'Rozpočet - HW a licencie'!$D$3:$D$102,'TCO TO BE - HW'!$B$15),)</f>
        <v>0</v>
      </c>
      <c r="S24" s="577">
        <f>IFERROR(SUMIFS('Rozpočet - HW a licencie'!$I$3:$I$102,'Rozpočet - HW a licencie'!$A$3:$A$102,'TCO TO BE - HW'!S$2,'Rozpočet - HW a licencie'!$C$3:$C$102,"HW",'Rozpočet - HW a licencie'!$G$3:$G$102,'TCO TO BE - HW'!$D14,'Rozpočet - HW a licencie'!$D$3:$D$102,'TCO TO BE - HW'!$B$15)+SUMIFS('Rozpočet - HW a licencie'!$I$3:$I$102,'Rozpočet - HW a licencie'!$A$3:$A$102,'TCO TO BE - HW'!S$2,'Rozpočet - HW a licencie'!$C$3:$C$102,"SW pre HW",'Rozpočet - HW a licencie'!$G$3:$G$102,'TCO TO BE - HW'!$D14,'Rozpočet - HW a licencie'!$D$3:$D$102,'TCO TO BE - HW'!$B$15),)</f>
        <v>0</v>
      </c>
      <c r="T24" s="577">
        <f>IFERROR(SUMIFS('Rozpočet - HW a licencie'!$I$3:$I$102,'Rozpočet - HW a licencie'!$A$3:$A$102,'TCO TO BE - HW'!T$2,'Rozpočet - HW a licencie'!$C$3:$C$102,"HW",'Rozpočet - HW a licencie'!$G$3:$G$102,'TCO TO BE - HW'!$D14,'Rozpočet - HW a licencie'!$D$3:$D$102,'TCO TO BE - HW'!$B$15)+SUMIFS('Rozpočet - HW a licencie'!$I$3:$I$102,'Rozpočet - HW a licencie'!$A$3:$A$102,'TCO TO BE - HW'!T$2,'Rozpočet - HW a licencie'!$C$3:$C$102,"SW pre HW",'Rozpočet - HW a licencie'!$G$3:$G$102,'TCO TO BE - HW'!$D14,'Rozpočet - HW a licencie'!$D$3:$D$102,'TCO TO BE - HW'!$B$15),)</f>
        <v>0</v>
      </c>
      <c r="U24" s="577">
        <f>IFERROR(SUMIFS('Rozpočet - HW a licencie'!$I$3:$I$102,'Rozpočet - HW a licencie'!$A$3:$A$102,'TCO TO BE - HW'!U$2,'Rozpočet - HW a licencie'!$C$3:$C$102,"HW",'Rozpočet - HW a licencie'!$G$3:$G$102,'TCO TO BE - HW'!$D14,'Rozpočet - HW a licencie'!$D$3:$D$102,'TCO TO BE - HW'!$B$15)+SUMIFS('Rozpočet - HW a licencie'!$I$3:$I$102,'Rozpočet - HW a licencie'!$A$3:$A$102,'TCO TO BE - HW'!U$2,'Rozpočet - HW a licencie'!$C$3:$C$102,"SW pre HW",'Rozpočet - HW a licencie'!$G$3:$G$102,'TCO TO BE - HW'!$D14,'Rozpočet - HW a licencie'!$D$3:$D$102,'TCO TO BE - HW'!$B$15),)</f>
        <v>0</v>
      </c>
      <c r="V24" s="577">
        <f>IFERROR(SUMIFS('Rozpočet - HW a licencie'!$I$3:$I$102,'Rozpočet - HW a licencie'!$A$3:$A$102,'TCO TO BE - HW'!V$2,'Rozpočet - HW a licencie'!$C$3:$C$102,"HW",'Rozpočet - HW a licencie'!$G$3:$G$102,'TCO TO BE - HW'!$D14,'Rozpočet - HW a licencie'!$D$3:$D$102,'TCO TO BE - HW'!$B$15)+SUMIFS('Rozpočet - HW a licencie'!$I$3:$I$102,'Rozpočet - HW a licencie'!$A$3:$A$102,'TCO TO BE - HW'!V$2,'Rozpočet - HW a licencie'!$C$3:$C$102,"SW pre HW",'Rozpočet - HW a licencie'!$G$3:$G$102,'TCO TO BE - HW'!$D14,'Rozpočet - HW a licencie'!$D$3:$D$102,'TCO TO BE - HW'!$B$15),)</f>
        <v>0</v>
      </c>
      <c r="W24" s="577">
        <f>IFERROR(SUMIFS('Rozpočet - HW a licencie'!$I$3:$I$102,'Rozpočet - HW a licencie'!$A$3:$A$102,'TCO TO BE - HW'!W$2,'Rozpočet - HW a licencie'!$C$3:$C$102,"HW",'Rozpočet - HW a licencie'!$G$3:$G$102,'TCO TO BE - HW'!$D14,'Rozpočet - HW a licencie'!$D$3:$D$102,'TCO TO BE - HW'!$B$15)+SUMIFS('Rozpočet - HW a licencie'!$I$3:$I$102,'Rozpočet - HW a licencie'!$A$3:$A$102,'TCO TO BE - HW'!W$2,'Rozpočet - HW a licencie'!$C$3:$C$102,"SW pre HW",'Rozpočet - HW a licencie'!$G$3:$G$102,'TCO TO BE - HW'!$D14,'Rozpočet - HW a licencie'!$D$3:$D$102,'TCO TO BE - HW'!$B$15),)</f>
        <v>0</v>
      </c>
      <c r="X24" s="577">
        <f>IFERROR(SUMIFS('Rozpočet - HW a licencie'!$I$3:$I$102,'Rozpočet - HW a licencie'!$A$3:$A$102,'TCO TO BE - HW'!X$2,'Rozpočet - HW a licencie'!$C$3:$C$102,"HW",'Rozpočet - HW a licencie'!$G$3:$G$102,'TCO TO BE - HW'!$D14,'Rozpočet - HW a licencie'!$D$3:$D$102,'TCO TO BE - HW'!$B$15)+SUMIFS('Rozpočet - HW a licencie'!$I$3:$I$102,'Rozpočet - HW a licencie'!$A$3:$A$102,'TCO TO BE - HW'!X$2,'Rozpočet - HW a licencie'!$C$3:$C$102,"SW pre HW",'Rozpočet - HW a licencie'!$G$3:$G$102,'TCO TO BE - HW'!$D14,'Rozpočet - HW a licencie'!$D$3:$D$102,'TCO TO BE - HW'!$B$15),)</f>
        <v>0</v>
      </c>
      <c r="Y24" s="577">
        <f>IFERROR(SUMIFS('Rozpočet - HW a licencie'!$I$3:$I$102,'Rozpočet - HW a licencie'!$A$3:$A$102,'TCO TO BE - HW'!Y$2,'Rozpočet - HW a licencie'!$C$3:$C$102,"HW",'Rozpočet - HW a licencie'!$G$3:$G$102,'TCO TO BE - HW'!$D14,'Rozpočet - HW a licencie'!$D$3:$D$102,'TCO TO BE - HW'!$B$15)+SUMIFS('Rozpočet - HW a licencie'!$I$3:$I$102,'Rozpočet - HW a licencie'!$A$3:$A$102,'TCO TO BE - HW'!Y$2,'Rozpočet - HW a licencie'!$C$3:$C$102,"SW pre HW",'Rozpočet - HW a licencie'!$G$3:$G$102,'TCO TO BE - HW'!$D14,'Rozpočet - HW a licencie'!$D$3:$D$102,'TCO TO BE - HW'!$B$15),)</f>
        <v>0</v>
      </c>
      <c r="Z24" s="577">
        <f>IFERROR(SUMIFS('Rozpočet - HW a licencie'!$I$3:$I$102,'Rozpočet - HW a licencie'!$A$3:$A$102,'TCO TO BE - HW'!Z$2,'Rozpočet - HW a licencie'!$C$3:$C$102,"HW",'Rozpočet - HW a licencie'!$G$3:$G$102,'TCO TO BE - HW'!$D14,'Rozpočet - HW a licencie'!$D$3:$D$102,'TCO TO BE - HW'!$B$15)+SUMIFS('Rozpočet - HW a licencie'!$I$3:$I$102,'Rozpočet - HW a licencie'!$A$3:$A$102,'TCO TO BE - HW'!Z$2,'Rozpočet - HW a licencie'!$C$3:$C$102,"SW pre HW",'Rozpočet - HW a licencie'!$G$3:$G$102,'TCO TO BE - HW'!$D14,'Rozpočet - HW a licencie'!$D$3:$D$102,'TCO TO BE - HW'!$B$15),)</f>
        <v>0</v>
      </c>
    </row>
    <row r="25" spans="1:26" hidden="1" outlineLevel="1">
      <c r="A25" s="875" t="s">
        <v>421</v>
      </c>
      <c r="B25" s="876" t="s">
        <v>76</v>
      </c>
      <c r="C25" s="876">
        <v>637040</v>
      </c>
      <c r="D25" s="494">
        <v>1</v>
      </c>
      <c r="E25" s="68">
        <f t="shared" ref="E25:E34" si="3">SUM(F25:Z25)</f>
        <v>0</v>
      </c>
      <c r="F25" s="578">
        <v>0</v>
      </c>
      <c r="G25" s="578">
        <v>0</v>
      </c>
      <c r="H25" s="578">
        <v>0</v>
      </c>
      <c r="I25" s="578">
        <v>0</v>
      </c>
      <c r="J25" s="578">
        <v>0</v>
      </c>
      <c r="K25" s="578">
        <v>0</v>
      </c>
      <c r="L25" s="578">
        <v>0</v>
      </c>
      <c r="M25" s="578">
        <v>0</v>
      </c>
      <c r="N25" s="578">
        <v>0</v>
      </c>
      <c r="O25" s="578">
        <v>0</v>
      </c>
      <c r="P25" s="578">
        <v>0</v>
      </c>
      <c r="Q25" s="578">
        <v>0</v>
      </c>
      <c r="R25" s="578">
        <v>0</v>
      </c>
      <c r="S25" s="578">
        <v>0</v>
      </c>
      <c r="T25" s="578">
        <v>0</v>
      </c>
      <c r="U25" s="578">
        <v>0</v>
      </c>
      <c r="V25" s="578">
        <v>0</v>
      </c>
      <c r="W25" s="578">
        <v>0</v>
      </c>
      <c r="X25" s="578">
        <v>0</v>
      </c>
      <c r="Y25" s="578">
        <v>0</v>
      </c>
      <c r="Z25" s="578">
        <v>0</v>
      </c>
    </row>
    <row r="26" spans="1:26" hidden="1" outlineLevel="1">
      <c r="A26" s="875"/>
      <c r="B26" s="876"/>
      <c r="C26" s="876"/>
      <c r="D26" s="495">
        <v>2</v>
      </c>
      <c r="E26" s="68">
        <f t="shared" si="3"/>
        <v>0</v>
      </c>
      <c r="F26" s="579">
        <v>0</v>
      </c>
      <c r="G26" s="579">
        <v>0</v>
      </c>
      <c r="H26" s="579">
        <v>0</v>
      </c>
      <c r="I26" s="579">
        <v>0</v>
      </c>
      <c r="J26" s="579">
        <v>0</v>
      </c>
      <c r="K26" s="579">
        <v>0</v>
      </c>
      <c r="L26" s="579">
        <v>0</v>
      </c>
      <c r="M26" s="579">
        <v>0</v>
      </c>
      <c r="N26" s="579">
        <v>0</v>
      </c>
      <c r="O26" s="579">
        <v>0</v>
      </c>
      <c r="P26" s="579">
        <v>0</v>
      </c>
      <c r="Q26" s="579">
        <v>0</v>
      </c>
      <c r="R26" s="579">
        <v>0</v>
      </c>
      <c r="S26" s="579">
        <v>0</v>
      </c>
      <c r="T26" s="579">
        <v>0</v>
      </c>
      <c r="U26" s="579">
        <v>0</v>
      </c>
      <c r="V26" s="579">
        <v>0</v>
      </c>
      <c r="W26" s="579">
        <v>0</v>
      </c>
      <c r="X26" s="579">
        <v>0</v>
      </c>
      <c r="Y26" s="579">
        <v>0</v>
      </c>
      <c r="Z26" s="579">
        <v>0</v>
      </c>
    </row>
    <row r="27" spans="1:26" hidden="1" outlineLevel="1">
      <c r="A27" s="875"/>
      <c r="B27" s="876"/>
      <c r="C27" s="876"/>
      <c r="D27" s="495">
        <v>3</v>
      </c>
      <c r="E27" s="68">
        <f t="shared" si="3"/>
        <v>0</v>
      </c>
      <c r="F27" s="579">
        <v>0</v>
      </c>
      <c r="G27" s="579">
        <v>0</v>
      </c>
      <c r="H27" s="579">
        <v>0</v>
      </c>
      <c r="I27" s="579">
        <v>0</v>
      </c>
      <c r="J27" s="579">
        <v>0</v>
      </c>
      <c r="K27" s="579">
        <v>0</v>
      </c>
      <c r="L27" s="579">
        <v>0</v>
      </c>
      <c r="M27" s="579">
        <v>0</v>
      </c>
      <c r="N27" s="579">
        <v>0</v>
      </c>
      <c r="O27" s="579">
        <v>0</v>
      </c>
      <c r="P27" s="579">
        <v>0</v>
      </c>
      <c r="Q27" s="579">
        <v>0</v>
      </c>
      <c r="R27" s="579">
        <v>0</v>
      </c>
      <c r="S27" s="579">
        <v>0</v>
      </c>
      <c r="T27" s="579">
        <v>0</v>
      </c>
      <c r="U27" s="579">
        <v>0</v>
      </c>
      <c r="V27" s="579">
        <v>0</v>
      </c>
      <c r="W27" s="579">
        <v>0</v>
      </c>
      <c r="X27" s="579">
        <v>0</v>
      </c>
      <c r="Y27" s="579">
        <v>0</v>
      </c>
      <c r="Z27" s="579">
        <v>0</v>
      </c>
    </row>
    <row r="28" spans="1:26" hidden="1" outlineLevel="1">
      <c r="A28" s="875"/>
      <c r="B28" s="876"/>
      <c r="C28" s="876"/>
      <c r="D28" s="495">
        <v>4</v>
      </c>
      <c r="E28" s="68">
        <f t="shared" si="3"/>
        <v>0</v>
      </c>
      <c r="F28" s="579">
        <v>0</v>
      </c>
      <c r="G28" s="579">
        <v>0</v>
      </c>
      <c r="H28" s="579">
        <v>0</v>
      </c>
      <c r="I28" s="579">
        <v>0</v>
      </c>
      <c r="J28" s="579">
        <v>0</v>
      </c>
      <c r="K28" s="579">
        <v>0</v>
      </c>
      <c r="L28" s="579">
        <v>0</v>
      </c>
      <c r="M28" s="579">
        <v>0</v>
      </c>
      <c r="N28" s="579">
        <v>0</v>
      </c>
      <c r="O28" s="579">
        <v>0</v>
      </c>
      <c r="P28" s="579">
        <v>0</v>
      </c>
      <c r="Q28" s="579">
        <v>0</v>
      </c>
      <c r="R28" s="579">
        <v>0</v>
      </c>
      <c r="S28" s="579">
        <v>0</v>
      </c>
      <c r="T28" s="579">
        <v>0</v>
      </c>
      <c r="U28" s="579">
        <v>0</v>
      </c>
      <c r="V28" s="579">
        <v>0</v>
      </c>
      <c r="W28" s="579">
        <v>0</v>
      </c>
      <c r="X28" s="579">
        <v>0</v>
      </c>
      <c r="Y28" s="579">
        <v>0</v>
      </c>
      <c r="Z28" s="579">
        <v>0</v>
      </c>
    </row>
    <row r="29" spans="1:26" hidden="1" outlineLevel="1">
      <c r="A29" s="875"/>
      <c r="B29" s="876"/>
      <c r="C29" s="876"/>
      <c r="D29" s="495">
        <v>5</v>
      </c>
      <c r="E29" s="68">
        <f t="shared" si="3"/>
        <v>0</v>
      </c>
      <c r="F29" s="579">
        <v>0</v>
      </c>
      <c r="G29" s="579">
        <v>0</v>
      </c>
      <c r="H29" s="579">
        <v>0</v>
      </c>
      <c r="I29" s="579">
        <v>0</v>
      </c>
      <c r="J29" s="579">
        <v>0</v>
      </c>
      <c r="K29" s="579">
        <v>0</v>
      </c>
      <c r="L29" s="579">
        <v>0</v>
      </c>
      <c r="M29" s="579">
        <v>0</v>
      </c>
      <c r="N29" s="579">
        <v>0</v>
      </c>
      <c r="O29" s="579">
        <v>0</v>
      </c>
      <c r="P29" s="579">
        <v>0</v>
      </c>
      <c r="Q29" s="579">
        <v>0</v>
      </c>
      <c r="R29" s="579">
        <v>0</v>
      </c>
      <c r="S29" s="579">
        <v>0</v>
      </c>
      <c r="T29" s="579">
        <v>0</v>
      </c>
      <c r="U29" s="579">
        <v>0</v>
      </c>
      <c r="V29" s="579">
        <v>0</v>
      </c>
      <c r="W29" s="579">
        <v>0</v>
      </c>
      <c r="X29" s="579">
        <v>0</v>
      </c>
      <c r="Y29" s="579">
        <v>0</v>
      </c>
      <c r="Z29" s="579">
        <v>0</v>
      </c>
    </row>
    <row r="30" spans="1:26" hidden="1" outlineLevel="1">
      <c r="A30" s="875"/>
      <c r="B30" s="876"/>
      <c r="C30" s="876"/>
      <c r="D30" s="495">
        <v>6</v>
      </c>
      <c r="E30" s="68">
        <f t="shared" si="3"/>
        <v>0</v>
      </c>
      <c r="F30" s="579">
        <v>0</v>
      </c>
      <c r="G30" s="579">
        <v>0</v>
      </c>
      <c r="H30" s="579">
        <v>0</v>
      </c>
      <c r="I30" s="579">
        <v>0</v>
      </c>
      <c r="J30" s="579">
        <v>0</v>
      </c>
      <c r="K30" s="579">
        <v>0</v>
      </c>
      <c r="L30" s="579">
        <v>0</v>
      </c>
      <c r="M30" s="579">
        <v>0</v>
      </c>
      <c r="N30" s="579">
        <v>0</v>
      </c>
      <c r="O30" s="579">
        <v>0</v>
      </c>
      <c r="P30" s="579">
        <v>0</v>
      </c>
      <c r="Q30" s="579">
        <v>0</v>
      </c>
      <c r="R30" s="579">
        <v>0</v>
      </c>
      <c r="S30" s="579">
        <v>0</v>
      </c>
      <c r="T30" s="579">
        <v>0</v>
      </c>
      <c r="U30" s="579">
        <v>0</v>
      </c>
      <c r="V30" s="579">
        <v>0</v>
      </c>
      <c r="W30" s="579">
        <v>0</v>
      </c>
      <c r="X30" s="579">
        <v>0</v>
      </c>
      <c r="Y30" s="579">
        <v>0</v>
      </c>
      <c r="Z30" s="579">
        <v>0</v>
      </c>
    </row>
    <row r="31" spans="1:26" hidden="1" outlineLevel="1">
      <c r="A31" s="875"/>
      <c r="B31" s="876"/>
      <c r="C31" s="876"/>
      <c r="D31" s="495">
        <v>7</v>
      </c>
      <c r="E31" s="68">
        <f t="shared" si="3"/>
        <v>0</v>
      </c>
      <c r="F31" s="579">
        <v>0</v>
      </c>
      <c r="G31" s="579">
        <v>0</v>
      </c>
      <c r="H31" s="579">
        <v>0</v>
      </c>
      <c r="I31" s="579">
        <v>0</v>
      </c>
      <c r="J31" s="579">
        <v>0</v>
      </c>
      <c r="K31" s="579">
        <v>0</v>
      </c>
      <c r="L31" s="579">
        <v>0</v>
      </c>
      <c r="M31" s="579">
        <v>0</v>
      </c>
      <c r="N31" s="579">
        <v>0</v>
      </c>
      <c r="O31" s="579">
        <v>0</v>
      </c>
      <c r="P31" s="579">
        <v>0</v>
      </c>
      <c r="Q31" s="579">
        <v>0</v>
      </c>
      <c r="R31" s="579">
        <v>0</v>
      </c>
      <c r="S31" s="579">
        <v>0</v>
      </c>
      <c r="T31" s="579">
        <v>0</v>
      </c>
      <c r="U31" s="579">
        <v>0</v>
      </c>
      <c r="V31" s="579">
        <v>0</v>
      </c>
      <c r="W31" s="579">
        <v>0</v>
      </c>
      <c r="X31" s="579">
        <v>0</v>
      </c>
      <c r="Y31" s="579">
        <v>0</v>
      </c>
      <c r="Z31" s="579">
        <v>0</v>
      </c>
    </row>
    <row r="32" spans="1:26" hidden="1" outlineLevel="1">
      <c r="A32" s="875"/>
      <c r="B32" s="876"/>
      <c r="C32" s="876"/>
      <c r="D32" s="495">
        <v>8</v>
      </c>
      <c r="E32" s="68">
        <f t="shared" si="3"/>
        <v>0</v>
      </c>
      <c r="F32" s="579">
        <v>0</v>
      </c>
      <c r="G32" s="579">
        <v>0</v>
      </c>
      <c r="H32" s="579">
        <v>0</v>
      </c>
      <c r="I32" s="579">
        <v>0</v>
      </c>
      <c r="J32" s="579">
        <v>0</v>
      </c>
      <c r="K32" s="579">
        <v>0</v>
      </c>
      <c r="L32" s="579">
        <v>0</v>
      </c>
      <c r="M32" s="579">
        <v>0</v>
      </c>
      <c r="N32" s="579">
        <v>0</v>
      </c>
      <c r="O32" s="579">
        <v>0</v>
      </c>
      <c r="P32" s="579">
        <v>0</v>
      </c>
      <c r="Q32" s="579">
        <v>0</v>
      </c>
      <c r="R32" s="579">
        <v>0</v>
      </c>
      <c r="S32" s="579">
        <v>0</v>
      </c>
      <c r="T32" s="579">
        <v>0</v>
      </c>
      <c r="U32" s="579">
        <v>0</v>
      </c>
      <c r="V32" s="579">
        <v>0</v>
      </c>
      <c r="W32" s="579">
        <v>0</v>
      </c>
      <c r="X32" s="579">
        <v>0</v>
      </c>
      <c r="Y32" s="579">
        <v>0</v>
      </c>
      <c r="Z32" s="579">
        <v>0</v>
      </c>
    </row>
    <row r="33" spans="1:26" hidden="1" outlineLevel="1">
      <c r="A33" s="875"/>
      <c r="B33" s="876"/>
      <c r="C33" s="876"/>
      <c r="D33" s="495">
        <v>9</v>
      </c>
      <c r="E33" s="68">
        <f t="shared" si="3"/>
        <v>0</v>
      </c>
      <c r="F33" s="579">
        <v>0</v>
      </c>
      <c r="G33" s="579">
        <v>0</v>
      </c>
      <c r="H33" s="579">
        <v>0</v>
      </c>
      <c r="I33" s="579">
        <v>0</v>
      </c>
      <c r="J33" s="579">
        <v>0</v>
      </c>
      <c r="K33" s="579">
        <v>0</v>
      </c>
      <c r="L33" s="579">
        <v>0</v>
      </c>
      <c r="M33" s="579">
        <v>0</v>
      </c>
      <c r="N33" s="579">
        <v>0</v>
      </c>
      <c r="O33" s="579">
        <v>0</v>
      </c>
      <c r="P33" s="579">
        <v>0</v>
      </c>
      <c r="Q33" s="579">
        <v>0</v>
      </c>
      <c r="R33" s="579">
        <v>0</v>
      </c>
      <c r="S33" s="579">
        <v>0</v>
      </c>
      <c r="T33" s="579">
        <v>0</v>
      </c>
      <c r="U33" s="579">
        <v>0</v>
      </c>
      <c r="V33" s="579">
        <v>0</v>
      </c>
      <c r="W33" s="579">
        <v>0</v>
      </c>
      <c r="X33" s="579">
        <v>0</v>
      </c>
      <c r="Y33" s="579">
        <v>0</v>
      </c>
      <c r="Z33" s="579">
        <v>0</v>
      </c>
    </row>
    <row r="34" spans="1:26" ht="15.75" hidden="1" outlineLevel="1" thickBot="1">
      <c r="A34" s="875"/>
      <c r="B34" s="876"/>
      <c r="C34" s="876"/>
      <c r="D34" s="496">
        <v>10</v>
      </c>
      <c r="E34" s="69">
        <f t="shared" si="3"/>
        <v>0</v>
      </c>
      <c r="F34" s="583">
        <v>0</v>
      </c>
      <c r="G34" s="583">
        <v>0</v>
      </c>
      <c r="H34" s="583">
        <v>0</v>
      </c>
      <c r="I34" s="583">
        <v>0</v>
      </c>
      <c r="J34" s="583">
        <v>0</v>
      </c>
      <c r="K34" s="583">
        <v>0</v>
      </c>
      <c r="L34" s="583">
        <v>0</v>
      </c>
      <c r="M34" s="583">
        <v>0</v>
      </c>
      <c r="N34" s="583">
        <v>0</v>
      </c>
      <c r="O34" s="583">
        <v>0</v>
      </c>
      <c r="P34" s="583">
        <v>0</v>
      </c>
      <c r="Q34" s="583">
        <v>0</v>
      </c>
      <c r="R34" s="583">
        <v>0</v>
      </c>
      <c r="S34" s="583">
        <v>0</v>
      </c>
      <c r="T34" s="583">
        <v>0</v>
      </c>
      <c r="U34" s="583">
        <v>0</v>
      </c>
      <c r="V34" s="583">
        <v>0</v>
      </c>
      <c r="W34" s="583">
        <v>0</v>
      </c>
      <c r="X34" s="583">
        <v>0</v>
      </c>
      <c r="Y34" s="583">
        <v>0</v>
      </c>
      <c r="Z34" s="583">
        <v>0</v>
      </c>
    </row>
    <row r="35" spans="1:26" hidden="1" outlineLevel="1">
      <c r="A35" s="875" t="s">
        <v>421</v>
      </c>
      <c r="B35" s="876" t="s">
        <v>532</v>
      </c>
      <c r="C35" s="876">
        <v>637040</v>
      </c>
      <c r="D35" s="494">
        <v>1</v>
      </c>
      <c r="E35" s="68">
        <f t="shared" ref="E35:E44" si="4">SUM(F35:Z35)</f>
        <v>0</v>
      </c>
      <c r="F35" s="578">
        <v>0</v>
      </c>
      <c r="G35" s="578">
        <v>0</v>
      </c>
      <c r="H35" s="578">
        <v>0</v>
      </c>
      <c r="I35" s="578">
        <v>0</v>
      </c>
      <c r="J35" s="578">
        <v>0</v>
      </c>
      <c r="K35" s="578">
        <v>0</v>
      </c>
      <c r="L35" s="578">
        <v>0</v>
      </c>
      <c r="M35" s="578">
        <v>0</v>
      </c>
      <c r="N35" s="578">
        <v>0</v>
      </c>
      <c r="O35" s="578">
        <v>0</v>
      </c>
      <c r="P35" s="578">
        <v>0</v>
      </c>
      <c r="Q35" s="578">
        <v>0</v>
      </c>
      <c r="R35" s="578">
        <v>0</v>
      </c>
      <c r="S35" s="578">
        <v>0</v>
      </c>
      <c r="T35" s="578">
        <v>0</v>
      </c>
      <c r="U35" s="578">
        <v>0</v>
      </c>
      <c r="V35" s="578">
        <v>0</v>
      </c>
      <c r="W35" s="578">
        <v>0</v>
      </c>
      <c r="X35" s="578">
        <v>0</v>
      </c>
      <c r="Y35" s="578">
        <v>0</v>
      </c>
      <c r="Z35" s="578">
        <v>0</v>
      </c>
    </row>
    <row r="36" spans="1:26" hidden="1" outlineLevel="1">
      <c r="A36" s="875"/>
      <c r="B36" s="876"/>
      <c r="C36" s="876"/>
      <c r="D36" s="495">
        <v>2</v>
      </c>
      <c r="E36" s="68">
        <f t="shared" si="4"/>
        <v>0</v>
      </c>
      <c r="F36" s="579">
        <v>0</v>
      </c>
      <c r="G36" s="579">
        <v>0</v>
      </c>
      <c r="H36" s="579">
        <v>0</v>
      </c>
      <c r="I36" s="579">
        <v>0</v>
      </c>
      <c r="J36" s="579">
        <v>0</v>
      </c>
      <c r="K36" s="579">
        <v>0</v>
      </c>
      <c r="L36" s="579">
        <v>0</v>
      </c>
      <c r="M36" s="579">
        <v>0</v>
      </c>
      <c r="N36" s="579">
        <v>0</v>
      </c>
      <c r="O36" s="579">
        <v>0</v>
      </c>
      <c r="P36" s="579">
        <v>0</v>
      </c>
      <c r="Q36" s="579">
        <v>0</v>
      </c>
      <c r="R36" s="579">
        <v>0</v>
      </c>
      <c r="S36" s="579">
        <v>0</v>
      </c>
      <c r="T36" s="579">
        <v>0</v>
      </c>
      <c r="U36" s="579">
        <v>0</v>
      </c>
      <c r="V36" s="579">
        <v>0</v>
      </c>
      <c r="W36" s="579">
        <v>0</v>
      </c>
      <c r="X36" s="579">
        <v>0</v>
      </c>
      <c r="Y36" s="579">
        <v>0</v>
      </c>
      <c r="Z36" s="579">
        <v>0</v>
      </c>
    </row>
    <row r="37" spans="1:26" hidden="1" outlineLevel="1">
      <c r="A37" s="875"/>
      <c r="B37" s="876"/>
      <c r="C37" s="876"/>
      <c r="D37" s="495">
        <v>3</v>
      </c>
      <c r="E37" s="68">
        <f t="shared" si="4"/>
        <v>0</v>
      </c>
      <c r="F37" s="579">
        <v>0</v>
      </c>
      <c r="G37" s="579">
        <v>0</v>
      </c>
      <c r="H37" s="579">
        <v>0</v>
      </c>
      <c r="I37" s="579">
        <v>0</v>
      </c>
      <c r="J37" s="579">
        <v>0</v>
      </c>
      <c r="K37" s="579">
        <v>0</v>
      </c>
      <c r="L37" s="579">
        <v>0</v>
      </c>
      <c r="M37" s="579">
        <v>0</v>
      </c>
      <c r="N37" s="579">
        <v>0</v>
      </c>
      <c r="O37" s="579">
        <v>0</v>
      </c>
      <c r="P37" s="579">
        <v>0</v>
      </c>
      <c r="Q37" s="579">
        <v>0</v>
      </c>
      <c r="R37" s="579">
        <v>0</v>
      </c>
      <c r="S37" s="579">
        <v>0</v>
      </c>
      <c r="T37" s="579">
        <v>0</v>
      </c>
      <c r="U37" s="579">
        <v>0</v>
      </c>
      <c r="V37" s="579">
        <v>0</v>
      </c>
      <c r="W37" s="579">
        <v>0</v>
      </c>
      <c r="X37" s="579">
        <v>0</v>
      </c>
      <c r="Y37" s="579">
        <v>0</v>
      </c>
      <c r="Z37" s="579">
        <v>0</v>
      </c>
    </row>
    <row r="38" spans="1:26" hidden="1" outlineLevel="1">
      <c r="A38" s="875"/>
      <c r="B38" s="876"/>
      <c r="C38" s="876"/>
      <c r="D38" s="495">
        <v>4</v>
      </c>
      <c r="E38" s="68">
        <f t="shared" si="4"/>
        <v>0</v>
      </c>
      <c r="F38" s="579">
        <v>0</v>
      </c>
      <c r="G38" s="579">
        <v>0</v>
      </c>
      <c r="H38" s="579">
        <v>0</v>
      </c>
      <c r="I38" s="579">
        <v>0</v>
      </c>
      <c r="J38" s="579">
        <v>0</v>
      </c>
      <c r="K38" s="579">
        <v>0</v>
      </c>
      <c r="L38" s="579">
        <v>0</v>
      </c>
      <c r="M38" s="579">
        <v>0</v>
      </c>
      <c r="N38" s="579">
        <v>0</v>
      </c>
      <c r="O38" s="579">
        <v>0</v>
      </c>
      <c r="P38" s="579">
        <v>0</v>
      </c>
      <c r="Q38" s="579">
        <v>0</v>
      </c>
      <c r="R38" s="579">
        <v>0</v>
      </c>
      <c r="S38" s="579">
        <v>0</v>
      </c>
      <c r="T38" s="579">
        <v>0</v>
      </c>
      <c r="U38" s="579">
        <v>0</v>
      </c>
      <c r="V38" s="579">
        <v>0</v>
      </c>
      <c r="W38" s="579">
        <v>0</v>
      </c>
      <c r="X38" s="579">
        <v>0</v>
      </c>
      <c r="Y38" s="579">
        <v>0</v>
      </c>
      <c r="Z38" s="579">
        <v>0</v>
      </c>
    </row>
    <row r="39" spans="1:26" hidden="1" outlineLevel="1">
      <c r="A39" s="875"/>
      <c r="B39" s="876"/>
      <c r="C39" s="876"/>
      <c r="D39" s="495">
        <v>5</v>
      </c>
      <c r="E39" s="68">
        <f t="shared" si="4"/>
        <v>0</v>
      </c>
      <c r="F39" s="579">
        <v>0</v>
      </c>
      <c r="G39" s="579">
        <v>0</v>
      </c>
      <c r="H39" s="579">
        <v>0</v>
      </c>
      <c r="I39" s="579">
        <v>0</v>
      </c>
      <c r="J39" s="579">
        <v>0</v>
      </c>
      <c r="K39" s="579">
        <v>0</v>
      </c>
      <c r="L39" s="579">
        <v>0</v>
      </c>
      <c r="M39" s="579">
        <v>0</v>
      </c>
      <c r="N39" s="579">
        <v>0</v>
      </c>
      <c r="O39" s="579">
        <v>0</v>
      </c>
      <c r="P39" s="579">
        <v>0</v>
      </c>
      <c r="Q39" s="579">
        <v>0</v>
      </c>
      <c r="R39" s="579">
        <v>0</v>
      </c>
      <c r="S39" s="579">
        <v>0</v>
      </c>
      <c r="T39" s="579">
        <v>0</v>
      </c>
      <c r="U39" s="579">
        <v>0</v>
      </c>
      <c r="V39" s="579">
        <v>0</v>
      </c>
      <c r="W39" s="579">
        <v>0</v>
      </c>
      <c r="X39" s="579">
        <v>0</v>
      </c>
      <c r="Y39" s="579">
        <v>0</v>
      </c>
      <c r="Z39" s="579">
        <v>0</v>
      </c>
    </row>
    <row r="40" spans="1:26" hidden="1" outlineLevel="1">
      <c r="A40" s="875"/>
      <c r="B40" s="876"/>
      <c r="C40" s="876"/>
      <c r="D40" s="495">
        <v>6</v>
      </c>
      <c r="E40" s="68">
        <f t="shared" si="4"/>
        <v>0</v>
      </c>
      <c r="F40" s="579">
        <v>0</v>
      </c>
      <c r="G40" s="579">
        <v>0</v>
      </c>
      <c r="H40" s="579">
        <v>0</v>
      </c>
      <c r="I40" s="579">
        <v>0</v>
      </c>
      <c r="J40" s="579">
        <v>0</v>
      </c>
      <c r="K40" s="579">
        <v>0</v>
      </c>
      <c r="L40" s="579">
        <v>0</v>
      </c>
      <c r="M40" s="579">
        <v>0</v>
      </c>
      <c r="N40" s="579">
        <v>0</v>
      </c>
      <c r="O40" s="579">
        <v>0</v>
      </c>
      <c r="P40" s="579">
        <v>0</v>
      </c>
      <c r="Q40" s="579">
        <v>0</v>
      </c>
      <c r="R40" s="579">
        <v>0</v>
      </c>
      <c r="S40" s="579">
        <v>0</v>
      </c>
      <c r="T40" s="579">
        <v>0</v>
      </c>
      <c r="U40" s="579">
        <v>0</v>
      </c>
      <c r="V40" s="579">
        <v>0</v>
      </c>
      <c r="W40" s="579">
        <v>0</v>
      </c>
      <c r="X40" s="579">
        <v>0</v>
      </c>
      <c r="Y40" s="579">
        <v>0</v>
      </c>
      <c r="Z40" s="579">
        <v>0</v>
      </c>
    </row>
    <row r="41" spans="1:26" hidden="1" outlineLevel="1">
      <c r="A41" s="875"/>
      <c r="B41" s="876"/>
      <c r="C41" s="876"/>
      <c r="D41" s="495">
        <v>7</v>
      </c>
      <c r="E41" s="68">
        <f t="shared" si="4"/>
        <v>0</v>
      </c>
      <c r="F41" s="579">
        <v>0</v>
      </c>
      <c r="G41" s="579">
        <v>0</v>
      </c>
      <c r="H41" s="579">
        <v>0</v>
      </c>
      <c r="I41" s="579">
        <v>0</v>
      </c>
      <c r="J41" s="579">
        <v>0</v>
      </c>
      <c r="K41" s="579">
        <v>0</v>
      </c>
      <c r="L41" s="579">
        <v>0</v>
      </c>
      <c r="M41" s="579">
        <v>0</v>
      </c>
      <c r="N41" s="579">
        <v>0</v>
      </c>
      <c r="O41" s="579">
        <v>0</v>
      </c>
      <c r="P41" s="579">
        <v>0</v>
      </c>
      <c r="Q41" s="579">
        <v>0</v>
      </c>
      <c r="R41" s="579">
        <v>0</v>
      </c>
      <c r="S41" s="579">
        <v>0</v>
      </c>
      <c r="T41" s="579">
        <v>0</v>
      </c>
      <c r="U41" s="579">
        <v>0</v>
      </c>
      <c r="V41" s="579">
        <v>0</v>
      </c>
      <c r="W41" s="579">
        <v>0</v>
      </c>
      <c r="X41" s="579">
        <v>0</v>
      </c>
      <c r="Y41" s="579">
        <v>0</v>
      </c>
      <c r="Z41" s="579">
        <v>0</v>
      </c>
    </row>
    <row r="42" spans="1:26" hidden="1" outlineLevel="1">
      <c r="A42" s="875"/>
      <c r="B42" s="876"/>
      <c r="C42" s="876"/>
      <c r="D42" s="495">
        <v>8</v>
      </c>
      <c r="E42" s="68">
        <f t="shared" si="4"/>
        <v>0</v>
      </c>
      <c r="F42" s="579">
        <v>0</v>
      </c>
      <c r="G42" s="579">
        <v>0</v>
      </c>
      <c r="H42" s="579">
        <v>0</v>
      </c>
      <c r="I42" s="579">
        <v>0</v>
      </c>
      <c r="J42" s="579">
        <v>0</v>
      </c>
      <c r="K42" s="579">
        <v>0</v>
      </c>
      <c r="L42" s="579">
        <v>0</v>
      </c>
      <c r="M42" s="579">
        <v>0</v>
      </c>
      <c r="N42" s="579">
        <v>0</v>
      </c>
      <c r="O42" s="579">
        <v>0</v>
      </c>
      <c r="P42" s="579">
        <v>0</v>
      </c>
      <c r="Q42" s="579">
        <v>0</v>
      </c>
      <c r="R42" s="579">
        <v>0</v>
      </c>
      <c r="S42" s="579">
        <v>0</v>
      </c>
      <c r="T42" s="579">
        <v>0</v>
      </c>
      <c r="U42" s="579">
        <v>0</v>
      </c>
      <c r="V42" s="579">
        <v>0</v>
      </c>
      <c r="W42" s="579">
        <v>0</v>
      </c>
      <c r="X42" s="579">
        <v>0</v>
      </c>
      <c r="Y42" s="579">
        <v>0</v>
      </c>
      <c r="Z42" s="579">
        <v>0</v>
      </c>
    </row>
    <row r="43" spans="1:26" hidden="1" outlineLevel="1">
      <c r="A43" s="875"/>
      <c r="B43" s="876"/>
      <c r="C43" s="876"/>
      <c r="D43" s="495">
        <v>9</v>
      </c>
      <c r="E43" s="68">
        <f t="shared" si="4"/>
        <v>0</v>
      </c>
      <c r="F43" s="579">
        <v>0</v>
      </c>
      <c r="G43" s="579">
        <v>0</v>
      </c>
      <c r="H43" s="579">
        <v>0</v>
      </c>
      <c r="I43" s="579">
        <v>0</v>
      </c>
      <c r="J43" s="579">
        <v>0</v>
      </c>
      <c r="K43" s="579">
        <v>0</v>
      </c>
      <c r="L43" s="579">
        <v>0</v>
      </c>
      <c r="M43" s="579">
        <v>0</v>
      </c>
      <c r="N43" s="579">
        <v>0</v>
      </c>
      <c r="O43" s="579">
        <v>0</v>
      </c>
      <c r="P43" s="579">
        <v>0</v>
      </c>
      <c r="Q43" s="579">
        <v>0</v>
      </c>
      <c r="R43" s="579">
        <v>0</v>
      </c>
      <c r="S43" s="579">
        <v>0</v>
      </c>
      <c r="T43" s="579">
        <v>0</v>
      </c>
      <c r="U43" s="579">
        <v>0</v>
      </c>
      <c r="V43" s="579">
        <v>0</v>
      </c>
      <c r="W43" s="579">
        <v>0</v>
      </c>
      <c r="X43" s="579">
        <v>0</v>
      </c>
      <c r="Y43" s="579">
        <v>0</v>
      </c>
      <c r="Z43" s="579">
        <v>0</v>
      </c>
    </row>
    <row r="44" spans="1:26" ht="15.75" hidden="1" outlineLevel="1" thickBot="1">
      <c r="A44" s="875"/>
      <c r="B44" s="876"/>
      <c r="C44" s="876"/>
      <c r="D44" s="496">
        <v>10</v>
      </c>
      <c r="E44" s="69">
        <f t="shared" si="4"/>
        <v>0</v>
      </c>
      <c r="F44" s="583">
        <v>0</v>
      </c>
      <c r="G44" s="583">
        <v>0</v>
      </c>
      <c r="H44" s="583">
        <v>0</v>
      </c>
      <c r="I44" s="583">
        <v>0</v>
      </c>
      <c r="J44" s="583">
        <v>0</v>
      </c>
      <c r="K44" s="583">
        <v>0</v>
      </c>
      <c r="L44" s="583">
        <v>0</v>
      </c>
      <c r="M44" s="583">
        <v>0</v>
      </c>
      <c r="N44" s="583">
        <v>0</v>
      </c>
      <c r="O44" s="583">
        <v>0</v>
      </c>
      <c r="P44" s="583">
        <v>0</v>
      </c>
      <c r="Q44" s="583">
        <v>0</v>
      </c>
      <c r="R44" s="583">
        <v>0</v>
      </c>
      <c r="S44" s="583">
        <v>0</v>
      </c>
      <c r="T44" s="583">
        <v>0</v>
      </c>
      <c r="U44" s="583">
        <v>0</v>
      </c>
      <c r="V44" s="583">
        <v>0</v>
      </c>
      <c r="W44" s="583">
        <v>0</v>
      </c>
      <c r="X44" s="583">
        <v>0</v>
      </c>
      <c r="Y44" s="583">
        <v>0</v>
      </c>
      <c r="Z44" s="583">
        <v>0</v>
      </c>
    </row>
    <row r="45" spans="1:26" hidden="1" outlineLevel="1">
      <c r="A45" s="875" t="s">
        <v>89</v>
      </c>
      <c r="B45" s="876" t="s">
        <v>76</v>
      </c>
      <c r="C45" s="876">
        <v>637040</v>
      </c>
      <c r="D45" s="494">
        <v>1</v>
      </c>
      <c r="E45" s="68">
        <f t="shared" si="2"/>
        <v>0</v>
      </c>
      <c r="F45" s="578">
        <v>0</v>
      </c>
      <c r="G45" s="578">
        <v>0</v>
      </c>
      <c r="H45" s="578">
        <v>0</v>
      </c>
      <c r="I45" s="578">
        <v>0</v>
      </c>
      <c r="J45" s="578">
        <v>0</v>
      </c>
      <c r="K45" s="578">
        <v>0</v>
      </c>
      <c r="L45" s="578">
        <v>0</v>
      </c>
      <c r="M45" s="578">
        <v>0</v>
      </c>
      <c r="N45" s="578">
        <v>0</v>
      </c>
      <c r="O45" s="578">
        <v>0</v>
      </c>
      <c r="P45" s="578">
        <v>0</v>
      </c>
      <c r="Q45" s="578">
        <v>0</v>
      </c>
      <c r="R45" s="578">
        <v>0</v>
      </c>
      <c r="S45" s="578">
        <v>0</v>
      </c>
      <c r="T45" s="578">
        <v>0</v>
      </c>
      <c r="U45" s="578">
        <v>0</v>
      </c>
      <c r="V45" s="578">
        <v>0</v>
      </c>
      <c r="W45" s="578">
        <v>0</v>
      </c>
      <c r="X45" s="578">
        <v>0</v>
      </c>
      <c r="Y45" s="578">
        <v>0</v>
      </c>
      <c r="Z45" s="578">
        <v>0</v>
      </c>
    </row>
    <row r="46" spans="1:26" hidden="1" outlineLevel="1">
      <c r="A46" s="875"/>
      <c r="B46" s="876"/>
      <c r="C46" s="876"/>
      <c r="D46" s="495">
        <v>2</v>
      </c>
      <c r="E46" s="68">
        <f t="shared" si="2"/>
        <v>0</v>
      </c>
      <c r="F46" s="579">
        <v>0</v>
      </c>
      <c r="G46" s="579">
        <v>0</v>
      </c>
      <c r="H46" s="579">
        <v>0</v>
      </c>
      <c r="I46" s="579">
        <v>0</v>
      </c>
      <c r="J46" s="579">
        <v>0</v>
      </c>
      <c r="K46" s="579">
        <v>0</v>
      </c>
      <c r="L46" s="579">
        <v>0</v>
      </c>
      <c r="M46" s="579">
        <v>0</v>
      </c>
      <c r="N46" s="579">
        <v>0</v>
      </c>
      <c r="O46" s="579">
        <v>0</v>
      </c>
      <c r="P46" s="579">
        <v>0</v>
      </c>
      <c r="Q46" s="579">
        <v>0</v>
      </c>
      <c r="R46" s="579">
        <v>0</v>
      </c>
      <c r="S46" s="579">
        <v>0</v>
      </c>
      <c r="T46" s="579">
        <v>0</v>
      </c>
      <c r="U46" s="579">
        <v>0</v>
      </c>
      <c r="V46" s="579">
        <v>0</v>
      </c>
      <c r="W46" s="579">
        <v>0</v>
      </c>
      <c r="X46" s="579">
        <v>0</v>
      </c>
      <c r="Y46" s="579">
        <v>0</v>
      </c>
      <c r="Z46" s="579">
        <v>0</v>
      </c>
    </row>
    <row r="47" spans="1:26" hidden="1" outlineLevel="1">
      <c r="A47" s="875"/>
      <c r="B47" s="876"/>
      <c r="C47" s="876"/>
      <c r="D47" s="495">
        <v>3</v>
      </c>
      <c r="E47" s="68">
        <f t="shared" si="2"/>
        <v>0</v>
      </c>
      <c r="F47" s="579">
        <v>0</v>
      </c>
      <c r="G47" s="579">
        <v>0</v>
      </c>
      <c r="H47" s="579">
        <v>0</v>
      </c>
      <c r="I47" s="579">
        <v>0</v>
      </c>
      <c r="J47" s="579">
        <v>0</v>
      </c>
      <c r="K47" s="579">
        <v>0</v>
      </c>
      <c r="L47" s="579">
        <v>0</v>
      </c>
      <c r="M47" s="579">
        <v>0</v>
      </c>
      <c r="N47" s="579">
        <v>0</v>
      </c>
      <c r="O47" s="579">
        <v>0</v>
      </c>
      <c r="P47" s="579">
        <v>0</v>
      </c>
      <c r="Q47" s="579">
        <v>0</v>
      </c>
      <c r="R47" s="579">
        <v>0</v>
      </c>
      <c r="S47" s="579">
        <v>0</v>
      </c>
      <c r="T47" s="579">
        <v>0</v>
      </c>
      <c r="U47" s="579">
        <v>0</v>
      </c>
      <c r="V47" s="579">
        <v>0</v>
      </c>
      <c r="W47" s="579">
        <v>0</v>
      </c>
      <c r="X47" s="579">
        <v>0</v>
      </c>
      <c r="Y47" s="579">
        <v>0</v>
      </c>
      <c r="Z47" s="579">
        <v>0</v>
      </c>
    </row>
    <row r="48" spans="1:26" hidden="1" outlineLevel="1">
      <c r="A48" s="875"/>
      <c r="B48" s="876"/>
      <c r="C48" s="876"/>
      <c r="D48" s="495">
        <v>4</v>
      </c>
      <c r="E48" s="68">
        <f t="shared" si="2"/>
        <v>0</v>
      </c>
      <c r="F48" s="579">
        <v>0</v>
      </c>
      <c r="G48" s="579">
        <v>0</v>
      </c>
      <c r="H48" s="579">
        <v>0</v>
      </c>
      <c r="I48" s="579">
        <v>0</v>
      </c>
      <c r="J48" s="579">
        <v>0</v>
      </c>
      <c r="K48" s="579">
        <v>0</v>
      </c>
      <c r="L48" s="579">
        <v>0</v>
      </c>
      <c r="M48" s="579">
        <v>0</v>
      </c>
      <c r="N48" s="579">
        <v>0</v>
      </c>
      <c r="O48" s="579">
        <v>0</v>
      </c>
      <c r="P48" s="579">
        <v>0</v>
      </c>
      <c r="Q48" s="579">
        <v>0</v>
      </c>
      <c r="R48" s="579">
        <v>0</v>
      </c>
      <c r="S48" s="579">
        <v>0</v>
      </c>
      <c r="T48" s="579">
        <v>0</v>
      </c>
      <c r="U48" s="579">
        <v>0</v>
      </c>
      <c r="V48" s="579">
        <v>0</v>
      </c>
      <c r="W48" s="579">
        <v>0</v>
      </c>
      <c r="X48" s="579">
        <v>0</v>
      </c>
      <c r="Y48" s="579">
        <v>0</v>
      </c>
      <c r="Z48" s="579">
        <v>0</v>
      </c>
    </row>
    <row r="49" spans="1:26" hidden="1" outlineLevel="1">
      <c r="A49" s="875"/>
      <c r="B49" s="876"/>
      <c r="C49" s="876"/>
      <c r="D49" s="495">
        <v>5</v>
      </c>
      <c r="E49" s="68">
        <f t="shared" si="2"/>
        <v>0</v>
      </c>
      <c r="F49" s="579">
        <v>0</v>
      </c>
      <c r="G49" s="579">
        <v>0</v>
      </c>
      <c r="H49" s="579">
        <v>0</v>
      </c>
      <c r="I49" s="579">
        <v>0</v>
      </c>
      <c r="J49" s="579">
        <v>0</v>
      </c>
      <c r="K49" s="579">
        <v>0</v>
      </c>
      <c r="L49" s="579">
        <v>0</v>
      </c>
      <c r="M49" s="579">
        <v>0</v>
      </c>
      <c r="N49" s="579">
        <v>0</v>
      </c>
      <c r="O49" s="579">
        <v>0</v>
      </c>
      <c r="P49" s="579">
        <v>0</v>
      </c>
      <c r="Q49" s="579">
        <v>0</v>
      </c>
      <c r="R49" s="579">
        <v>0</v>
      </c>
      <c r="S49" s="579">
        <v>0</v>
      </c>
      <c r="T49" s="579">
        <v>0</v>
      </c>
      <c r="U49" s="579">
        <v>0</v>
      </c>
      <c r="V49" s="579">
        <v>0</v>
      </c>
      <c r="W49" s="579">
        <v>0</v>
      </c>
      <c r="X49" s="579">
        <v>0</v>
      </c>
      <c r="Y49" s="579">
        <v>0</v>
      </c>
      <c r="Z49" s="579">
        <v>0</v>
      </c>
    </row>
    <row r="50" spans="1:26" hidden="1" outlineLevel="1">
      <c r="A50" s="875"/>
      <c r="B50" s="876"/>
      <c r="C50" s="876"/>
      <c r="D50" s="495">
        <v>6</v>
      </c>
      <c r="E50" s="68">
        <f t="shared" si="2"/>
        <v>0</v>
      </c>
      <c r="F50" s="579">
        <v>0</v>
      </c>
      <c r="G50" s="579">
        <v>0</v>
      </c>
      <c r="H50" s="579">
        <v>0</v>
      </c>
      <c r="I50" s="579">
        <v>0</v>
      </c>
      <c r="J50" s="579">
        <v>0</v>
      </c>
      <c r="K50" s="579">
        <v>0</v>
      </c>
      <c r="L50" s="579">
        <v>0</v>
      </c>
      <c r="M50" s="579">
        <v>0</v>
      </c>
      <c r="N50" s="579">
        <v>0</v>
      </c>
      <c r="O50" s="579">
        <v>0</v>
      </c>
      <c r="P50" s="579">
        <v>0</v>
      </c>
      <c r="Q50" s="579">
        <v>0</v>
      </c>
      <c r="R50" s="579">
        <v>0</v>
      </c>
      <c r="S50" s="579">
        <v>0</v>
      </c>
      <c r="T50" s="579">
        <v>0</v>
      </c>
      <c r="U50" s="579">
        <v>0</v>
      </c>
      <c r="V50" s="579">
        <v>0</v>
      </c>
      <c r="W50" s="579">
        <v>0</v>
      </c>
      <c r="X50" s="579">
        <v>0</v>
      </c>
      <c r="Y50" s="579">
        <v>0</v>
      </c>
      <c r="Z50" s="579">
        <v>0</v>
      </c>
    </row>
    <row r="51" spans="1:26" hidden="1" outlineLevel="1">
      <c r="A51" s="875"/>
      <c r="B51" s="876"/>
      <c r="C51" s="876"/>
      <c r="D51" s="495">
        <v>7</v>
      </c>
      <c r="E51" s="68">
        <f t="shared" si="2"/>
        <v>0</v>
      </c>
      <c r="F51" s="579">
        <v>0</v>
      </c>
      <c r="G51" s="579">
        <v>0</v>
      </c>
      <c r="H51" s="579">
        <v>0</v>
      </c>
      <c r="I51" s="579">
        <v>0</v>
      </c>
      <c r="J51" s="579">
        <v>0</v>
      </c>
      <c r="K51" s="579">
        <v>0</v>
      </c>
      <c r="L51" s="579">
        <v>0</v>
      </c>
      <c r="M51" s="579">
        <v>0</v>
      </c>
      <c r="N51" s="579">
        <v>0</v>
      </c>
      <c r="O51" s="579">
        <v>0</v>
      </c>
      <c r="P51" s="579">
        <v>0</v>
      </c>
      <c r="Q51" s="579">
        <v>0</v>
      </c>
      <c r="R51" s="579">
        <v>0</v>
      </c>
      <c r="S51" s="579">
        <v>0</v>
      </c>
      <c r="T51" s="579">
        <v>0</v>
      </c>
      <c r="U51" s="579">
        <v>0</v>
      </c>
      <c r="V51" s="579">
        <v>0</v>
      </c>
      <c r="W51" s="579">
        <v>0</v>
      </c>
      <c r="X51" s="579">
        <v>0</v>
      </c>
      <c r="Y51" s="579">
        <v>0</v>
      </c>
      <c r="Z51" s="579">
        <v>0</v>
      </c>
    </row>
    <row r="52" spans="1:26" hidden="1" outlineLevel="1">
      <c r="A52" s="875"/>
      <c r="B52" s="876"/>
      <c r="C52" s="876"/>
      <c r="D52" s="495">
        <v>8</v>
      </c>
      <c r="E52" s="68">
        <f t="shared" si="2"/>
        <v>0</v>
      </c>
      <c r="F52" s="579">
        <v>0</v>
      </c>
      <c r="G52" s="579">
        <v>0</v>
      </c>
      <c r="H52" s="579">
        <v>0</v>
      </c>
      <c r="I52" s="579">
        <v>0</v>
      </c>
      <c r="J52" s="579">
        <v>0</v>
      </c>
      <c r="K52" s="579">
        <v>0</v>
      </c>
      <c r="L52" s="579">
        <v>0</v>
      </c>
      <c r="M52" s="579">
        <v>0</v>
      </c>
      <c r="N52" s="579">
        <v>0</v>
      </c>
      <c r="O52" s="579">
        <v>0</v>
      </c>
      <c r="P52" s="579">
        <v>0</v>
      </c>
      <c r="Q52" s="579">
        <v>0</v>
      </c>
      <c r="R52" s="579">
        <v>0</v>
      </c>
      <c r="S52" s="579">
        <v>0</v>
      </c>
      <c r="T52" s="579">
        <v>0</v>
      </c>
      <c r="U52" s="579">
        <v>0</v>
      </c>
      <c r="V52" s="579">
        <v>0</v>
      </c>
      <c r="W52" s="579">
        <v>0</v>
      </c>
      <c r="X52" s="579">
        <v>0</v>
      </c>
      <c r="Y52" s="579">
        <v>0</v>
      </c>
      <c r="Z52" s="579">
        <v>0</v>
      </c>
    </row>
    <row r="53" spans="1:26" hidden="1" outlineLevel="1">
      <c r="A53" s="875"/>
      <c r="B53" s="876"/>
      <c r="C53" s="876"/>
      <c r="D53" s="495">
        <v>9</v>
      </c>
      <c r="E53" s="68">
        <f t="shared" si="2"/>
        <v>0</v>
      </c>
      <c r="F53" s="579">
        <v>0</v>
      </c>
      <c r="G53" s="579">
        <v>0</v>
      </c>
      <c r="H53" s="579">
        <v>0</v>
      </c>
      <c r="I53" s="579">
        <v>0</v>
      </c>
      <c r="J53" s="579">
        <v>0</v>
      </c>
      <c r="K53" s="579">
        <v>0</v>
      </c>
      <c r="L53" s="579">
        <v>0</v>
      </c>
      <c r="M53" s="579">
        <v>0</v>
      </c>
      <c r="N53" s="579">
        <v>0</v>
      </c>
      <c r="O53" s="579">
        <v>0</v>
      </c>
      <c r="P53" s="579">
        <v>0</v>
      </c>
      <c r="Q53" s="579">
        <v>0</v>
      </c>
      <c r="R53" s="579">
        <v>0</v>
      </c>
      <c r="S53" s="579">
        <v>0</v>
      </c>
      <c r="T53" s="579">
        <v>0</v>
      </c>
      <c r="U53" s="579">
        <v>0</v>
      </c>
      <c r="V53" s="579">
        <v>0</v>
      </c>
      <c r="W53" s="579">
        <v>0</v>
      </c>
      <c r="X53" s="579">
        <v>0</v>
      </c>
      <c r="Y53" s="579">
        <v>0</v>
      </c>
      <c r="Z53" s="579">
        <v>0</v>
      </c>
    </row>
    <row r="54" spans="1:26" ht="15.75" hidden="1" outlineLevel="1" thickBot="1">
      <c r="A54" s="875"/>
      <c r="B54" s="876"/>
      <c r="C54" s="876"/>
      <c r="D54" s="496">
        <v>10</v>
      </c>
      <c r="E54" s="68">
        <f t="shared" si="2"/>
        <v>0</v>
      </c>
      <c r="F54" s="583">
        <v>0</v>
      </c>
      <c r="G54" s="583">
        <v>0</v>
      </c>
      <c r="H54" s="583">
        <v>0</v>
      </c>
      <c r="I54" s="583">
        <v>0</v>
      </c>
      <c r="J54" s="583">
        <v>0</v>
      </c>
      <c r="K54" s="583">
        <v>0</v>
      </c>
      <c r="L54" s="583">
        <v>0</v>
      </c>
      <c r="M54" s="583">
        <v>0</v>
      </c>
      <c r="N54" s="583">
        <v>0</v>
      </c>
      <c r="O54" s="583">
        <v>0</v>
      </c>
      <c r="P54" s="583">
        <v>0</v>
      </c>
      <c r="Q54" s="583">
        <v>0</v>
      </c>
      <c r="R54" s="583">
        <v>0</v>
      </c>
      <c r="S54" s="583">
        <v>0</v>
      </c>
      <c r="T54" s="583">
        <v>0</v>
      </c>
      <c r="U54" s="583">
        <v>0</v>
      </c>
      <c r="V54" s="583">
        <v>0</v>
      </c>
      <c r="W54" s="583">
        <v>0</v>
      </c>
      <c r="X54" s="583">
        <v>0</v>
      </c>
      <c r="Y54" s="583">
        <v>0</v>
      </c>
      <c r="Z54" s="583">
        <v>0</v>
      </c>
    </row>
    <row r="55" spans="1:26" ht="15.75" thickBot="1">
      <c r="A55" s="887" t="s">
        <v>86</v>
      </c>
      <c r="B55" s="887"/>
      <c r="C55" s="887"/>
      <c r="D55" s="590"/>
      <c r="E55" s="72">
        <f t="shared" ref="E55:F55" si="5">SUM(E56:E105)</f>
        <v>0</v>
      </c>
      <c r="F55" s="73">
        <f t="shared" si="5"/>
        <v>0</v>
      </c>
      <c r="G55" s="73">
        <f t="shared" ref="G55:Z55" si="6">SUM(G56:G105)</f>
        <v>0</v>
      </c>
      <c r="H55" s="73">
        <f t="shared" si="6"/>
        <v>0</v>
      </c>
      <c r="I55" s="73">
        <f t="shared" si="6"/>
        <v>0</v>
      </c>
      <c r="J55" s="73">
        <f t="shared" si="6"/>
        <v>0</v>
      </c>
      <c r="K55" s="73">
        <f t="shared" si="6"/>
        <v>0</v>
      </c>
      <c r="L55" s="73">
        <f t="shared" si="6"/>
        <v>0</v>
      </c>
      <c r="M55" s="73">
        <f t="shared" si="6"/>
        <v>0</v>
      </c>
      <c r="N55" s="73">
        <f t="shared" si="6"/>
        <v>0</v>
      </c>
      <c r="O55" s="73">
        <f t="shared" si="6"/>
        <v>0</v>
      </c>
      <c r="P55" s="73">
        <f t="shared" si="6"/>
        <v>0</v>
      </c>
      <c r="Q55" s="73">
        <f t="shared" si="6"/>
        <v>0</v>
      </c>
      <c r="R55" s="73">
        <f t="shared" si="6"/>
        <v>0</v>
      </c>
      <c r="S55" s="73">
        <f t="shared" si="6"/>
        <v>0</v>
      </c>
      <c r="T55" s="73">
        <f t="shared" si="6"/>
        <v>0</v>
      </c>
      <c r="U55" s="73">
        <f t="shared" si="6"/>
        <v>0</v>
      </c>
      <c r="V55" s="73">
        <f t="shared" si="6"/>
        <v>0</v>
      </c>
      <c r="W55" s="73">
        <f t="shared" si="6"/>
        <v>0</v>
      </c>
      <c r="X55" s="73">
        <f t="shared" si="6"/>
        <v>0</v>
      </c>
      <c r="Y55" s="73">
        <f t="shared" si="6"/>
        <v>0</v>
      </c>
      <c r="Z55" s="73">
        <f t="shared" si="6"/>
        <v>0</v>
      </c>
    </row>
    <row r="56" spans="1:26" outlineLevel="1">
      <c r="A56" s="875" t="s">
        <v>91</v>
      </c>
      <c r="B56" s="876" t="s">
        <v>79</v>
      </c>
      <c r="C56" s="876">
        <v>635002</v>
      </c>
      <c r="D56" s="494">
        <v>1</v>
      </c>
      <c r="E56" s="67">
        <f t="shared" ref="E56:E105" si="7">SUM(F56:Z56)</f>
        <v>0</v>
      </c>
      <c r="F56" s="575">
        <f>IFERROR(IF(VLOOKUP(F$2,MODULY_CBA!$B$3:$N$23,13,0)&lt;=$D56,SUM(F$5:F$14)*VLOOKUP(F$2,MODULY_CBA!$B$3:$M$23,12,0),0),0)</f>
        <v>0</v>
      </c>
      <c r="G56" s="575">
        <f>IFERROR(IF(VLOOKUP(G$2,MODULY_CBA!$B$3:$N$23,13,0)&lt;=$D56,SUM(G$5:G$14)*VLOOKUP(G$2,MODULY_CBA!$B$3:$M$23,12,0),0),0)</f>
        <v>0</v>
      </c>
      <c r="H56" s="575">
        <f>IFERROR(IF(VLOOKUP(H$2,MODULY_CBA!$B$3:$N$23,13,0)&lt;=$D56,SUM(H$5:H$14)*VLOOKUP(H$2,MODULY_CBA!$B$3:$M$23,12,0),0),0)</f>
        <v>0</v>
      </c>
      <c r="I56" s="575">
        <f>IFERROR(IF(VLOOKUP(I$2,MODULY_CBA!$B$3:$N$23,13,0)&lt;=$D56,SUM(I$5:I$14)*VLOOKUP(I$2,MODULY_CBA!$B$3:$M$23,12,0),0),0)</f>
        <v>0</v>
      </c>
      <c r="J56" s="575">
        <f>IFERROR(IF(VLOOKUP(J$2,MODULY_CBA!$B$3:$N$23,13,0)&lt;=$D56,SUM(J$5:J$14)*VLOOKUP(J$2,MODULY_CBA!$B$3:$M$23,12,0),0),0)</f>
        <v>0</v>
      </c>
      <c r="K56" s="575">
        <f>IFERROR(IF(VLOOKUP(K$2,MODULY_CBA!$B$3:$N$23,13,0)&lt;=$D56,SUM(K$5:K$14)*VLOOKUP(K$2,MODULY_CBA!$B$3:$M$23,12,0),0),0)</f>
        <v>0</v>
      </c>
      <c r="L56" s="575">
        <f>IFERROR(IF(VLOOKUP(L$2,MODULY_CBA!$B$3:$N$23,13,0)&lt;=$D56,SUM(L$5:L$14)*VLOOKUP(L$2,MODULY_CBA!$B$3:$M$23,12,0),0),0)</f>
        <v>0</v>
      </c>
      <c r="M56" s="575">
        <f>IFERROR(IF(VLOOKUP(M$2,MODULY_CBA!$B$3:$N$23,13,0)&lt;=$D56,SUM(M$5:M$14)*VLOOKUP(M$2,MODULY_CBA!$B$3:$M$23,12,0),0),0)</f>
        <v>0</v>
      </c>
      <c r="N56" s="575">
        <f>IFERROR(IF(VLOOKUP(N$2,MODULY_CBA!$B$3:$N$23,13,0)&lt;=$D56,SUM(N$5:N$14)*VLOOKUP(N$2,MODULY_CBA!$B$3:$M$23,12,0),0),0)</f>
        <v>0</v>
      </c>
      <c r="O56" s="575">
        <f>IFERROR(IF(VLOOKUP(O$2,MODULY_CBA!$B$3:$N$23,13,0)&lt;=$D56,SUM(O$5:O$14)*VLOOKUP(O$2,MODULY_CBA!$B$3:$M$23,12,0),0),0)</f>
        <v>0</v>
      </c>
      <c r="P56" s="575">
        <f>IFERROR(IF(VLOOKUP(P$2,MODULY_CBA!$B$3:$N$23,13,0)&lt;=$D56,SUM(P$5:P$14)*VLOOKUP(P$2,MODULY_CBA!$B$3:$M$23,12,0),0),0)</f>
        <v>0</v>
      </c>
      <c r="Q56" s="575">
        <f>IFERROR(IF(VLOOKUP(Q$2,MODULY_CBA!$B$3:$N$23,13,0)&lt;=$D56,SUM(Q$5:Q$14)*VLOOKUP(Q$2,MODULY_CBA!$B$3:$M$23,12,0),0),0)</f>
        <v>0</v>
      </c>
      <c r="R56" s="575">
        <f>IFERROR(IF(VLOOKUP(R$2,MODULY_CBA!$B$3:$N$23,13,0)&lt;=$D56,SUM(R$5:R$14)*VLOOKUP(R$2,MODULY_CBA!$B$3:$M$23,12,0),0),0)</f>
        <v>0</v>
      </c>
      <c r="S56" s="575">
        <f>IFERROR(IF(VLOOKUP(S$2,MODULY_CBA!$B$3:$N$23,13,0)&lt;=$D56,SUM(S$5:S$14)*VLOOKUP(S$2,MODULY_CBA!$B$3:$M$23,12,0),0),0)</f>
        <v>0</v>
      </c>
      <c r="T56" s="575">
        <f>IFERROR(IF(VLOOKUP(T$2,MODULY_CBA!$B$3:$N$23,13,0)&lt;=$D56,SUM(T$5:T$14)*VLOOKUP(T$2,MODULY_CBA!$B$3:$M$23,12,0),0),0)</f>
        <v>0</v>
      </c>
      <c r="U56" s="575">
        <f>IFERROR(IF(VLOOKUP(U$2,MODULY_CBA!$B$3:$N$23,13,0)&lt;=$D56,SUM(U$5:U$14)*VLOOKUP(U$2,MODULY_CBA!$B$3:$M$23,12,0),0),0)</f>
        <v>0</v>
      </c>
      <c r="V56" s="575">
        <f>IFERROR(IF(VLOOKUP(V$2,MODULY_CBA!$B$3:$N$23,13,0)&lt;=$D56,SUM(V$5:V$14)*VLOOKUP(V$2,MODULY_CBA!$B$3:$M$23,12,0),0),0)</f>
        <v>0</v>
      </c>
      <c r="W56" s="575">
        <f>IFERROR(IF(VLOOKUP(W$2,MODULY_CBA!$B$3:$N$23,13,0)&lt;=$D56,SUM(W$5:W$14)*VLOOKUP(W$2,MODULY_CBA!$B$3:$M$23,12,0),0),0)</f>
        <v>0</v>
      </c>
      <c r="X56" s="575">
        <f>IFERROR(IF(VLOOKUP(X$2,MODULY_CBA!$B$3:$N$23,13,0)&lt;=$D56,SUM(X$5:X$14)*VLOOKUP(X$2,MODULY_CBA!$B$3:$M$23,12,0),0),0)</f>
        <v>0</v>
      </c>
      <c r="Y56" s="575">
        <f>IFERROR(IF(VLOOKUP(Y$2,MODULY_CBA!$B$3:$N$23,13,0)&lt;=$D56,SUM(Y$5:Y$14)*VLOOKUP(Y$2,MODULY_CBA!$B$3:$M$23,12,0),0),0)</f>
        <v>0</v>
      </c>
      <c r="Z56" s="575">
        <f>IFERROR(IF(VLOOKUP(Z$2,MODULY_CBA!$B$3:$N$23,13,0)&lt;=$D56,SUM(Z$5:Z$14)*VLOOKUP(Z$2,MODULY_CBA!$B$3:$M$23,12,0),0),0)</f>
        <v>0</v>
      </c>
    </row>
    <row r="57" spans="1:26" outlineLevel="1">
      <c r="A57" s="875"/>
      <c r="B57" s="876"/>
      <c r="C57" s="876"/>
      <c r="D57" s="495">
        <v>2</v>
      </c>
      <c r="E57" s="68">
        <f t="shared" si="7"/>
        <v>0</v>
      </c>
      <c r="F57" s="576">
        <f>IFERROR(IF(VLOOKUP(F$2,MODULY_CBA!$B$3:$N$23,13,0)&lt;=$D57,SUM(F$5:F$14)*VLOOKUP(F$2,MODULY_CBA!$B$3:$M$23,12,0),0),0)</f>
        <v>0</v>
      </c>
      <c r="G57" s="576">
        <f>IFERROR(IF(VLOOKUP(G$2,MODULY_CBA!$B$3:$N$23,13,0)&lt;=$D57,SUM(G$5:G$14)*VLOOKUP(G$2,MODULY_CBA!$B$3:$M$23,12,0),0),0)</f>
        <v>0</v>
      </c>
      <c r="H57" s="576">
        <f>IFERROR(IF(VLOOKUP(H$2,MODULY_CBA!$B$3:$N$23,13,0)&lt;=$D57,SUM(H$5:H$14)*VLOOKUP(H$2,MODULY_CBA!$B$3:$M$23,12,0),0),0)</f>
        <v>0</v>
      </c>
      <c r="I57" s="576">
        <f>IFERROR(IF(VLOOKUP(I$2,MODULY_CBA!$B$3:$N$23,13,0)&lt;=$D57,SUM(I$5:I$14)*VLOOKUP(I$2,MODULY_CBA!$B$3:$M$23,12,0),0),0)</f>
        <v>0</v>
      </c>
      <c r="J57" s="576">
        <f>IFERROR(IF(VLOOKUP(J$2,MODULY_CBA!$B$3:$N$23,13,0)&lt;=$D57,SUM(J$5:J$14)*VLOOKUP(J$2,MODULY_CBA!$B$3:$M$23,12,0),0),0)</f>
        <v>0</v>
      </c>
      <c r="K57" s="576">
        <f>IFERROR(IF(VLOOKUP(K$2,MODULY_CBA!$B$3:$N$23,13,0)&lt;=$D57,SUM(K$5:K$14)*VLOOKUP(K$2,MODULY_CBA!$B$3:$M$23,12,0),0),0)</f>
        <v>0</v>
      </c>
      <c r="L57" s="576">
        <f>IFERROR(IF(VLOOKUP(L$2,MODULY_CBA!$B$3:$N$23,13,0)&lt;=$D57,SUM(L$5:L$14)*VLOOKUP(L$2,MODULY_CBA!$B$3:$M$23,12,0),0),0)</f>
        <v>0</v>
      </c>
      <c r="M57" s="576">
        <f>IFERROR(IF(VLOOKUP(M$2,MODULY_CBA!$B$3:$N$23,13,0)&lt;=$D57,SUM(M$5:M$14)*VLOOKUP(M$2,MODULY_CBA!$B$3:$M$23,12,0),0),0)</f>
        <v>0</v>
      </c>
      <c r="N57" s="576">
        <f>IFERROR(IF(VLOOKUP(N$2,MODULY_CBA!$B$3:$N$23,13,0)&lt;=$D57,SUM(N$5:N$14)*VLOOKUP(N$2,MODULY_CBA!$B$3:$M$23,12,0),0),0)</f>
        <v>0</v>
      </c>
      <c r="O57" s="576">
        <f>IFERROR(IF(VLOOKUP(O$2,MODULY_CBA!$B$3:$N$23,13,0)&lt;=$D57,SUM(O$5:O$14)*VLOOKUP(O$2,MODULY_CBA!$B$3:$M$23,12,0),0),0)</f>
        <v>0</v>
      </c>
      <c r="P57" s="576">
        <f>IFERROR(IF(VLOOKUP(P$2,MODULY_CBA!$B$3:$N$23,13,0)&lt;=$D57,SUM(P$5:P$14)*VLOOKUP(P$2,MODULY_CBA!$B$3:$M$23,12,0),0),0)</f>
        <v>0</v>
      </c>
      <c r="Q57" s="576">
        <f>IFERROR(IF(VLOOKUP(Q$2,MODULY_CBA!$B$3:$N$23,13,0)&lt;=$D57,SUM(Q$5:Q$14)*VLOOKUP(Q$2,MODULY_CBA!$B$3:$M$23,12,0),0),0)</f>
        <v>0</v>
      </c>
      <c r="R57" s="576">
        <f>IFERROR(IF(VLOOKUP(R$2,MODULY_CBA!$B$3:$N$23,13,0)&lt;=$D57,SUM(R$5:R$14)*VLOOKUP(R$2,MODULY_CBA!$B$3:$M$23,12,0),0),0)</f>
        <v>0</v>
      </c>
      <c r="S57" s="576">
        <f>IFERROR(IF(VLOOKUP(S$2,MODULY_CBA!$B$3:$N$23,13,0)&lt;=$D57,SUM(S$5:S$14)*VLOOKUP(S$2,MODULY_CBA!$B$3:$M$23,12,0),0),0)</f>
        <v>0</v>
      </c>
      <c r="T57" s="576">
        <f>IFERROR(IF(VLOOKUP(T$2,MODULY_CBA!$B$3:$N$23,13,0)&lt;=$D57,SUM(T$5:T$14)*VLOOKUP(T$2,MODULY_CBA!$B$3:$M$23,12,0),0),0)</f>
        <v>0</v>
      </c>
      <c r="U57" s="576">
        <f>IFERROR(IF(VLOOKUP(U$2,MODULY_CBA!$B$3:$N$23,13,0)&lt;=$D57,SUM(U$5:U$14)*VLOOKUP(U$2,MODULY_CBA!$B$3:$M$23,12,0),0),0)</f>
        <v>0</v>
      </c>
      <c r="V57" s="576">
        <f>IFERROR(IF(VLOOKUP(V$2,MODULY_CBA!$B$3:$N$23,13,0)&lt;=$D57,SUM(V$5:V$14)*VLOOKUP(V$2,MODULY_CBA!$B$3:$M$23,12,0),0),0)</f>
        <v>0</v>
      </c>
      <c r="W57" s="576">
        <f>IFERROR(IF(VLOOKUP(W$2,MODULY_CBA!$B$3:$N$23,13,0)&lt;=$D57,SUM(W$5:W$14)*VLOOKUP(W$2,MODULY_CBA!$B$3:$M$23,12,0),0),0)</f>
        <v>0</v>
      </c>
      <c r="X57" s="576">
        <f>IFERROR(IF(VLOOKUP(X$2,MODULY_CBA!$B$3:$N$23,13,0)&lt;=$D57,SUM(X$5:X$14)*VLOOKUP(X$2,MODULY_CBA!$B$3:$M$23,12,0),0),0)</f>
        <v>0</v>
      </c>
      <c r="Y57" s="576">
        <f>IFERROR(IF(VLOOKUP(Y$2,MODULY_CBA!$B$3:$N$23,13,0)&lt;=$D57,SUM(Y$5:Y$14)*VLOOKUP(Y$2,MODULY_CBA!$B$3:$M$23,12,0),0),0)</f>
        <v>0</v>
      </c>
      <c r="Z57" s="576">
        <f>IFERROR(IF(VLOOKUP(Z$2,MODULY_CBA!$B$3:$N$23,13,0)&lt;=$D57,SUM(Z$5:Z$14)*VLOOKUP(Z$2,MODULY_CBA!$B$3:$M$23,12,0),0),0)</f>
        <v>0</v>
      </c>
    </row>
    <row r="58" spans="1:26" outlineLevel="1">
      <c r="A58" s="875"/>
      <c r="B58" s="876"/>
      <c r="C58" s="876"/>
      <c r="D58" s="495">
        <v>3</v>
      </c>
      <c r="E58" s="68">
        <f t="shared" si="7"/>
        <v>0</v>
      </c>
      <c r="F58" s="576">
        <f>IFERROR(IF(VLOOKUP(F$2,MODULY_CBA!$B$3:$N$23,13,0)&lt;=$D58,SUM(F$5:F$14)*VLOOKUP(F$2,MODULY_CBA!$B$3:$M$23,12,0),0),0)</f>
        <v>0</v>
      </c>
      <c r="G58" s="576">
        <f>IFERROR(IF(VLOOKUP(G$2,MODULY_CBA!$B$3:$N$23,13,0)&lt;=$D58,SUM(G$5:G$14)*VLOOKUP(G$2,MODULY_CBA!$B$3:$M$23,12,0),0),0)</f>
        <v>0</v>
      </c>
      <c r="H58" s="576">
        <f>IFERROR(IF(VLOOKUP(H$2,MODULY_CBA!$B$3:$N$23,13,0)&lt;=$D58,SUM(H$5:H$14)*VLOOKUP(H$2,MODULY_CBA!$B$3:$M$23,12,0),0),0)</f>
        <v>0</v>
      </c>
      <c r="I58" s="576">
        <f>IFERROR(IF(VLOOKUP(I$2,MODULY_CBA!$B$3:$N$23,13,0)&lt;=$D58,SUM(I$5:I$14)*VLOOKUP(I$2,MODULY_CBA!$B$3:$M$23,12,0),0),0)</f>
        <v>0</v>
      </c>
      <c r="J58" s="576">
        <f>IFERROR(IF(VLOOKUP(J$2,MODULY_CBA!$B$3:$N$23,13,0)&lt;=$D58,SUM(J$5:J$14)*VLOOKUP(J$2,MODULY_CBA!$B$3:$M$23,12,0),0),0)</f>
        <v>0</v>
      </c>
      <c r="K58" s="576">
        <f>IFERROR(IF(VLOOKUP(K$2,MODULY_CBA!$B$3:$N$23,13,0)&lt;=$D58,SUM(K$5:K$14)*VLOOKUP(K$2,MODULY_CBA!$B$3:$M$23,12,0),0),0)</f>
        <v>0</v>
      </c>
      <c r="L58" s="576">
        <f>IFERROR(IF(VLOOKUP(L$2,MODULY_CBA!$B$3:$N$23,13,0)&lt;=$D58,SUM(L$5:L$14)*VLOOKUP(L$2,MODULY_CBA!$B$3:$M$23,12,0),0),0)</f>
        <v>0</v>
      </c>
      <c r="M58" s="576">
        <f>IFERROR(IF(VLOOKUP(M$2,MODULY_CBA!$B$3:$N$23,13,0)&lt;=$D58,SUM(M$5:M$14)*VLOOKUP(M$2,MODULY_CBA!$B$3:$M$23,12,0),0),0)</f>
        <v>0</v>
      </c>
      <c r="N58" s="576">
        <f>IFERROR(IF(VLOOKUP(N$2,MODULY_CBA!$B$3:$N$23,13,0)&lt;=$D58,SUM(N$5:N$14)*VLOOKUP(N$2,MODULY_CBA!$B$3:$M$23,12,0),0),0)</f>
        <v>0</v>
      </c>
      <c r="O58" s="576">
        <f>IFERROR(IF(VLOOKUP(O$2,MODULY_CBA!$B$3:$N$23,13,0)&lt;=$D58,SUM(O$5:O$14)*VLOOKUP(O$2,MODULY_CBA!$B$3:$M$23,12,0),0),0)</f>
        <v>0</v>
      </c>
      <c r="P58" s="576">
        <f>IFERROR(IF(VLOOKUP(P$2,MODULY_CBA!$B$3:$N$23,13,0)&lt;=$D58,SUM(P$5:P$14)*VLOOKUP(P$2,MODULY_CBA!$B$3:$M$23,12,0),0),0)</f>
        <v>0</v>
      </c>
      <c r="Q58" s="576">
        <f>IFERROR(IF(VLOOKUP(Q$2,MODULY_CBA!$B$3:$N$23,13,0)&lt;=$D58,SUM(Q$5:Q$14)*VLOOKUP(Q$2,MODULY_CBA!$B$3:$M$23,12,0),0),0)</f>
        <v>0</v>
      </c>
      <c r="R58" s="576">
        <f>IFERROR(IF(VLOOKUP(R$2,MODULY_CBA!$B$3:$N$23,13,0)&lt;=$D58,SUM(R$5:R$14)*VLOOKUP(R$2,MODULY_CBA!$B$3:$M$23,12,0),0),0)</f>
        <v>0</v>
      </c>
      <c r="S58" s="576">
        <f>IFERROR(IF(VLOOKUP(S$2,MODULY_CBA!$B$3:$N$23,13,0)&lt;=$D58,SUM(S$5:S$14)*VLOOKUP(S$2,MODULY_CBA!$B$3:$M$23,12,0),0),0)</f>
        <v>0</v>
      </c>
      <c r="T58" s="576">
        <f>IFERROR(IF(VLOOKUP(T$2,MODULY_CBA!$B$3:$N$23,13,0)&lt;=$D58,SUM(T$5:T$14)*VLOOKUP(T$2,MODULY_CBA!$B$3:$M$23,12,0),0),0)</f>
        <v>0</v>
      </c>
      <c r="U58" s="576">
        <f>IFERROR(IF(VLOOKUP(U$2,MODULY_CBA!$B$3:$N$23,13,0)&lt;=$D58,SUM(U$5:U$14)*VLOOKUP(U$2,MODULY_CBA!$B$3:$M$23,12,0),0),0)</f>
        <v>0</v>
      </c>
      <c r="V58" s="576">
        <f>IFERROR(IF(VLOOKUP(V$2,MODULY_CBA!$B$3:$N$23,13,0)&lt;=$D58,SUM(V$5:V$14)*VLOOKUP(V$2,MODULY_CBA!$B$3:$M$23,12,0),0),0)</f>
        <v>0</v>
      </c>
      <c r="W58" s="576">
        <f>IFERROR(IF(VLOOKUP(W$2,MODULY_CBA!$B$3:$N$23,13,0)&lt;=$D58,SUM(W$5:W$14)*VLOOKUP(W$2,MODULY_CBA!$B$3:$M$23,12,0),0),0)</f>
        <v>0</v>
      </c>
      <c r="X58" s="576">
        <f>IFERROR(IF(VLOOKUP(X$2,MODULY_CBA!$B$3:$N$23,13,0)&lt;=$D58,SUM(X$5:X$14)*VLOOKUP(X$2,MODULY_CBA!$B$3:$M$23,12,0),0),0)</f>
        <v>0</v>
      </c>
      <c r="Y58" s="576">
        <f>IFERROR(IF(VLOOKUP(Y$2,MODULY_CBA!$B$3:$N$23,13,0)&lt;=$D58,SUM(Y$5:Y$14)*VLOOKUP(Y$2,MODULY_CBA!$B$3:$M$23,12,0),0),0)</f>
        <v>0</v>
      </c>
      <c r="Z58" s="576">
        <f>IFERROR(IF(VLOOKUP(Z$2,MODULY_CBA!$B$3:$N$23,13,0)&lt;=$D58,SUM(Z$5:Z$14)*VLOOKUP(Z$2,MODULY_CBA!$B$3:$M$23,12,0),0),0)</f>
        <v>0</v>
      </c>
    </row>
    <row r="59" spans="1:26" outlineLevel="1">
      <c r="A59" s="875"/>
      <c r="B59" s="876"/>
      <c r="C59" s="876"/>
      <c r="D59" s="495">
        <v>4</v>
      </c>
      <c r="E59" s="68">
        <f t="shared" si="7"/>
        <v>0</v>
      </c>
      <c r="F59" s="576">
        <f>IFERROR(IF(VLOOKUP(F$2,MODULY_CBA!$B$3:$N$23,13,0)&lt;=$D59,SUM(F$5:F$14)*VLOOKUP(F$2,MODULY_CBA!$B$3:$M$23,12,0),0),0)</f>
        <v>0</v>
      </c>
      <c r="G59" s="576">
        <f>IFERROR(IF(VLOOKUP(G$2,MODULY_CBA!$B$3:$N$23,13,0)&lt;=$D59,SUM(G$5:G$14)*VLOOKUP(G$2,MODULY_CBA!$B$3:$M$23,12,0),0),0)</f>
        <v>0</v>
      </c>
      <c r="H59" s="576">
        <f>IFERROR(IF(VLOOKUP(H$2,MODULY_CBA!$B$3:$N$23,13,0)&lt;=$D59,SUM(H$5:H$14)*VLOOKUP(H$2,MODULY_CBA!$B$3:$M$23,12,0),0),0)</f>
        <v>0</v>
      </c>
      <c r="I59" s="576">
        <f>IFERROR(IF(VLOOKUP(I$2,MODULY_CBA!$B$3:$N$23,13,0)&lt;=$D59,SUM(I$5:I$14)*VLOOKUP(I$2,MODULY_CBA!$B$3:$M$23,12,0),0),0)</f>
        <v>0</v>
      </c>
      <c r="J59" s="576">
        <f>IFERROR(IF(VLOOKUP(J$2,MODULY_CBA!$B$3:$N$23,13,0)&lt;=$D59,SUM(J$5:J$14)*VLOOKUP(J$2,MODULY_CBA!$B$3:$M$23,12,0),0),0)</f>
        <v>0</v>
      </c>
      <c r="K59" s="576">
        <f>IFERROR(IF(VLOOKUP(K$2,MODULY_CBA!$B$3:$N$23,13,0)&lt;=$D59,SUM(K$5:K$14)*VLOOKUP(K$2,MODULY_CBA!$B$3:$M$23,12,0),0),0)</f>
        <v>0</v>
      </c>
      <c r="L59" s="576">
        <f>IFERROR(IF(VLOOKUP(L$2,MODULY_CBA!$B$3:$N$23,13,0)&lt;=$D59,SUM(L$5:L$14)*VLOOKUP(L$2,MODULY_CBA!$B$3:$M$23,12,0),0),0)</f>
        <v>0</v>
      </c>
      <c r="M59" s="576">
        <f>IFERROR(IF(VLOOKUP(M$2,MODULY_CBA!$B$3:$N$23,13,0)&lt;=$D59,SUM(M$5:M$14)*VLOOKUP(M$2,MODULY_CBA!$B$3:$M$23,12,0),0),0)</f>
        <v>0</v>
      </c>
      <c r="N59" s="576">
        <f>IFERROR(IF(VLOOKUP(N$2,MODULY_CBA!$B$3:$N$23,13,0)&lt;=$D59,SUM(N$5:N$14)*VLOOKUP(N$2,MODULY_CBA!$B$3:$M$23,12,0),0),0)</f>
        <v>0</v>
      </c>
      <c r="O59" s="576">
        <f>IFERROR(IF(VLOOKUP(O$2,MODULY_CBA!$B$3:$N$23,13,0)&lt;=$D59,SUM(O$5:O$14)*VLOOKUP(O$2,MODULY_CBA!$B$3:$M$23,12,0),0),0)</f>
        <v>0</v>
      </c>
      <c r="P59" s="576">
        <f>IFERROR(IF(VLOOKUP(P$2,MODULY_CBA!$B$3:$N$23,13,0)&lt;=$D59,SUM(P$5:P$14)*VLOOKUP(P$2,MODULY_CBA!$B$3:$M$23,12,0),0),0)</f>
        <v>0</v>
      </c>
      <c r="Q59" s="576">
        <f>IFERROR(IF(VLOOKUP(Q$2,MODULY_CBA!$B$3:$N$23,13,0)&lt;=$D59,SUM(Q$5:Q$14)*VLOOKUP(Q$2,MODULY_CBA!$B$3:$M$23,12,0),0),0)</f>
        <v>0</v>
      </c>
      <c r="R59" s="576">
        <f>IFERROR(IF(VLOOKUP(R$2,MODULY_CBA!$B$3:$N$23,13,0)&lt;=$D59,SUM(R$5:R$14)*VLOOKUP(R$2,MODULY_CBA!$B$3:$M$23,12,0),0),0)</f>
        <v>0</v>
      </c>
      <c r="S59" s="576">
        <f>IFERROR(IF(VLOOKUP(S$2,MODULY_CBA!$B$3:$N$23,13,0)&lt;=$D59,SUM(S$5:S$14)*VLOOKUP(S$2,MODULY_CBA!$B$3:$M$23,12,0),0),0)</f>
        <v>0</v>
      </c>
      <c r="T59" s="576">
        <f>IFERROR(IF(VLOOKUP(T$2,MODULY_CBA!$B$3:$N$23,13,0)&lt;=$D59,SUM(T$5:T$14)*VLOOKUP(T$2,MODULY_CBA!$B$3:$M$23,12,0),0),0)</f>
        <v>0</v>
      </c>
      <c r="U59" s="576">
        <f>IFERROR(IF(VLOOKUP(U$2,MODULY_CBA!$B$3:$N$23,13,0)&lt;=$D59,SUM(U$5:U$14)*VLOOKUP(U$2,MODULY_CBA!$B$3:$M$23,12,0),0),0)</f>
        <v>0</v>
      </c>
      <c r="V59" s="576">
        <f>IFERROR(IF(VLOOKUP(V$2,MODULY_CBA!$B$3:$N$23,13,0)&lt;=$D59,SUM(V$5:V$14)*VLOOKUP(V$2,MODULY_CBA!$B$3:$M$23,12,0),0),0)</f>
        <v>0</v>
      </c>
      <c r="W59" s="576">
        <f>IFERROR(IF(VLOOKUP(W$2,MODULY_CBA!$B$3:$N$23,13,0)&lt;=$D59,SUM(W$5:W$14)*VLOOKUP(W$2,MODULY_CBA!$B$3:$M$23,12,0),0),0)</f>
        <v>0</v>
      </c>
      <c r="X59" s="576">
        <f>IFERROR(IF(VLOOKUP(X$2,MODULY_CBA!$B$3:$N$23,13,0)&lt;=$D59,SUM(X$5:X$14)*VLOOKUP(X$2,MODULY_CBA!$B$3:$M$23,12,0),0),0)</f>
        <v>0</v>
      </c>
      <c r="Y59" s="576">
        <f>IFERROR(IF(VLOOKUP(Y$2,MODULY_CBA!$B$3:$N$23,13,0)&lt;=$D59,SUM(Y$5:Y$14)*VLOOKUP(Y$2,MODULY_CBA!$B$3:$M$23,12,0),0),0)</f>
        <v>0</v>
      </c>
      <c r="Z59" s="576">
        <f>IFERROR(IF(VLOOKUP(Z$2,MODULY_CBA!$B$3:$N$23,13,0)&lt;=$D59,SUM(Z$5:Z$14)*VLOOKUP(Z$2,MODULY_CBA!$B$3:$M$23,12,0),0),0)</f>
        <v>0</v>
      </c>
    </row>
    <row r="60" spans="1:26" outlineLevel="1">
      <c r="A60" s="875"/>
      <c r="B60" s="876"/>
      <c r="C60" s="876"/>
      <c r="D60" s="495">
        <v>5</v>
      </c>
      <c r="E60" s="68">
        <f t="shared" si="7"/>
        <v>0</v>
      </c>
      <c r="F60" s="576">
        <f>IFERROR(IF(VLOOKUP(F$2,MODULY_CBA!$B$3:$N$23,13,0)&lt;=$D60,SUM(F$5:F$14)*VLOOKUP(F$2,MODULY_CBA!$B$3:$M$23,12,0),0),0)</f>
        <v>0</v>
      </c>
      <c r="G60" s="576">
        <f>IFERROR(IF(VLOOKUP(G$2,MODULY_CBA!$B$3:$N$23,13,0)&lt;=$D60,SUM(G$5:G$14)*VLOOKUP(G$2,MODULY_CBA!$B$3:$M$23,12,0),0),0)</f>
        <v>0</v>
      </c>
      <c r="H60" s="576">
        <f>IFERROR(IF(VLOOKUP(H$2,MODULY_CBA!$B$3:$N$23,13,0)&lt;=$D60,SUM(H$5:H$14)*VLOOKUP(H$2,MODULY_CBA!$B$3:$M$23,12,0),0),0)</f>
        <v>0</v>
      </c>
      <c r="I60" s="576">
        <f>IFERROR(IF(VLOOKUP(I$2,MODULY_CBA!$B$3:$N$23,13,0)&lt;=$D60,SUM(I$5:I$14)*VLOOKUP(I$2,MODULY_CBA!$B$3:$M$23,12,0),0),0)</f>
        <v>0</v>
      </c>
      <c r="J60" s="576">
        <f>IFERROR(IF(VLOOKUP(J$2,MODULY_CBA!$B$3:$N$23,13,0)&lt;=$D60,SUM(J$5:J$14)*VLOOKUP(J$2,MODULY_CBA!$B$3:$M$23,12,0),0),0)</f>
        <v>0</v>
      </c>
      <c r="K60" s="576">
        <f>IFERROR(IF(VLOOKUP(K$2,MODULY_CBA!$B$3:$N$23,13,0)&lt;=$D60,SUM(K$5:K$14)*VLOOKUP(K$2,MODULY_CBA!$B$3:$M$23,12,0),0),0)</f>
        <v>0</v>
      </c>
      <c r="L60" s="576">
        <f>IFERROR(IF(VLOOKUP(L$2,MODULY_CBA!$B$3:$N$23,13,0)&lt;=$D60,SUM(L$5:L$14)*VLOOKUP(L$2,MODULY_CBA!$B$3:$M$23,12,0),0),0)</f>
        <v>0</v>
      </c>
      <c r="M60" s="576">
        <f>IFERROR(IF(VLOOKUP(M$2,MODULY_CBA!$B$3:$N$23,13,0)&lt;=$D60,SUM(M$5:M$14)*VLOOKUP(M$2,MODULY_CBA!$B$3:$M$23,12,0),0),0)</f>
        <v>0</v>
      </c>
      <c r="N60" s="576">
        <f>IFERROR(IF(VLOOKUP(N$2,MODULY_CBA!$B$3:$N$23,13,0)&lt;=$D60,SUM(N$5:N$14)*VLOOKUP(N$2,MODULY_CBA!$B$3:$M$23,12,0),0),0)</f>
        <v>0</v>
      </c>
      <c r="O60" s="576">
        <f>IFERROR(IF(VLOOKUP(O$2,MODULY_CBA!$B$3:$N$23,13,0)&lt;=$D60,SUM(O$5:O$14)*VLOOKUP(O$2,MODULY_CBA!$B$3:$M$23,12,0),0),0)</f>
        <v>0</v>
      </c>
      <c r="P60" s="576">
        <f>IFERROR(IF(VLOOKUP(P$2,MODULY_CBA!$B$3:$N$23,13,0)&lt;=$D60,SUM(P$5:P$14)*VLOOKUP(P$2,MODULY_CBA!$B$3:$M$23,12,0),0),0)</f>
        <v>0</v>
      </c>
      <c r="Q60" s="576">
        <f>IFERROR(IF(VLOOKUP(Q$2,MODULY_CBA!$B$3:$N$23,13,0)&lt;=$D60,SUM(Q$5:Q$14)*VLOOKUP(Q$2,MODULY_CBA!$B$3:$M$23,12,0),0),0)</f>
        <v>0</v>
      </c>
      <c r="R60" s="576">
        <f>IFERROR(IF(VLOOKUP(R$2,MODULY_CBA!$B$3:$N$23,13,0)&lt;=$D60,SUM(R$5:R$14)*VLOOKUP(R$2,MODULY_CBA!$B$3:$M$23,12,0),0),0)</f>
        <v>0</v>
      </c>
      <c r="S60" s="576">
        <f>IFERROR(IF(VLOOKUP(S$2,MODULY_CBA!$B$3:$N$23,13,0)&lt;=$D60,SUM(S$5:S$14)*VLOOKUP(S$2,MODULY_CBA!$B$3:$M$23,12,0),0),0)</f>
        <v>0</v>
      </c>
      <c r="T60" s="576">
        <f>IFERROR(IF(VLOOKUP(T$2,MODULY_CBA!$B$3:$N$23,13,0)&lt;=$D60,SUM(T$5:T$14)*VLOOKUP(T$2,MODULY_CBA!$B$3:$M$23,12,0),0),0)</f>
        <v>0</v>
      </c>
      <c r="U60" s="576">
        <f>IFERROR(IF(VLOOKUP(U$2,MODULY_CBA!$B$3:$N$23,13,0)&lt;=$D60,SUM(U$5:U$14)*VLOOKUP(U$2,MODULY_CBA!$B$3:$M$23,12,0),0),0)</f>
        <v>0</v>
      </c>
      <c r="V60" s="576">
        <f>IFERROR(IF(VLOOKUP(V$2,MODULY_CBA!$B$3:$N$23,13,0)&lt;=$D60,SUM(V$5:V$14)*VLOOKUP(V$2,MODULY_CBA!$B$3:$M$23,12,0),0),0)</f>
        <v>0</v>
      </c>
      <c r="W60" s="576">
        <f>IFERROR(IF(VLOOKUP(W$2,MODULY_CBA!$B$3:$N$23,13,0)&lt;=$D60,SUM(W$5:W$14)*VLOOKUP(W$2,MODULY_CBA!$B$3:$M$23,12,0),0),0)</f>
        <v>0</v>
      </c>
      <c r="X60" s="576">
        <f>IFERROR(IF(VLOOKUP(X$2,MODULY_CBA!$B$3:$N$23,13,0)&lt;=$D60,SUM(X$5:X$14)*VLOOKUP(X$2,MODULY_CBA!$B$3:$M$23,12,0),0),0)</f>
        <v>0</v>
      </c>
      <c r="Y60" s="576">
        <f>IFERROR(IF(VLOOKUP(Y$2,MODULY_CBA!$B$3:$N$23,13,0)&lt;=$D60,SUM(Y$5:Y$14)*VLOOKUP(Y$2,MODULY_CBA!$B$3:$M$23,12,0),0),0)</f>
        <v>0</v>
      </c>
      <c r="Z60" s="576">
        <f>IFERROR(IF(VLOOKUP(Z$2,MODULY_CBA!$B$3:$N$23,13,0)&lt;=$D60,SUM(Z$5:Z$14)*VLOOKUP(Z$2,MODULY_CBA!$B$3:$M$23,12,0),0),0)</f>
        <v>0</v>
      </c>
    </row>
    <row r="61" spans="1:26" outlineLevel="1">
      <c r="A61" s="875"/>
      <c r="B61" s="876"/>
      <c r="C61" s="876"/>
      <c r="D61" s="495">
        <v>6</v>
      </c>
      <c r="E61" s="68">
        <f t="shared" si="7"/>
        <v>0</v>
      </c>
      <c r="F61" s="576">
        <f>IFERROR(IF(VLOOKUP(F$2,MODULY_CBA!$B$3:$N$23,13,0)&lt;=$D61,SUM(F$5:F$14)*VLOOKUP(F$2,MODULY_CBA!$B$3:$M$23,12,0),0),0)</f>
        <v>0</v>
      </c>
      <c r="G61" s="576">
        <f>IFERROR(IF(VLOOKUP(G$2,MODULY_CBA!$B$3:$N$23,13,0)&lt;=$D61,SUM(G$5:G$14)*VLOOKUP(G$2,MODULY_CBA!$B$3:$M$23,12,0),0),0)</f>
        <v>0</v>
      </c>
      <c r="H61" s="576">
        <f>IFERROR(IF(VLOOKUP(H$2,MODULY_CBA!$B$3:$N$23,13,0)&lt;=$D61,SUM(H$5:H$14)*VLOOKUP(H$2,MODULY_CBA!$B$3:$M$23,12,0),0),0)</f>
        <v>0</v>
      </c>
      <c r="I61" s="576">
        <f>IFERROR(IF(VLOOKUP(I$2,MODULY_CBA!$B$3:$N$23,13,0)&lt;=$D61,SUM(I$5:I$14)*VLOOKUP(I$2,MODULY_CBA!$B$3:$M$23,12,0),0),0)</f>
        <v>0</v>
      </c>
      <c r="J61" s="576">
        <f>IFERROR(IF(VLOOKUP(J$2,MODULY_CBA!$B$3:$N$23,13,0)&lt;=$D61,SUM(J$5:J$14)*VLOOKUP(J$2,MODULY_CBA!$B$3:$M$23,12,0),0),0)</f>
        <v>0</v>
      </c>
      <c r="K61" s="576">
        <f>IFERROR(IF(VLOOKUP(K$2,MODULY_CBA!$B$3:$N$23,13,0)&lt;=$D61,SUM(K$5:K$14)*VLOOKUP(K$2,MODULY_CBA!$B$3:$M$23,12,0),0),0)</f>
        <v>0</v>
      </c>
      <c r="L61" s="576">
        <f>IFERROR(IF(VLOOKUP(L$2,MODULY_CBA!$B$3:$N$23,13,0)&lt;=$D61,SUM(L$5:L$14)*VLOOKUP(L$2,MODULY_CBA!$B$3:$M$23,12,0),0),0)</f>
        <v>0</v>
      </c>
      <c r="M61" s="576">
        <f>IFERROR(IF(VLOOKUP(M$2,MODULY_CBA!$B$3:$N$23,13,0)&lt;=$D61,SUM(M$5:M$14)*VLOOKUP(M$2,MODULY_CBA!$B$3:$M$23,12,0),0),0)</f>
        <v>0</v>
      </c>
      <c r="N61" s="576">
        <f>IFERROR(IF(VLOOKUP(N$2,MODULY_CBA!$B$3:$N$23,13,0)&lt;=$D61,SUM(N$5:N$14)*VLOOKUP(N$2,MODULY_CBA!$B$3:$M$23,12,0),0),0)</f>
        <v>0</v>
      </c>
      <c r="O61" s="576">
        <f>IFERROR(IF(VLOOKUP(O$2,MODULY_CBA!$B$3:$N$23,13,0)&lt;=$D61,SUM(O$5:O$14)*VLOOKUP(O$2,MODULY_CBA!$B$3:$M$23,12,0),0),0)</f>
        <v>0</v>
      </c>
      <c r="P61" s="576">
        <f>IFERROR(IF(VLOOKUP(P$2,MODULY_CBA!$B$3:$N$23,13,0)&lt;=$D61,SUM(P$5:P$14)*VLOOKUP(P$2,MODULY_CBA!$B$3:$M$23,12,0),0),0)</f>
        <v>0</v>
      </c>
      <c r="Q61" s="576">
        <f>IFERROR(IF(VLOOKUP(Q$2,MODULY_CBA!$B$3:$N$23,13,0)&lt;=$D61,SUM(Q$5:Q$14)*VLOOKUP(Q$2,MODULY_CBA!$B$3:$M$23,12,0),0),0)</f>
        <v>0</v>
      </c>
      <c r="R61" s="576">
        <f>IFERROR(IF(VLOOKUP(R$2,MODULY_CBA!$B$3:$N$23,13,0)&lt;=$D61,SUM(R$5:R$14)*VLOOKUP(R$2,MODULY_CBA!$B$3:$M$23,12,0),0),0)</f>
        <v>0</v>
      </c>
      <c r="S61" s="576">
        <f>IFERROR(IF(VLOOKUP(S$2,MODULY_CBA!$B$3:$N$23,13,0)&lt;=$D61,SUM(S$5:S$14)*VLOOKUP(S$2,MODULY_CBA!$B$3:$M$23,12,0),0),0)</f>
        <v>0</v>
      </c>
      <c r="T61" s="576">
        <f>IFERROR(IF(VLOOKUP(T$2,MODULY_CBA!$B$3:$N$23,13,0)&lt;=$D61,SUM(T$5:T$14)*VLOOKUP(T$2,MODULY_CBA!$B$3:$M$23,12,0),0),0)</f>
        <v>0</v>
      </c>
      <c r="U61" s="576">
        <f>IFERROR(IF(VLOOKUP(U$2,MODULY_CBA!$B$3:$N$23,13,0)&lt;=$D61,SUM(U$5:U$14)*VLOOKUP(U$2,MODULY_CBA!$B$3:$M$23,12,0),0),0)</f>
        <v>0</v>
      </c>
      <c r="V61" s="576">
        <f>IFERROR(IF(VLOOKUP(V$2,MODULY_CBA!$B$3:$N$23,13,0)&lt;=$D61,SUM(V$5:V$14)*VLOOKUP(V$2,MODULY_CBA!$B$3:$M$23,12,0),0),0)</f>
        <v>0</v>
      </c>
      <c r="W61" s="576">
        <f>IFERROR(IF(VLOOKUP(W$2,MODULY_CBA!$B$3:$N$23,13,0)&lt;=$D61,SUM(W$5:W$14)*VLOOKUP(W$2,MODULY_CBA!$B$3:$M$23,12,0),0),0)</f>
        <v>0</v>
      </c>
      <c r="X61" s="576">
        <f>IFERROR(IF(VLOOKUP(X$2,MODULY_CBA!$B$3:$N$23,13,0)&lt;=$D61,SUM(X$5:X$14)*VLOOKUP(X$2,MODULY_CBA!$B$3:$M$23,12,0),0),0)</f>
        <v>0</v>
      </c>
      <c r="Y61" s="576">
        <f>IFERROR(IF(VLOOKUP(Y$2,MODULY_CBA!$B$3:$N$23,13,0)&lt;=$D61,SUM(Y$5:Y$14)*VLOOKUP(Y$2,MODULY_CBA!$B$3:$M$23,12,0),0),0)</f>
        <v>0</v>
      </c>
      <c r="Z61" s="576">
        <f>IFERROR(IF(VLOOKUP(Z$2,MODULY_CBA!$B$3:$N$23,13,0)&lt;=$D61,SUM(Z$5:Z$14)*VLOOKUP(Z$2,MODULY_CBA!$B$3:$M$23,12,0),0),0)</f>
        <v>0</v>
      </c>
    </row>
    <row r="62" spans="1:26" outlineLevel="1">
      <c r="A62" s="875"/>
      <c r="B62" s="876"/>
      <c r="C62" s="876"/>
      <c r="D62" s="495">
        <v>7</v>
      </c>
      <c r="E62" s="68">
        <f t="shared" si="7"/>
        <v>0</v>
      </c>
      <c r="F62" s="576">
        <f>IFERROR(IF(VLOOKUP(F$2,MODULY_CBA!$B$3:$N$23,13,0)&lt;=$D62,SUM(F$5:F$14)*VLOOKUP(F$2,MODULY_CBA!$B$3:$M$23,12,0),0),0)</f>
        <v>0</v>
      </c>
      <c r="G62" s="576">
        <f>IFERROR(IF(VLOOKUP(G$2,MODULY_CBA!$B$3:$N$23,13,0)&lt;=$D62,SUM(G$5:G$14)*VLOOKUP(G$2,MODULY_CBA!$B$3:$M$23,12,0),0),0)</f>
        <v>0</v>
      </c>
      <c r="H62" s="576">
        <f>IFERROR(IF(VLOOKUP(H$2,MODULY_CBA!$B$3:$N$23,13,0)&lt;=$D62,SUM(H$5:H$14)*VLOOKUP(H$2,MODULY_CBA!$B$3:$M$23,12,0),0),0)</f>
        <v>0</v>
      </c>
      <c r="I62" s="576">
        <f>IFERROR(IF(VLOOKUP(I$2,MODULY_CBA!$B$3:$N$23,13,0)&lt;=$D62,SUM(I$5:I$14)*VLOOKUP(I$2,MODULY_CBA!$B$3:$M$23,12,0),0),0)</f>
        <v>0</v>
      </c>
      <c r="J62" s="576">
        <f>IFERROR(IF(VLOOKUP(J$2,MODULY_CBA!$B$3:$N$23,13,0)&lt;=$D62,SUM(J$5:J$14)*VLOOKUP(J$2,MODULY_CBA!$B$3:$M$23,12,0),0),0)</f>
        <v>0</v>
      </c>
      <c r="K62" s="576">
        <f>IFERROR(IF(VLOOKUP(K$2,MODULY_CBA!$B$3:$N$23,13,0)&lt;=$D62,SUM(K$5:K$14)*VLOOKUP(K$2,MODULY_CBA!$B$3:$M$23,12,0),0),0)</f>
        <v>0</v>
      </c>
      <c r="L62" s="576">
        <f>IFERROR(IF(VLOOKUP(L$2,MODULY_CBA!$B$3:$N$23,13,0)&lt;=$D62,SUM(L$5:L$14)*VLOOKUP(L$2,MODULY_CBA!$B$3:$M$23,12,0),0),0)</f>
        <v>0</v>
      </c>
      <c r="M62" s="576">
        <f>IFERROR(IF(VLOOKUP(M$2,MODULY_CBA!$B$3:$N$23,13,0)&lt;=$D62,SUM(M$5:M$14)*VLOOKUP(M$2,MODULY_CBA!$B$3:$M$23,12,0),0),0)</f>
        <v>0</v>
      </c>
      <c r="N62" s="576">
        <f>IFERROR(IF(VLOOKUP(N$2,MODULY_CBA!$B$3:$N$23,13,0)&lt;=$D62,SUM(N$5:N$14)*VLOOKUP(N$2,MODULY_CBA!$B$3:$M$23,12,0),0),0)</f>
        <v>0</v>
      </c>
      <c r="O62" s="576">
        <f>IFERROR(IF(VLOOKUP(O$2,MODULY_CBA!$B$3:$N$23,13,0)&lt;=$D62,SUM(O$5:O$14)*VLOOKUP(O$2,MODULY_CBA!$B$3:$M$23,12,0),0),0)</f>
        <v>0</v>
      </c>
      <c r="P62" s="576">
        <f>IFERROR(IF(VLOOKUP(P$2,MODULY_CBA!$B$3:$N$23,13,0)&lt;=$D62,SUM(P$5:P$14)*VLOOKUP(P$2,MODULY_CBA!$B$3:$M$23,12,0),0),0)</f>
        <v>0</v>
      </c>
      <c r="Q62" s="576">
        <f>IFERROR(IF(VLOOKUP(Q$2,MODULY_CBA!$B$3:$N$23,13,0)&lt;=$D62,SUM(Q$5:Q$14)*VLOOKUP(Q$2,MODULY_CBA!$B$3:$M$23,12,0),0),0)</f>
        <v>0</v>
      </c>
      <c r="R62" s="576">
        <f>IFERROR(IF(VLOOKUP(R$2,MODULY_CBA!$B$3:$N$23,13,0)&lt;=$D62,SUM(R$5:R$14)*VLOOKUP(R$2,MODULY_CBA!$B$3:$M$23,12,0),0),0)</f>
        <v>0</v>
      </c>
      <c r="S62" s="576">
        <f>IFERROR(IF(VLOOKUP(S$2,MODULY_CBA!$B$3:$N$23,13,0)&lt;=$D62,SUM(S$5:S$14)*VLOOKUP(S$2,MODULY_CBA!$B$3:$M$23,12,0),0),0)</f>
        <v>0</v>
      </c>
      <c r="T62" s="576">
        <f>IFERROR(IF(VLOOKUP(T$2,MODULY_CBA!$B$3:$N$23,13,0)&lt;=$D62,SUM(T$5:T$14)*VLOOKUP(T$2,MODULY_CBA!$B$3:$M$23,12,0),0),0)</f>
        <v>0</v>
      </c>
      <c r="U62" s="576">
        <f>IFERROR(IF(VLOOKUP(U$2,MODULY_CBA!$B$3:$N$23,13,0)&lt;=$D62,SUM(U$5:U$14)*VLOOKUP(U$2,MODULY_CBA!$B$3:$M$23,12,0),0),0)</f>
        <v>0</v>
      </c>
      <c r="V62" s="576">
        <f>IFERROR(IF(VLOOKUP(V$2,MODULY_CBA!$B$3:$N$23,13,0)&lt;=$D62,SUM(V$5:V$14)*VLOOKUP(V$2,MODULY_CBA!$B$3:$M$23,12,0),0),0)</f>
        <v>0</v>
      </c>
      <c r="W62" s="576">
        <f>IFERROR(IF(VLOOKUP(W$2,MODULY_CBA!$B$3:$N$23,13,0)&lt;=$D62,SUM(W$5:W$14)*VLOOKUP(W$2,MODULY_CBA!$B$3:$M$23,12,0),0),0)</f>
        <v>0</v>
      </c>
      <c r="X62" s="576">
        <f>IFERROR(IF(VLOOKUP(X$2,MODULY_CBA!$B$3:$N$23,13,0)&lt;=$D62,SUM(X$5:X$14)*VLOOKUP(X$2,MODULY_CBA!$B$3:$M$23,12,0),0),0)</f>
        <v>0</v>
      </c>
      <c r="Y62" s="576">
        <f>IFERROR(IF(VLOOKUP(Y$2,MODULY_CBA!$B$3:$N$23,13,0)&lt;=$D62,SUM(Y$5:Y$14)*VLOOKUP(Y$2,MODULY_CBA!$B$3:$M$23,12,0),0),0)</f>
        <v>0</v>
      </c>
      <c r="Z62" s="576">
        <f>IFERROR(IF(VLOOKUP(Z$2,MODULY_CBA!$B$3:$N$23,13,0)&lt;=$D62,SUM(Z$5:Z$14)*VLOOKUP(Z$2,MODULY_CBA!$B$3:$M$23,12,0),0),0)</f>
        <v>0</v>
      </c>
    </row>
    <row r="63" spans="1:26" outlineLevel="1">
      <c r="A63" s="875"/>
      <c r="B63" s="876"/>
      <c r="C63" s="876"/>
      <c r="D63" s="495">
        <v>8</v>
      </c>
      <c r="E63" s="68">
        <f t="shared" si="7"/>
        <v>0</v>
      </c>
      <c r="F63" s="576">
        <f>IFERROR(IF(VLOOKUP(F$2,MODULY_CBA!$B$3:$N$23,13,0)&lt;=$D63,SUM(F$5:F$14)*VLOOKUP(F$2,MODULY_CBA!$B$3:$M$23,12,0),0),0)</f>
        <v>0</v>
      </c>
      <c r="G63" s="576">
        <f>IFERROR(IF(VLOOKUP(G$2,MODULY_CBA!$B$3:$N$23,13,0)&lt;=$D63,SUM(G$5:G$14)*VLOOKUP(G$2,MODULY_CBA!$B$3:$M$23,12,0),0),0)</f>
        <v>0</v>
      </c>
      <c r="H63" s="576">
        <f>IFERROR(IF(VLOOKUP(H$2,MODULY_CBA!$B$3:$N$23,13,0)&lt;=$D63,SUM(H$5:H$14)*VLOOKUP(H$2,MODULY_CBA!$B$3:$M$23,12,0),0),0)</f>
        <v>0</v>
      </c>
      <c r="I63" s="576">
        <f>IFERROR(IF(VLOOKUP(I$2,MODULY_CBA!$B$3:$N$23,13,0)&lt;=$D63,SUM(I$5:I$14)*VLOOKUP(I$2,MODULY_CBA!$B$3:$M$23,12,0),0),0)</f>
        <v>0</v>
      </c>
      <c r="J63" s="576">
        <f>IFERROR(IF(VLOOKUP(J$2,MODULY_CBA!$B$3:$N$23,13,0)&lt;=$D63,SUM(J$5:J$14)*VLOOKUP(J$2,MODULY_CBA!$B$3:$M$23,12,0),0),0)</f>
        <v>0</v>
      </c>
      <c r="K63" s="576">
        <f>IFERROR(IF(VLOOKUP(K$2,MODULY_CBA!$B$3:$N$23,13,0)&lt;=$D63,SUM(K$5:K$14)*VLOOKUP(K$2,MODULY_CBA!$B$3:$M$23,12,0),0),0)</f>
        <v>0</v>
      </c>
      <c r="L63" s="576">
        <f>IFERROR(IF(VLOOKUP(L$2,MODULY_CBA!$B$3:$N$23,13,0)&lt;=$D63,SUM(L$5:L$14)*VLOOKUP(L$2,MODULY_CBA!$B$3:$M$23,12,0),0),0)</f>
        <v>0</v>
      </c>
      <c r="M63" s="576">
        <f>IFERROR(IF(VLOOKUP(M$2,MODULY_CBA!$B$3:$N$23,13,0)&lt;=$D63,SUM(M$5:M$14)*VLOOKUP(M$2,MODULY_CBA!$B$3:$M$23,12,0),0),0)</f>
        <v>0</v>
      </c>
      <c r="N63" s="576">
        <f>IFERROR(IF(VLOOKUP(N$2,MODULY_CBA!$B$3:$N$23,13,0)&lt;=$D63,SUM(N$5:N$14)*VLOOKUP(N$2,MODULY_CBA!$B$3:$M$23,12,0),0),0)</f>
        <v>0</v>
      </c>
      <c r="O63" s="576">
        <f>IFERROR(IF(VLOOKUP(O$2,MODULY_CBA!$B$3:$N$23,13,0)&lt;=$D63,SUM(O$5:O$14)*VLOOKUP(O$2,MODULY_CBA!$B$3:$M$23,12,0),0),0)</f>
        <v>0</v>
      </c>
      <c r="P63" s="576">
        <f>IFERROR(IF(VLOOKUP(P$2,MODULY_CBA!$B$3:$N$23,13,0)&lt;=$D63,SUM(P$5:P$14)*VLOOKUP(P$2,MODULY_CBA!$B$3:$M$23,12,0),0),0)</f>
        <v>0</v>
      </c>
      <c r="Q63" s="576">
        <f>IFERROR(IF(VLOOKUP(Q$2,MODULY_CBA!$B$3:$N$23,13,0)&lt;=$D63,SUM(Q$5:Q$14)*VLOOKUP(Q$2,MODULY_CBA!$B$3:$M$23,12,0),0),0)</f>
        <v>0</v>
      </c>
      <c r="R63" s="576">
        <f>IFERROR(IF(VLOOKUP(R$2,MODULY_CBA!$B$3:$N$23,13,0)&lt;=$D63,SUM(R$5:R$14)*VLOOKUP(R$2,MODULY_CBA!$B$3:$M$23,12,0),0),0)</f>
        <v>0</v>
      </c>
      <c r="S63" s="576">
        <f>IFERROR(IF(VLOOKUP(S$2,MODULY_CBA!$B$3:$N$23,13,0)&lt;=$D63,SUM(S$5:S$14)*VLOOKUP(S$2,MODULY_CBA!$B$3:$M$23,12,0),0),0)</f>
        <v>0</v>
      </c>
      <c r="T63" s="576">
        <f>IFERROR(IF(VLOOKUP(T$2,MODULY_CBA!$B$3:$N$23,13,0)&lt;=$D63,SUM(T$5:T$14)*VLOOKUP(T$2,MODULY_CBA!$B$3:$M$23,12,0),0),0)</f>
        <v>0</v>
      </c>
      <c r="U63" s="576">
        <f>IFERROR(IF(VLOOKUP(U$2,MODULY_CBA!$B$3:$N$23,13,0)&lt;=$D63,SUM(U$5:U$14)*VLOOKUP(U$2,MODULY_CBA!$B$3:$M$23,12,0),0),0)</f>
        <v>0</v>
      </c>
      <c r="V63" s="576">
        <f>IFERROR(IF(VLOOKUP(V$2,MODULY_CBA!$B$3:$N$23,13,0)&lt;=$D63,SUM(V$5:V$14)*VLOOKUP(V$2,MODULY_CBA!$B$3:$M$23,12,0),0),0)</f>
        <v>0</v>
      </c>
      <c r="W63" s="576">
        <f>IFERROR(IF(VLOOKUP(W$2,MODULY_CBA!$B$3:$N$23,13,0)&lt;=$D63,SUM(W$5:W$14)*VLOOKUP(W$2,MODULY_CBA!$B$3:$M$23,12,0),0),0)</f>
        <v>0</v>
      </c>
      <c r="X63" s="576">
        <f>IFERROR(IF(VLOOKUP(X$2,MODULY_CBA!$B$3:$N$23,13,0)&lt;=$D63,SUM(X$5:X$14)*VLOOKUP(X$2,MODULY_CBA!$B$3:$M$23,12,0),0),0)</f>
        <v>0</v>
      </c>
      <c r="Y63" s="576">
        <f>IFERROR(IF(VLOOKUP(Y$2,MODULY_CBA!$B$3:$N$23,13,0)&lt;=$D63,SUM(Y$5:Y$14)*VLOOKUP(Y$2,MODULY_CBA!$B$3:$M$23,12,0),0),0)</f>
        <v>0</v>
      </c>
      <c r="Z63" s="576">
        <f>IFERROR(IF(VLOOKUP(Z$2,MODULY_CBA!$B$3:$N$23,13,0)&lt;=$D63,SUM(Z$5:Z$14)*VLOOKUP(Z$2,MODULY_CBA!$B$3:$M$23,12,0),0),0)</f>
        <v>0</v>
      </c>
    </row>
    <row r="64" spans="1:26" outlineLevel="1">
      <c r="A64" s="875"/>
      <c r="B64" s="876"/>
      <c r="C64" s="876"/>
      <c r="D64" s="495">
        <v>9</v>
      </c>
      <c r="E64" s="68">
        <f t="shared" si="7"/>
        <v>0</v>
      </c>
      <c r="F64" s="576">
        <f>IFERROR(IF(VLOOKUP(F$2,MODULY_CBA!$B$3:$N$23,13,0)&lt;=$D64,SUM(F$5:F$14)*VLOOKUP(F$2,MODULY_CBA!$B$3:$M$23,12,0),0),0)</f>
        <v>0</v>
      </c>
      <c r="G64" s="576">
        <f>IFERROR(IF(VLOOKUP(G$2,MODULY_CBA!$B$3:$N$23,13,0)&lt;=$D64,SUM(G$5:G$14)*VLOOKUP(G$2,MODULY_CBA!$B$3:$M$23,12,0),0),0)</f>
        <v>0</v>
      </c>
      <c r="H64" s="576">
        <f>IFERROR(IF(VLOOKUP(H$2,MODULY_CBA!$B$3:$N$23,13,0)&lt;=$D64,SUM(H$5:H$14)*VLOOKUP(H$2,MODULY_CBA!$B$3:$M$23,12,0),0),0)</f>
        <v>0</v>
      </c>
      <c r="I64" s="576">
        <f>IFERROR(IF(VLOOKUP(I$2,MODULY_CBA!$B$3:$N$23,13,0)&lt;=$D64,SUM(I$5:I$14)*VLOOKUP(I$2,MODULY_CBA!$B$3:$M$23,12,0),0),0)</f>
        <v>0</v>
      </c>
      <c r="J64" s="576">
        <f>IFERROR(IF(VLOOKUP(J$2,MODULY_CBA!$B$3:$N$23,13,0)&lt;=$D64,SUM(J$5:J$14)*VLOOKUP(J$2,MODULY_CBA!$B$3:$M$23,12,0),0),0)</f>
        <v>0</v>
      </c>
      <c r="K64" s="576">
        <f>IFERROR(IF(VLOOKUP(K$2,MODULY_CBA!$B$3:$N$23,13,0)&lt;=$D64,SUM(K$5:K$14)*VLOOKUP(K$2,MODULY_CBA!$B$3:$M$23,12,0),0),0)</f>
        <v>0</v>
      </c>
      <c r="L64" s="576">
        <f>IFERROR(IF(VLOOKUP(L$2,MODULY_CBA!$B$3:$N$23,13,0)&lt;=$D64,SUM(L$5:L$14)*VLOOKUP(L$2,MODULY_CBA!$B$3:$M$23,12,0),0),0)</f>
        <v>0</v>
      </c>
      <c r="M64" s="576">
        <f>IFERROR(IF(VLOOKUP(M$2,MODULY_CBA!$B$3:$N$23,13,0)&lt;=$D64,SUM(M$5:M$14)*VLOOKUP(M$2,MODULY_CBA!$B$3:$M$23,12,0),0),0)</f>
        <v>0</v>
      </c>
      <c r="N64" s="576">
        <f>IFERROR(IF(VLOOKUP(N$2,MODULY_CBA!$B$3:$N$23,13,0)&lt;=$D64,SUM(N$5:N$14)*VLOOKUP(N$2,MODULY_CBA!$B$3:$M$23,12,0),0),0)</f>
        <v>0</v>
      </c>
      <c r="O64" s="576">
        <f>IFERROR(IF(VLOOKUP(O$2,MODULY_CBA!$B$3:$N$23,13,0)&lt;=$D64,SUM(O$5:O$14)*VLOOKUP(O$2,MODULY_CBA!$B$3:$M$23,12,0),0),0)</f>
        <v>0</v>
      </c>
      <c r="P64" s="576">
        <f>IFERROR(IF(VLOOKUP(P$2,MODULY_CBA!$B$3:$N$23,13,0)&lt;=$D64,SUM(P$5:P$14)*VLOOKUP(P$2,MODULY_CBA!$B$3:$M$23,12,0),0),0)</f>
        <v>0</v>
      </c>
      <c r="Q64" s="576">
        <f>IFERROR(IF(VLOOKUP(Q$2,MODULY_CBA!$B$3:$N$23,13,0)&lt;=$D64,SUM(Q$5:Q$14)*VLOOKUP(Q$2,MODULY_CBA!$B$3:$M$23,12,0),0),0)</f>
        <v>0</v>
      </c>
      <c r="R64" s="576">
        <f>IFERROR(IF(VLOOKUP(R$2,MODULY_CBA!$B$3:$N$23,13,0)&lt;=$D64,SUM(R$5:R$14)*VLOOKUP(R$2,MODULY_CBA!$B$3:$M$23,12,0),0),0)</f>
        <v>0</v>
      </c>
      <c r="S64" s="576">
        <f>IFERROR(IF(VLOOKUP(S$2,MODULY_CBA!$B$3:$N$23,13,0)&lt;=$D64,SUM(S$5:S$14)*VLOOKUP(S$2,MODULY_CBA!$B$3:$M$23,12,0),0),0)</f>
        <v>0</v>
      </c>
      <c r="T64" s="576">
        <f>IFERROR(IF(VLOOKUP(T$2,MODULY_CBA!$B$3:$N$23,13,0)&lt;=$D64,SUM(T$5:T$14)*VLOOKUP(T$2,MODULY_CBA!$B$3:$M$23,12,0),0),0)</f>
        <v>0</v>
      </c>
      <c r="U64" s="576">
        <f>IFERROR(IF(VLOOKUP(U$2,MODULY_CBA!$B$3:$N$23,13,0)&lt;=$D64,SUM(U$5:U$14)*VLOOKUP(U$2,MODULY_CBA!$B$3:$M$23,12,0),0),0)</f>
        <v>0</v>
      </c>
      <c r="V64" s="576">
        <f>IFERROR(IF(VLOOKUP(V$2,MODULY_CBA!$B$3:$N$23,13,0)&lt;=$D64,SUM(V$5:V$14)*VLOOKUP(V$2,MODULY_CBA!$B$3:$M$23,12,0),0),0)</f>
        <v>0</v>
      </c>
      <c r="W64" s="576">
        <f>IFERROR(IF(VLOOKUP(W$2,MODULY_CBA!$B$3:$N$23,13,0)&lt;=$D64,SUM(W$5:W$14)*VLOOKUP(W$2,MODULY_CBA!$B$3:$M$23,12,0),0),0)</f>
        <v>0</v>
      </c>
      <c r="X64" s="576">
        <f>IFERROR(IF(VLOOKUP(X$2,MODULY_CBA!$B$3:$N$23,13,0)&lt;=$D64,SUM(X$5:X$14)*VLOOKUP(X$2,MODULY_CBA!$B$3:$M$23,12,0),0),0)</f>
        <v>0</v>
      </c>
      <c r="Y64" s="576">
        <f>IFERROR(IF(VLOOKUP(Y$2,MODULY_CBA!$B$3:$N$23,13,0)&lt;=$D64,SUM(Y$5:Y$14)*VLOOKUP(Y$2,MODULY_CBA!$B$3:$M$23,12,0),0),0)</f>
        <v>0</v>
      </c>
      <c r="Z64" s="576">
        <f>IFERROR(IF(VLOOKUP(Z$2,MODULY_CBA!$B$3:$N$23,13,0)&lt;=$D64,SUM(Z$5:Z$14)*VLOOKUP(Z$2,MODULY_CBA!$B$3:$M$23,12,0),0),0)</f>
        <v>0</v>
      </c>
    </row>
    <row r="65" spans="1:28" ht="15.75" outlineLevel="1" thickBot="1">
      <c r="A65" s="875"/>
      <c r="B65" s="876"/>
      <c r="C65" s="876"/>
      <c r="D65" s="496">
        <v>10</v>
      </c>
      <c r="E65" s="69">
        <f t="shared" si="7"/>
        <v>0</v>
      </c>
      <c r="F65" s="576">
        <f>IFERROR(IF(VLOOKUP(F$2,MODULY_CBA!$B$3:$N$23,13,0)&lt;=$D65,SUM(F$5:F$14)*VLOOKUP(F$2,MODULY_CBA!$B$3:$M$23,12,0),0),0)</f>
        <v>0</v>
      </c>
      <c r="G65" s="576">
        <f>IFERROR(IF(VLOOKUP(G$2,MODULY_CBA!$B$3:$N$23,13,0)&lt;=$D65,SUM(G$5:G$14)*VLOOKUP(G$2,MODULY_CBA!$B$3:$M$23,12,0),0),0)</f>
        <v>0</v>
      </c>
      <c r="H65" s="576">
        <f>IFERROR(IF(VLOOKUP(H$2,MODULY_CBA!$B$3:$N$23,13,0)&lt;=$D65,SUM(H$5:H$14)*VLOOKUP(H$2,MODULY_CBA!$B$3:$M$23,12,0),0),0)</f>
        <v>0</v>
      </c>
      <c r="I65" s="576">
        <f>IFERROR(IF(VLOOKUP(I$2,MODULY_CBA!$B$3:$N$23,13,0)&lt;=$D65,SUM(I$5:I$14)*VLOOKUP(I$2,MODULY_CBA!$B$3:$M$23,12,0),0),0)</f>
        <v>0</v>
      </c>
      <c r="J65" s="576">
        <f>IFERROR(IF(VLOOKUP(J$2,MODULY_CBA!$B$3:$N$23,13,0)&lt;=$D65,SUM(J$5:J$14)*VLOOKUP(J$2,MODULY_CBA!$B$3:$M$23,12,0),0),0)</f>
        <v>0</v>
      </c>
      <c r="K65" s="576">
        <f>IFERROR(IF(VLOOKUP(K$2,MODULY_CBA!$B$3:$N$23,13,0)&lt;=$D65,SUM(K$5:K$14)*VLOOKUP(K$2,MODULY_CBA!$B$3:$M$23,12,0),0),0)</f>
        <v>0</v>
      </c>
      <c r="L65" s="576">
        <f>IFERROR(IF(VLOOKUP(L$2,MODULY_CBA!$B$3:$N$23,13,0)&lt;=$D65,SUM(L$5:L$14)*VLOOKUP(L$2,MODULY_CBA!$B$3:$M$23,12,0),0),0)</f>
        <v>0</v>
      </c>
      <c r="M65" s="576">
        <f>IFERROR(IF(VLOOKUP(M$2,MODULY_CBA!$B$3:$N$23,13,0)&lt;=$D65,SUM(M$5:M$14)*VLOOKUP(M$2,MODULY_CBA!$B$3:$M$23,12,0),0),0)</f>
        <v>0</v>
      </c>
      <c r="N65" s="576">
        <f>IFERROR(IF(VLOOKUP(N$2,MODULY_CBA!$B$3:$N$23,13,0)&lt;=$D65,SUM(N$5:N$14)*VLOOKUP(N$2,MODULY_CBA!$B$3:$M$23,12,0),0),0)</f>
        <v>0</v>
      </c>
      <c r="O65" s="576">
        <f>IFERROR(IF(VLOOKUP(O$2,MODULY_CBA!$B$3:$N$23,13,0)&lt;=$D65,SUM(O$5:O$14)*VLOOKUP(O$2,MODULY_CBA!$B$3:$M$23,12,0),0),0)</f>
        <v>0</v>
      </c>
      <c r="P65" s="576">
        <f>IFERROR(IF(VLOOKUP(P$2,MODULY_CBA!$B$3:$N$23,13,0)&lt;=$D65,SUM(P$5:P$14)*VLOOKUP(P$2,MODULY_CBA!$B$3:$M$23,12,0),0),0)</f>
        <v>0</v>
      </c>
      <c r="Q65" s="576">
        <f>IFERROR(IF(VLOOKUP(Q$2,MODULY_CBA!$B$3:$N$23,13,0)&lt;=$D65,SUM(Q$5:Q$14)*VLOOKUP(Q$2,MODULY_CBA!$B$3:$M$23,12,0),0),0)</f>
        <v>0</v>
      </c>
      <c r="R65" s="576">
        <f>IFERROR(IF(VLOOKUP(R$2,MODULY_CBA!$B$3:$N$23,13,0)&lt;=$D65,SUM(R$5:R$14)*VLOOKUP(R$2,MODULY_CBA!$B$3:$M$23,12,0),0),0)</f>
        <v>0</v>
      </c>
      <c r="S65" s="576">
        <f>IFERROR(IF(VLOOKUP(S$2,MODULY_CBA!$B$3:$N$23,13,0)&lt;=$D65,SUM(S$5:S$14)*VLOOKUP(S$2,MODULY_CBA!$B$3:$M$23,12,0),0),0)</f>
        <v>0</v>
      </c>
      <c r="T65" s="576">
        <f>IFERROR(IF(VLOOKUP(T$2,MODULY_CBA!$B$3:$N$23,13,0)&lt;=$D65,SUM(T$5:T$14)*VLOOKUP(T$2,MODULY_CBA!$B$3:$M$23,12,0),0),0)</f>
        <v>0</v>
      </c>
      <c r="U65" s="576">
        <f>IFERROR(IF(VLOOKUP(U$2,MODULY_CBA!$B$3:$N$23,13,0)&lt;=$D65,SUM(U$5:U$14)*VLOOKUP(U$2,MODULY_CBA!$B$3:$M$23,12,0),0),0)</f>
        <v>0</v>
      </c>
      <c r="V65" s="576">
        <f>IFERROR(IF(VLOOKUP(V$2,MODULY_CBA!$B$3:$N$23,13,0)&lt;=$D65,SUM(V$5:V$14)*VLOOKUP(V$2,MODULY_CBA!$B$3:$M$23,12,0),0),0)</f>
        <v>0</v>
      </c>
      <c r="W65" s="576">
        <f>IFERROR(IF(VLOOKUP(W$2,MODULY_CBA!$B$3:$N$23,13,0)&lt;=$D65,SUM(W$5:W$14)*VLOOKUP(W$2,MODULY_CBA!$B$3:$M$23,12,0),0),0)</f>
        <v>0</v>
      </c>
      <c r="X65" s="576">
        <f>IFERROR(IF(VLOOKUP(X$2,MODULY_CBA!$B$3:$N$23,13,0)&lt;=$D65,SUM(X$5:X$14)*VLOOKUP(X$2,MODULY_CBA!$B$3:$M$23,12,0),0),0)</f>
        <v>0</v>
      </c>
      <c r="Y65" s="576">
        <f>IFERROR(IF(VLOOKUP(Y$2,MODULY_CBA!$B$3:$N$23,13,0)&lt;=$D65,SUM(Y$5:Y$14)*VLOOKUP(Y$2,MODULY_CBA!$B$3:$M$23,12,0),0),0)</f>
        <v>0</v>
      </c>
      <c r="Z65" s="576">
        <f>IFERROR(IF(VLOOKUP(Z$2,MODULY_CBA!$B$3:$N$23,13,0)&lt;=$D65,SUM(Z$5:Z$14)*VLOOKUP(Z$2,MODULY_CBA!$B$3:$M$23,12,0),0),0)</f>
        <v>0</v>
      </c>
    </row>
    <row r="66" spans="1:28" outlineLevel="1">
      <c r="A66" s="875" t="s">
        <v>92</v>
      </c>
      <c r="B66" s="875" t="s">
        <v>90</v>
      </c>
      <c r="C66" s="876">
        <v>718002</v>
      </c>
      <c r="D66" s="494">
        <v>1</v>
      </c>
      <c r="E66" s="68">
        <f t="shared" si="7"/>
        <v>0</v>
      </c>
      <c r="F66" s="578">
        <v>0</v>
      </c>
      <c r="G66" s="578">
        <v>0</v>
      </c>
      <c r="H66" s="578">
        <v>0</v>
      </c>
      <c r="I66" s="578">
        <v>0</v>
      </c>
      <c r="J66" s="578">
        <v>0</v>
      </c>
      <c r="K66" s="578">
        <v>0</v>
      </c>
      <c r="L66" s="578">
        <v>0</v>
      </c>
      <c r="M66" s="578">
        <v>0</v>
      </c>
      <c r="N66" s="578">
        <v>0</v>
      </c>
      <c r="O66" s="578">
        <v>0</v>
      </c>
      <c r="P66" s="578">
        <v>0</v>
      </c>
      <c r="Q66" s="578">
        <v>0</v>
      </c>
      <c r="R66" s="578">
        <v>0</v>
      </c>
      <c r="S66" s="578">
        <v>0</v>
      </c>
      <c r="T66" s="578">
        <v>0</v>
      </c>
      <c r="U66" s="578">
        <v>0</v>
      </c>
      <c r="V66" s="578">
        <v>0</v>
      </c>
      <c r="W66" s="578">
        <v>0</v>
      </c>
      <c r="X66" s="578">
        <v>0</v>
      </c>
      <c r="Y66" s="578">
        <v>0</v>
      </c>
      <c r="Z66" s="578">
        <v>0</v>
      </c>
    </row>
    <row r="67" spans="1:28" outlineLevel="1">
      <c r="A67" s="875"/>
      <c r="B67" s="876"/>
      <c r="C67" s="876"/>
      <c r="D67" s="495">
        <v>2</v>
      </c>
      <c r="E67" s="68">
        <f t="shared" si="7"/>
        <v>0</v>
      </c>
      <c r="F67" s="579">
        <v>0</v>
      </c>
      <c r="G67" s="579">
        <v>0</v>
      </c>
      <c r="H67" s="579">
        <v>0</v>
      </c>
      <c r="I67" s="579">
        <v>0</v>
      </c>
      <c r="J67" s="579">
        <v>0</v>
      </c>
      <c r="K67" s="579">
        <v>0</v>
      </c>
      <c r="L67" s="579">
        <v>0</v>
      </c>
      <c r="M67" s="579">
        <v>0</v>
      </c>
      <c r="N67" s="579">
        <v>0</v>
      </c>
      <c r="O67" s="579">
        <v>0</v>
      </c>
      <c r="P67" s="579">
        <v>0</v>
      </c>
      <c r="Q67" s="579">
        <v>0</v>
      </c>
      <c r="R67" s="579">
        <v>0</v>
      </c>
      <c r="S67" s="579">
        <v>0</v>
      </c>
      <c r="T67" s="579">
        <v>0</v>
      </c>
      <c r="U67" s="579">
        <v>0</v>
      </c>
      <c r="V67" s="579">
        <v>0</v>
      </c>
      <c r="W67" s="579">
        <v>0</v>
      </c>
      <c r="X67" s="579">
        <v>0</v>
      </c>
      <c r="Y67" s="579">
        <v>0</v>
      </c>
      <c r="Z67" s="579">
        <v>0</v>
      </c>
    </row>
    <row r="68" spans="1:28" outlineLevel="1">
      <c r="A68" s="875"/>
      <c r="B68" s="876"/>
      <c r="C68" s="876"/>
      <c r="D68" s="495">
        <v>3</v>
      </c>
      <c r="E68" s="68">
        <f t="shared" si="7"/>
        <v>0</v>
      </c>
      <c r="F68" s="579">
        <v>0</v>
      </c>
      <c r="G68" s="579">
        <v>0</v>
      </c>
      <c r="H68" s="579">
        <v>0</v>
      </c>
      <c r="I68" s="579">
        <v>0</v>
      </c>
      <c r="J68" s="579">
        <v>0</v>
      </c>
      <c r="K68" s="579">
        <v>0</v>
      </c>
      <c r="L68" s="579">
        <v>0</v>
      </c>
      <c r="M68" s="579">
        <v>0</v>
      </c>
      <c r="N68" s="579">
        <v>0</v>
      </c>
      <c r="O68" s="579">
        <v>0</v>
      </c>
      <c r="P68" s="579">
        <v>0</v>
      </c>
      <c r="Q68" s="579">
        <v>0</v>
      </c>
      <c r="R68" s="579">
        <v>0</v>
      </c>
      <c r="S68" s="579">
        <v>0</v>
      </c>
      <c r="T68" s="579">
        <v>0</v>
      </c>
      <c r="U68" s="579">
        <v>0</v>
      </c>
      <c r="V68" s="579">
        <v>0</v>
      </c>
      <c r="W68" s="579">
        <v>0</v>
      </c>
      <c r="X68" s="579">
        <v>0</v>
      </c>
      <c r="Y68" s="579">
        <v>0</v>
      </c>
      <c r="Z68" s="579">
        <v>0</v>
      </c>
    </row>
    <row r="69" spans="1:28" outlineLevel="1">
      <c r="A69" s="875"/>
      <c r="B69" s="876"/>
      <c r="C69" s="876"/>
      <c r="D69" s="495">
        <v>4</v>
      </c>
      <c r="E69" s="68">
        <f t="shared" si="7"/>
        <v>0</v>
      </c>
      <c r="F69" s="579">
        <v>0</v>
      </c>
      <c r="G69" s="579">
        <v>0</v>
      </c>
      <c r="H69" s="579">
        <v>0</v>
      </c>
      <c r="I69" s="579">
        <v>0</v>
      </c>
      <c r="J69" s="579">
        <v>0</v>
      </c>
      <c r="K69" s="579">
        <v>0</v>
      </c>
      <c r="L69" s="579">
        <v>0</v>
      </c>
      <c r="M69" s="579">
        <v>0</v>
      </c>
      <c r="N69" s="579">
        <v>0</v>
      </c>
      <c r="O69" s="579">
        <v>0</v>
      </c>
      <c r="P69" s="579">
        <v>0</v>
      </c>
      <c r="Q69" s="579">
        <v>0</v>
      </c>
      <c r="R69" s="579">
        <v>0</v>
      </c>
      <c r="S69" s="579">
        <v>0</v>
      </c>
      <c r="T69" s="579">
        <v>0</v>
      </c>
      <c r="U69" s="579">
        <v>0</v>
      </c>
      <c r="V69" s="579">
        <v>0</v>
      </c>
      <c r="W69" s="579">
        <v>0</v>
      </c>
      <c r="X69" s="579">
        <v>0</v>
      </c>
      <c r="Y69" s="579">
        <v>0</v>
      </c>
      <c r="Z69" s="579">
        <v>0</v>
      </c>
    </row>
    <row r="70" spans="1:28" outlineLevel="1">
      <c r="A70" s="875"/>
      <c r="B70" s="876"/>
      <c r="C70" s="876"/>
      <c r="D70" s="495">
        <v>5</v>
      </c>
      <c r="E70" s="68">
        <f t="shared" si="7"/>
        <v>0</v>
      </c>
      <c r="F70" s="579">
        <v>0</v>
      </c>
      <c r="G70" s="579">
        <v>0</v>
      </c>
      <c r="H70" s="579">
        <v>0</v>
      </c>
      <c r="I70" s="579">
        <v>0</v>
      </c>
      <c r="J70" s="579">
        <v>0</v>
      </c>
      <c r="K70" s="579">
        <v>0</v>
      </c>
      <c r="L70" s="579">
        <v>0</v>
      </c>
      <c r="M70" s="579">
        <v>0</v>
      </c>
      <c r="N70" s="579">
        <v>0</v>
      </c>
      <c r="O70" s="579">
        <v>0</v>
      </c>
      <c r="P70" s="579">
        <v>0</v>
      </c>
      <c r="Q70" s="579">
        <v>0</v>
      </c>
      <c r="R70" s="579">
        <v>0</v>
      </c>
      <c r="S70" s="579">
        <v>0</v>
      </c>
      <c r="T70" s="579">
        <v>0</v>
      </c>
      <c r="U70" s="579">
        <v>0</v>
      </c>
      <c r="V70" s="579">
        <v>0</v>
      </c>
      <c r="W70" s="579">
        <v>0</v>
      </c>
      <c r="X70" s="579">
        <v>0</v>
      </c>
      <c r="Y70" s="579">
        <v>0</v>
      </c>
      <c r="Z70" s="579">
        <v>0</v>
      </c>
    </row>
    <row r="71" spans="1:28" outlineLevel="1">
      <c r="A71" s="875"/>
      <c r="B71" s="876"/>
      <c r="C71" s="876"/>
      <c r="D71" s="495">
        <v>6</v>
      </c>
      <c r="E71" s="68">
        <f t="shared" si="7"/>
        <v>0</v>
      </c>
      <c r="F71" s="579">
        <v>0</v>
      </c>
      <c r="G71" s="579">
        <v>0</v>
      </c>
      <c r="H71" s="579">
        <v>0</v>
      </c>
      <c r="I71" s="579">
        <v>0</v>
      </c>
      <c r="J71" s="579">
        <v>0</v>
      </c>
      <c r="K71" s="579">
        <v>0</v>
      </c>
      <c r="L71" s="579">
        <v>0</v>
      </c>
      <c r="M71" s="579">
        <v>0</v>
      </c>
      <c r="N71" s="579">
        <v>0</v>
      </c>
      <c r="O71" s="579">
        <v>0</v>
      </c>
      <c r="P71" s="579">
        <v>0</v>
      </c>
      <c r="Q71" s="579">
        <v>0</v>
      </c>
      <c r="R71" s="579">
        <v>0</v>
      </c>
      <c r="S71" s="579">
        <v>0</v>
      </c>
      <c r="T71" s="579">
        <v>0</v>
      </c>
      <c r="U71" s="579">
        <v>0</v>
      </c>
      <c r="V71" s="579">
        <v>0</v>
      </c>
      <c r="W71" s="579">
        <v>0</v>
      </c>
      <c r="X71" s="579">
        <v>0</v>
      </c>
      <c r="Y71" s="579">
        <v>0</v>
      </c>
      <c r="Z71" s="579">
        <v>0</v>
      </c>
    </row>
    <row r="72" spans="1:28" outlineLevel="1">
      <c r="A72" s="875"/>
      <c r="B72" s="876"/>
      <c r="C72" s="876"/>
      <c r="D72" s="495">
        <v>7</v>
      </c>
      <c r="E72" s="68">
        <f t="shared" si="7"/>
        <v>0</v>
      </c>
      <c r="F72" s="579">
        <v>0</v>
      </c>
      <c r="G72" s="579">
        <v>0</v>
      </c>
      <c r="H72" s="579">
        <v>0</v>
      </c>
      <c r="I72" s="579">
        <v>0</v>
      </c>
      <c r="J72" s="579">
        <v>0</v>
      </c>
      <c r="K72" s="579">
        <v>0</v>
      </c>
      <c r="L72" s="579">
        <v>0</v>
      </c>
      <c r="M72" s="579">
        <v>0</v>
      </c>
      <c r="N72" s="579">
        <v>0</v>
      </c>
      <c r="O72" s="579">
        <v>0</v>
      </c>
      <c r="P72" s="579">
        <v>0</v>
      </c>
      <c r="Q72" s="579">
        <v>0</v>
      </c>
      <c r="R72" s="579">
        <v>0</v>
      </c>
      <c r="S72" s="579">
        <v>0</v>
      </c>
      <c r="T72" s="579">
        <v>0</v>
      </c>
      <c r="U72" s="579">
        <v>0</v>
      </c>
      <c r="V72" s="579">
        <v>0</v>
      </c>
      <c r="W72" s="579">
        <v>0</v>
      </c>
      <c r="X72" s="579">
        <v>0</v>
      </c>
      <c r="Y72" s="579">
        <v>0</v>
      </c>
      <c r="Z72" s="579">
        <v>0</v>
      </c>
    </row>
    <row r="73" spans="1:28" outlineLevel="1">
      <c r="A73" s="875"/>
      <c r="B73" s="876"/>
      <c r="C73" s="876"/>
      <c r="D73" s="495">
        <v>8</v>
      </c>
      <c r="E73" s="68">
        <f t="shared" si="7"/>
        <v>0</v>
      </c>
      <c r="F73" s="579">
        <v>0</v>
      </c>
      <c r="G73" s="579">
        <v>0</v>
      </c>
      <c r="H73" s="579">
        <v>0</v>
      </c>
      <c r="I73" s="579">
        <v>0</v>
      </c>
      <c r="J73" s="579">
        <v>0</v>
      </c>
      <c r="K73" s="579">
        <v>0</v>
      </c>
      <c r="L73" s="579">
        <v>0</v>
      </c>
      <c r="M73" s="579">
        <v>0</v>
      </c>
      <c r="N73" s="579">
        <v>0</v>
      </c>
      <c r="O73" s="579">
        <v>0</v>
      </c>
      <c r="P73" s="579">
        <v>0</v>
      </c>
      <c r="Q73" s="579">
        <v>0</v>
      </c>
      <c r="R73" s="579">
        <v>0</v>
      </c>
      <c r="S73" s="579">
        <v>0</v>
      </c>
      <c r="T73" s="579">
        <v>0</v>
      </c>
      <c r="U73" s="579">
        <v>0</v>
      </c>
      <c r="V73" s="579">
        <v>0</v>
      </c>
      <c r="W73" s="579">
        <v>0</v>
      </c>
      <c r="X73" s="579">
        <v>0</v>
      </c>
      <c r="Y73" s="579">
        <v>0</v>
      </c>
      <c r="Z73" s="579">
        <v>0</v>
      </c>
    </row>
    <row r="74" spans="1:28" outlineLevel="1">
      <c r="A74" s="875"/>
      <c r="B74" s="876"/>
      <c r="C74" s="876"/>
      <c r="D74" s="495">
        <v>9</v>
      </c>
      <c r="E74" s="68">
        <f t="shared" si="7"/>
        <v>0</v>
      </c>
      <c r="F74" s="579">
        <v>0</v>
      </c>
      <c r="G74" s="579">
        <v>0</v>
      </c>
      <c r="H74" s="579">
        <v>0</v>
      </c>
      <c r="I74" s="579">
        <v>0</v>
      </c>
      <c r="J74" s="579">
        <v>0</v>
      </c>
      <c r="K74" s="579">
        <v>0</v>
      </c>
      <c r="L74" s="579">
        <v>0</v>
      </c>
      <c r="M74" s="579">
        <v>0</v>
      </c>
      <c r="N74" s="579">
        <v>0</v>
      </c>
      <c r="O74" s="579">
        <v>0</v>
      </c>
      <c r="P74" s="579">
        <v>0</v>
      </c>
      <c r="Q74" s="579">
        <v>0</v>
      </c>
      <c r="R74" s="579">
        <v>0</v>
      </c>
      <c r="S74" s="579">
        <v>0</v>
      </c>
      <c r="T74" s="579">
        <v>0</v>
      </c>
      <c r="U74" s="579">
        <v>0</v>
      </c>
      <c r="V74" s="579">
        <v>0</v>
      </c>
      <c r="W74" s="579">
        <v>0</v>
      </c>
      <c r="X74" s="579">
        <v>0</v>
      </c>
      <c r="Y74" s="579">
        <v>0</v>
      </c>
      <c r="Z74" s="579">
        <v>0</v>
      </c>
    </row>
    <row r="75" spans="1:28" ht="15.75" outlineLevel="1" thickBot="1">
      <c r="A75" s="875"/>
      <c r="B75" s="876"/>
      <c r="C75" s="876"/>
      <c r="D75" s="496">
        <v>10</v>
      </c>
      <c r="E75" s="69">
        <f t="shared" si="7"/>
        <v>0</v>
      </c>
      <c r="F75" s="583">
        <v>0</v>
      </c>
      <c r="G75" s="583">
        <v>0</v>
      </c>
      <c r="H75" s="583">
        <v>0</v>
      </c>
      <c r="I75" s="583">
        <v>0</v>
      </c>
      <c r="J75" s="583">
        <v>0</v>
      </c>
      <c r="K75" s="583">
        <v>0</v>
      </c>
      <c r="L75" s="583">
        <v>0</v>
      </c>
      <c r="M75" s="583">
        <v>0</v>
      </c>
      <c r="N75" s="583">
        <v>0</v>
      </c>
      <c r="O75" s="583">
        <v>0</v>
      </c>
      <c r="P75" s="583">
        <v>0</v>
      </c>
      <c r="Q75" s="583">
        <v>0</v>
      </c>
      <c r="R75" s="583">
        <v>0</v>
      </c>
      <c r="S75" s="583">
        <v>0</v>
      </c>
      <c r="T75" s="583">
        <v>0</v>
      </c>
      <c r="U75" s="583">
        <v>0</v>
      </c>
      <c r="V75" s="583">
        <v>0</v>
      </c>
      <c r="W75" s="583">
        <v>0</v>
      </c>
      <c r="X75" s="583">
        <v>0</v>
      </c>
      <c r="Y75" s="583">
        <v>0</v>
      </c>
      <c r="Z75" s="583">
        <v>0</v>
      </c>
    </row>
    <row r="76" spans="1:28" outlineLevel="1">
      <c r="A76" s="875" t="s">
        <v>93</v>
      </c>
      <c r="B76" s="876"/>
      <c r="C76" s="876"/>
      <c r="D76" s="494">
        <v>1</v>
      </c>
      <c r="E76" s="68">
        <f t="shared" si="7"/>
        <v>0</v>
      </c>
      <c r="F76" s="578">
        <v>0</v>
      </c>
      <c r="G76" s="578">
        <v>0</v>
      </c>
      <c r="H76" s="578">
        <v>0</v>
      </c>
      <c r="I76" s="578">
        <v>0</v>
      </c>
      <c r="J76" s="578">
        <v>0</v>
      </c>
      <c r="K76" s="578">
        <v>0</v>
      </c>
      <c r="L76" s="578">
        <v>0</v>
      </c>
      <c r="M76" s="578">
        <v>0</v>
      </c>
      <c r="N76" s="578">
        <v>0</v>
      </c>
      <c r="O76" s="578">
        <v>0</v>
      </c>
      <c r="P76" s="578">
        <v>0</v>
      </c>
      <c r="Q76" s="578">
        <v>0</v>
      </c>
      <c r="R76" s="578">
        <v>0</v>
      </c>
      <c r="S76" s="578">
        <v>0</v>
      </c>
      <c r="T76" s="578">
        <v>0</v>
      </c>
      <c r="U76" s="578">
        <v>0</v>
      </c>
      <c r="V76" s="578">
        <v>0</v>
      </c>
      <c r="W76" s="578">
        <v>0</v>
      </c>
      <c r="X76" s="578">
        <v>0</v>
      </c>
      <c r="Y76" s="578">
        <v>0</v>
      </c>
      <c r="Z76" s="578">
        <v>0</v>
      </c>
      <c r="AB76" s="365"/>
    </row>
    <row r="77" spans="1:28" outlineLevel="1">
      <c r="A77" s="875"/>
      <c r="B77" s="876"/>
      <c r="C77" s="876"/>
      <c r="D77" s="495">
        <v>2</v>
      </c>
      <c r="E77" s="68">
        <f t="shared" si="7"/>
        <v>0</v>
      </c>
      <c r="F77" s="579">
        <v>0</v>
      </c>
      <c r="G77" s="579">
        <v>0</v>
      </c>
      <c r="H77" s="579">
        <v>0</v>
      </c>
      <c r="I77" s="579">
        <v>0</v>
      </c>
      <c r="J77" s="579">
        <v>0</v>
      </c>
      <c r="K77" s="579">
        <v>0</v>
      </c>
      <c r="L77" s="579">
        <v>0</v>
      </c>
      <c r="M77" s="579">
        <v>0</v>
      </c>
      <c r="N77" s="579">
        <v>0</v>
      </c>
      <c r="O77" s="579">
        <v>0</v>
      </c>
      <c r="P77" s="579">
        <v>0</v>
      </c>
      <c r="Q77" s="579">
        <v>0</v>
      </c>
      <c r="R77" s="579">
        <v>0</v>
      </c>
      <c r="S77" s="579">
        <v>0</v>
      </c>
      <c r="T77" s="579">
        <v>0</v>
      </c>
      <c r="U77" s="579">
        <v>0</v>
      </c>
      <c r="V77" s="579">
        <v>0</v>
      </c>
      <c r="W77" s="579">
        <v>0</v>
      </c>
      <c r="X77" s="579">
        <v>0</v>
      </c>
      <c r="Y77" s="579">
        <v>0</v>
      </c>
      <c r="Z77" s="579">
        <v>0</v>
      </c>
      <c r="AB77" s="365"/>
    </row>
    <row r="78" spans="1:28" outlineLevel="1">
      <c r="A78" s="875"/>
      <c r="B78" s="876"/>
      <c r="C78" s="876"/>
      <c r="D78" s="495">
        <v>3</v>
      </c>
      <c r="E78" s="68">
        <f t="shared" si="7"/>
        <v>0</v>
      </c>
      <c r="F78" s="579">
        <v>0</v>
      </c>
      <c r="G78" s="579">
        <v>0</v>
      </c>
      <c r="H78" s="579">
        <v>0</v>
      </c>
      <c r="I78" s="579">
        <v>0</v>
      </c>
      <c r="J78" s="579">
        <v>0</v>
      </c>
      <c r="K78" s="579">
        <v>0</v>
      </c>
      <c r="L78" s="579">
        <v>0</v>
      </c>
      <c r="M78" s="579">
        <v>0</v>
      </c>
      <c r="N78" s="579">
        <v>0</v>
      </c>
      <c r="O78" s="579">
        <v>0</v>
      </c>
      <c r="P78" s="579">
        <v>0</v>
      </c>
      <c r="Q78" s="579">
        <v>0</v>
      </c>
      <c r="R78" s="579">
        <v>0</v>
      </c>
      <c r="S78" s="579">
        <v>0</v>
      </c>
      <c r="T78" s="579">
        <v>0</v>
      </c>
      <c r="U78" s="579">
        <v>0</v>
      </c>
      <c r="V78" s="579">
        <v>0</v>
      </c>
      <c r="W78" s="579">
        <v>0</v>
      </c>
      <c r="X78" s="579">
        <v>0</v>
      </c>
      <c r="Y78" s="579">
        <v>0</v>
      </c>
      <c r="Z78" s="579">
        <v>0</v>
      </c>
      <c r="AB78" s="365"/>
    </row>
    <row r="79" spans="1:28" outlineLevel="1">
      <c r="A79" s="875"/>
      <c r="B79" s="876"/>
      <c r="C79" s="876"/>
      <c r="D79" s="495">
        <v>4</v>
      </c>
      <c r="E79" s="68">
        <f t="shared" si="7"/>
        <v>0</v>
      </c>
      <c r="F79" s="579">
        <v>0</v>
      </c>
      <c r="G79" s="579">
        <v>0</v>
      </c>
      <c r="H79" s="579">
        <v>0</v>
      </c>
      <c r="I79" s="579">
        <v>0</v>
      </c>
      <c r="J79" s="579">
        <v>0</v>
      </c>
      <c r="K79" s="579">
        <v>0</v>
      </c>
      <c r="L79" s="579">
        <v>0</v>
      </c>
      <c r="M79" s="579">
        <v>0</v>
      </c>
      <c r="N79" s="579">
        <v>0</v>
      </c>
      <c r="O79" s="579">
        <v>0</v>
      </c>
      <c r="P79" s="579">
        <v>0</v>
      </c>
      <c r="Q79" s="579">
        <v>0</v>
      </c>
      <c r="R79" s="579">
        <v>0</v>
      </c>
      <c r="S79" s="579">
        <v>0</v>
      </c>
      <c r="T79" s="579">
        <v>0</v>
      </c>
      <c r="U79" s="579">
        <v>0</v>
      </c>
      <c r="V79" s="579">
        <v>0</v>
      </c>
      <c r="W79" s="579">
        <v>0</v>
      </c>
      <c r="X79" s="579">
        <v>0</v>
      </c>
      <c r="Y79" s="579">
        <v>0</v>
      </c>
      <c r="Z79" s="579">
        <v>0</v>
      </c>
    </row>
    <row r="80" spans="1:28" outlineLevel="1">
      <c r="A80" s="875"/>
      <c r="B80" s="876"/>
      <c r="C80" s="876"/>
      <c r="D80" s="495">
        <v>5</v>
      </c>
      <c r="E80" s="68">
        <f t="shared" si="7"/>
        <v>0</v>
      </c>
      <c r="F80" s="579">
        <v>0</v>
      </c>
      <c r="G80" s="579">
        <v>0</v>
      </c>
      <c r="H80" s="579">
        <v>0</v>
      </c>
      <c r="I80" s="579">
        <v>0</v>
      </c>
      <c r="J80" s="579">
        <v>0</v>
      </c>
      <c r="K80" s="579">
        <v>0</v>
      </c>
      <c r="L80" s="579">
        <v>0</v>
      </c>
      <c r="M80" s="579">
        <v>0</v>
      </c>
      <c r="N80" s="579">
        <v>0</v>
      </c>
      <c r="O80" s="579">
        <v>0</v>
      </c>
      <c r="P80" s="579">
        <v>0</v>
      </c>
      <c r="Q80" s="579">
        <v>0</v>
      </c>
      <c r="R80" s="579">
        <v>0</v>
      </c>
      <c r="S80" s="579">
        <v>0</v>
      </c>
      <c r="T80" s="579">
        <v>0</v>
      </c>
      <c r="U80" s="579">
        <v>0</v>
      </c>
      <c r="V80" s="579">
        <v>0</v>
      </c>
      <c r="W80" s="579">
        <v>0</v>
      </c>
      <c r="X80" s="579">
        <v>0</v>
      </c>
      <c r="Y80" s="579">
        <v>0</v>
      </c>
      <c r="Z80" s="579">
        <v>0</v>
      </c>
    </row>
    <row r="81" spans="1:26" outlineLevel="1">
      <c r="A81" s="875"/>
      <c r="B81" s="876"/>
      <c r="C81" s="876"/>
      <c r="D81" s="495">
        <v>6</v>
      </c>
      <c r="E81" s="68">
        <f t="shared" si="7"/>
        <v>0</v>
      </c>
      <c r="F81" s="579">
        <v>0</v>
      </c>
      <c r="G81" s="579">
        <v>0</v>
      </c>
      <c r="H81" s="579">
        <v>0</v>
      </c>
      <c r="I81" s="579">
        <v>0</v>
      </c>
      <c r="J81" s="579">
        <v>0</v>
      </c>
      <c r="K81" s="579">
        <v>0</v>
      </c>
      <c r="L81" s="579">
        <v>0</v>
      </c>
      <c r="M81" s="579">
        <v>0</v>
      </c>
      <c r="N81" s="579">
        <v>0</v>
      </c>
      <c r="O81" s="579">
        <v>0</v>
      </c>
      <c r="P81" s="579">
        <v>0</v>
      </c>
      <c r="Q81" s="579">
        <v>0</v>
      </c>
      <c r="R81" s="579">
        <v>0</v>
      </c>
      <c r="S81" s="579">
        <v>0</v>
      </c>
      <c r="T81" s="579">
        <v>0</v>
      </c>
      <c r="U81" s="579">
        <v>0</v>
      </c>
      <c r="V81" s="579">
        <v>0</v>
      </c>
      <c r="W81" s="579">
        <v>0</v>
      </c>
      <c r="X81" s="579">
        <v>0</v>
      </c>
      <c r="Y81" s="579">
        <v>0</v>
      </c>
      <c r="Z81" s="579">
        <v>0</v>
      </c>
    </row>
    <row r="82" spans="1:26" outlineLevel="1">
      <c r="A82" s="875"/>
      <c r="B82" s="876"/>
      <c r="C82" s="876"/>
      <c r="D82" s="495">
        <v>7</v>
      </c>
      <c r="E82" s="68">
        <f t="shared" si="7"/>
        <v>0</v>
      </c>
      <c r="F82" s="579">
        <v>0</v>
      </c>
      <c r="G82" s="579">
        <v>0</v>
      </c>
      <c r="H82" s="579">
        <v>0</v>
      </c>
      <c r="I82" s="579">
        <v>0</v>
      </c>
      <c r="J82" s="579">
        <v>0</v>
      </c>
      <c r="K82" s="579">
        <v>0</v>
      </c>
      <c r="L82" s="579">
        <v>0</v>
      </c>
      <c r="M82" s="579">
        <v>0</v>
      </c>
      <c r="N82" s="579">
        <v>0</v>
      </c>
      <c r="O82" s="579">
        <v>0</v>
      </c>
      <c r="P82" s="579">
        <v>0</v>
      </c>
      <c r="Q82" s="579">
        <v>0</v>
      </c>
      <c r="R82" s="579">
        <v>0</v>
      </c>
      <c r="S82" s="579">
        <v>0</v>
      </c>
      <c r="T82" s="579">
        <v>0</v>
      </c>
      <c r="U82" s="579">
        <v>0</v>
      </c>
      <c r="V82" s="579">
        <v>0</v>
      </c>
      <c r="W82" s="579">
        <v>0</v>
      </c>
      <c r="X82" s="579">
        <v>0</v>
      </c>
      <c r="Y82" s="579">
        <v>0</v>
      </c>
      <c r="Z82" s="579">
        <v>0</v>
      </c>
    </row>
    <row r="83" spans="1:26" outlineLevel="1">
      <c r="A83" s="875"/>
      <c r="B83" s="876"/>
      <c r="C83" s="876"/>
      <c r="D83" s="495">
        <v>8</v>
      </c>
      <c r="E83" s="68">
        <f t="shared" si="7"/>
        <v>0</v>
      </c>
      <c r="F83" s="579">
        <v>0</v>
      </c>
      <c r="G83" s="579">
        <v>0</v>
      </c>
      <c r="H83" s="579">
        <v>0</v>
      </c>
      <c r="I83" s="579">
        <v>0</v>
      </c>
      <c r="J83" s="579">
        <v>0</v>
      </c>
      <c r="K83" s="579">
        <v>0</v>
      </c>
      <c r="L83" s="579">
        <v>0</v>
      </c>
      <c r="M83" s="579">
        <v>0</v>
      </c>
      <c r="N83" s="579">
        <v>0</v>
      </c>
      <c r="O83" s="579">
        <v>0</v>
      </c>
      <c r="P83" s="579">
        <v>0</v>
      </c>
      <c r="Q83" s="579">
        <v>0</v>
      </c>
      <c r="R83" s="579">
        <v>0</v>
      </c>
      <c r="S83" s="579">
        <v>0</v>
      </c>
      <c r="T83" s="579">
        <v>0</v>
      </c>
      <c r="U83" s="579">
        <v>0</v>
      </c>
      <c r="V83" s="579">
        <v>0</v>
      </c>
      <c r="W83" s="579">
        <v>0</v>
      </c>
      <c r="X83" s="579">
        <v>0</v>
      </c>
      <c r="Y83" s="579">
        <v>0</v>
      </c>
      <c r="Z83" s="579">
        <v>0</v>
      </c>
    </row>
    <row r="84" spans="1:26" outlineLevel="1">
      <c r="A84" s="875"/>
      <c r="B84" s="876"/>
      <c r="C84" s="876"/>
      <c r="D84" s="495">
        <v>9</v>
      </c>
      <c r="E84" s="68">
        <f t="shared" si="7"/>
        <v>0</v>
      </c>
      <c r="F84" s="579">
        <v>0</v>
      </c>
      <c r="G84" s="579">
        <v>0</v>
      </c>
      <c r="H84" s="579">
        <v>0</v>
      </c>
      <c r="I84" s="579">
        <v>0</v>
      </c>
      <c r="J84" s="579">
        <v>0</v>
      </c>
      <c r="K84" s="579">
        <v>0</v>
      </c>
      <c r="L84" s="579">
        <v>0</v>
      </c>
      <c r="M84" s="579">
        <v>0</v>
      </c>
      <c r="N84" s="579">
        <v>0</v>
      </c>
      <c r="O84" s="579">
        <v>0</v>
      </c>
      <c r="P84" s="579">
        <v>0</v>
      </c>
      <c r="Q84" s="579">
        <v>0</v>
      </c>
      <c r="R84" s="579">
        <v>0</v>
      </c>
      <c r="S84" s="579">
        <v>0</v>
      </c>
      <c r="T84" s="579">
        <v>0</v>
      </c>
      <c r="U84" s="579">
        <v>0</v>
      </c>
      <c r="V84" s="579">
        <v>0</v>
      </c>
      <c r="W84" s="579">
        <v>0</v>
      </c>
      <c r="X84" s="579">
        <v>0</v>
      </c>
      <c r="Y84" s="579">
        <v>0</v>
      </c>
      <c r="Z84" s="579">
        <v>0</v>
      </c>
    </row>
    <row r="85" spans="1:26" ht="15.75" outlineLevel="1" thickBot="1">
      <c r="A85" s="875"/>
      <c r="B85" s="876"/>
      <c r="C85" s="876"/>
      <c r="D85" s="496">
        <v>10</v>
      </c>
      <c r="E85" s="69">
        <f t="shared" si="7"/>
        <v>0</v>
      </c>
      <c r="F85" s="579">
        <v>0</v>
      </c>
      <c r="G85" s="579">
        <v>0</v>
      </c>
      <c r="H85" s="579">
        <v>0</v>
      </c>
      <c r="I85" s="579">
        <v>0</v>
      </c>
      <c r="J85" s="579">
        <v>0</v>
      </c>
      <c r="K85" s="579">
        <v>0</v>
      </c>
      <c r="L85" s="579">
        <v>0</v>
      </c>
      <c r="M85" s="579">
        <v>0</v>
      </c>
      <c r="N85" s="579">
        <v>0</v>
      </c>
      <c r="O85" s="579">
        <v>0</v>
      </c>
      <c r="P85" s="579">
        <v>0</v>
      </c>
      <c r="Q85" s="579">
        <v>0</v>
      </c>
      <c r="R85" s="579">
        <v>0</v>
      </c>
      <c r="S85" s="579">
        <v>0</v>
      </c>
      <c r="T85" s="579">
        <v>0</v>
      </c>
      <c r="U85" s="579">
        <v>0</v>
      </c>
      <c r="V85" s="579">
        <v>0</v>
      </c>
      <c r="W85" s="579">
        <v>0</v>
      </c>
      <c r="X85" s="579">
        <v>0</v>
      </c>
      <c r="Y85" s="579">
        <v>0</v>
      </c>
      <c r="Z85" s="579">
        <v>0</v>
      </c>
    </row>
    <row r="86" spans="1:26" outlineLevel="1">
      <c r="A86" s="875" t="s">
        <v>94</v>
      </c>
      <c r="B86" s="876" t="s">
        <v>532</v>
      </c>
      <c r="C86" s="876">
        <v>610</v>
      </c>
      <c r="D86" s="494">
        <v>1</v>
      </c>
      <c r="E86" s="68">
        <f t="shared" si="7"/>
        <v>0</v>
      </c>
      <c r="F86" s="578">
        <v>0</v>
      </c>
      <c r="G86" s="578">
        <v>0</v>
      </c>
      <c r="H86" s="578">
        <v>0</v>
      </c>
      <c r="I86" s="578">
        <v>0</v>
      </c>
      <c r="J86" s="578">
        <v>0</v>
      </c>
      <c r="K86" s="578">
        <v>0</v>
      </c>
      <c r="L86" s="578">
        <v>0</v>
      </c>
      <c r="M86" s="578">
        <v>0</v>
      </c>
      <c r="N86" s="578">
        <v>0</v>
      </c>
      <c r="O86" s="578">
        <v>0</v>
      </c>
      <c r="P86" s="578">
        <v>0</v>
      </c>
      <c r="Q86" s="578">
        <v>0</v>
      </c>
      <c r="R86" s="578">
        <v>0</v>
      </c>
      <c r="S86" s="578">
        <v>0</v>
      </c>
      <c r="T86" s="578">
        <v>0</v>
      </c>
      <c r="U86" s="578">
        <v>0</v>
      </c>
      <c r="V86" s="578">
        <v>0</v>
      </c>
      <c r="W86" s="578">
        <v>0</v>
      </c>
      <c r="X86" s="578">
        <v>0</v>
      </c>
      <c r="Y86" s="578">
        <v>0</v>
      </c>
      <c r="Z86" s="578">
        <v>0</v>
      </c>
    </row>
    <row r="87" spans="1:26" outlineLevel="1">
      <c r="A87" s="875"/>
      <c r="B87" s="876"/>
      <c r="C87" s="876"/>
      <c r="D87" s="495">
        <v>2</v>
      </c>
      <c r="E87" s="68">
        <f t="shared" si="7"/>
        <v>0</v>
      </c>
      <c r="F87" s="579">
        <v>0</v>
      </c>
      <c r="G87" s="579">
        <v>0</v>
      </c>
      <c r="H87" s="579">
        <v>0</v>
      </c>
      <c r="I87" s="579">
        <v>0</v>
      </c>
      <c r="J87" s="579">
        <v>0</v>
      </c>
      <c r="K87" s="579">
        <v>0</v>
      </c>
      <c r="L87" s="579">
        <v>0</v>
      </c>
      <c r="M87" s="579">
        <v>0</v>
      </c>
      <c r="N87" s="579">
        <v>0</v>
      </c>
      <c r="O87" s="579">
        <v>0</v>
      </c>
      <c r="P87" s="579">
        <v>0</v>
      </c>
      <c r="Q87" s="579">
        <v>0</v>
      </c>
      <c r="R87" s="579">
        <v>0</v>
      </c>
      <c r="S87" s="579">
        <v>0</v>
      </c>
      <c r="T87" s="579">
        <v>0</v>
      </c>
      <c r="U87" s="579">
        <v>0</v>
      </c>
      <c r="V87" s="579">
        <v>0</v>
      </c>
      <c r="W87" s="579">
        <v>0</v>
      </c>
      <c r="X87" s="579">
        <v>0</v>
      </c>
      <c r="Y87" s="579">
        <v>0</v>
      </c>
      <c r="Z87" s="579">
        <v>0</v>
      </c>
    </row>
    <row r="88" spans="1:26" outlineLevel="1">
      <c r="A88" s="875"/>
      <c r="B88" s="876"/>
      <c r="C88" s="876"/>
      <c r="D88" s="495">
        <v>3</v>
      </c>
      <c r="E88" s="68">
        <f t="shared" si="7"/>
        <v>0</v>
      </c>
      <c r="F88" s="579">
        <v>0</v>
      </c>
      <c r="G88" s="579">
        <v>0</v>
      </c>
      <c r="H88" s="579">
        <v>0</v>
      </c>
      <c r="I88" s="579">
        <v>0</v>
      </c>
      <c r="J88" s="579">
        <v>0</v>
      </c>
      <c r="K88" s="579">
        <v>0</v>
      </c>
      <c r="L88" s="579">
        <v>0</v>
      </c>
      <c r="M88" s="579">
        <v>0</v>
      </c>
      <c r="N88" s="579">
        <v>0</v>
      </c>
      <c r="O88" s="579">
        <v>0</v>
      </c>
      <c r="P88" s="579">
        <v>0</v>
      </c>
      <c r="Q88" s="579">
        <v>0</v>
      </c>
      <c r="R88" s="579">
        <v>0</v>
      </c>
      <c r="S88" s="579">
        <v>0</v>
      </c>
      <c r="T88" s="579">
        <v>0</v>
      </c>
      <c r="U88" s="579">
        <v>0</v>
      </c>
      <c r="V88" s="579">
        <v>0</v>
      </c>
      <c r="W88" s="579">
        <v>0</v>
      </c>
      <c r="X88" s="579">
        <v>0</v>
      </c>
      <c r="Y88" s="579">
        <v>0</v>
      </c>
      <c r="Z88" s="579">
        <v>0</v>
      </c>
    </row>
    <row r="89" spans="1:26" outlineLevel="1">
      <c r="A89" s="875"/>
      <c r="B89" s="876"/>
      <c r="C89" s="876"/>
      <c r="D89" s="495">
        <v>4</v>
      </c>
      <c r="E89" s="68">
        <f t="shared" si="7"/>
        <v>0</v>
      </c>
      <c r="F89" s="579">
        <v>0</v>
      </c>
      <c r="G89" s="579">
        <v>0</v>
      </c>
      <c r="H89" s="579">
        <v>0</v>
      </c>
      <c r="I89" s="579">
        <v>0</v>
      </c>
      <c r="J89" s="579">
        <v>0</v>
      </c>
      <c r="K89" s="579">
        <v>0</v>
      </c>
      <c r="L89" s="579">
        <v>0</v>
      </c>
      <c r="M89" s="579">
        <v>0</v>
      </c>
      <c r="N89" s="579">
        <v>0</v>
      </c>
      <c r="O89" s="579">
        <v>0</v>
      </c>
      <c r="P89" s="579">
        <v>0</v>
      </c>
      <c r="Q89" s="579">
        <v>0</v>
      </c>
      <c r="R89" s="579">
        <v>0</v>
      </c>
      <c r="S89" s="579">
        <v>0</v>
      </c>
      <c r="T89" s="579">
        <v>0</v>
      </c>
      <c r="U89" s="579">
        <v>0</v>
      </c>
      <c r="V89" s="579">
        <v>0</v>
      </c>
      <c r="W89" s="579">
        <v>0</v>
      </c>
      <c r="X89" s="579">
        <v>0</v>
      </c>
      <c r="Y89" s="579">
        <v>0</v>
      </c>
      <c r="Z89" s="579">
        <v>0</v>
      </c>
    </row>
    <row r="90" spans="1:26" outlineLevel="1">
      <c r="A90" s="875"/>
      <c r="B90" s="876"/>
      <c r="C90" s="876"/>
      <c r="D90" s="495">
        <v>5</v>
      </c>
      <c r="E90" s="68">
        <f t="shared" si="7"/>
        <v>0</v>
      </c>
      <c r="F90" s="579">
        <v>0</v>
      </c>
      <c r="G90" s="579">
        <v>0</v>
      </c>
      <c r="H90" s="579">
        <v>0</v>
      </c>
      <c r="I90" s="579">
        <v>0</v>
      </c>
      <c r="J90" s="579">
        <v>0</v>
      </c>
      <c r="K90" s="579">
        <v>0</v>
      </c>
      <c r="L90" s="579">
        <v>0</v>
      </c>
      <c r="M90" s="579">
        <v>0</v>
      </c>
      <c r="N90" s="579">
        <v>0</v>
      </c>
      <c r="O90" s="579">
        <v>0</v>
      </c>
      <c r="P90" s="579">
        <v>0</v>
      </c>
      <c r="Q90" s="579">
        <v>0</v>
      </c>
      <c r="R90" s="579">
        <v>0</v>
      </c>
      <c r="S90" s="579">
        <v>0</v>
      </c>
      <c r="T90" s="579">
        <v>0</v>
      </c>
      <c r="U90" s="579">
        <v>0</v>
      </c>
      <c r="V90" s="579">
        <v>0</v>
      </c>
      <c r="W90" s="579">
        <v>0</v>
      </c>
      <c r="X90" s="579">
        <v>0</v>
      </c>
      <c r="Y90" s="579">
        <v>0</v>
      </c>
      <c r="Z90" s="579">
        <v>0</v>
      </c>
    </row>
    <row r="91" spans="1:26" outlineLevel="1">
      <c r="A91" s="875"/>
      <c r="B91" s="876"/>
      <c r="C91" s="876"/>
      <c r="D91" s="495">
        <v>6</v>
      </c>
      <c r="E91" s="68">
        <f t="shared" si="7"/>
        <v>0</v>
      </c>
      <c r="F91" s="579">
        <v>0</v>
      </c>
      <c r="G91" s="579">
        <v>0</v>
      </c>
      <c r="H91" s="579">
        <v>0</v>
      </c>
      <c r="I91" s="579">
        <v>0</v>
      </c>
      <c r="J91" s="579">
        <v>0</v>
      </c>
      <c r="K91" s="579">
        <v>0</v>
      </c>
      <c r="L91" s="579">
        <v>0</v>
      </c>
      <c r="M91" s="579">
        <v>0</v>
      </c>
      <c r="N91" s="579">
        <v>0</v>
      </c>
      <c r="O91" s="579">
        <v>0</v>
      </c>
      <c r="P91" s="579">
        <v>0</v>
      </c>
      <c r="Q91" s="579">
        <v>0</v>
      </c>
      <c r="R91" s="579">
        <v>0</v>
      </c>
      <c r="S91" s="579">
        <v>0</v>
      </c>
      <c r="T91" s="579">
        <v>0</v>
      </c>
      <c r="U91" s="579">
        <v>0</v>
      </c>
      <c r="V91" s="579">
        <v>0</v>
      </c>
      <c r="W91" s="579">
        <v>0</v>
      </c>
      <c r="X91" s="579">
        <v>0</v>
      </c>
      <c r="Y91" s="579">
        <v>0</v>
      </c>
      <c r="Z91" s="579">
        <v>0</v>
      </c>
    </row>
    <row r="92" spans="1:26" outlineLevel="1">
      <c r="A92" s="875"/>
      <c r="B92" s="876"/>
      <c r="C92" s="876"/>
      <c r="D92" s="495">
        <v>7</v>
      </c>
      <c r="E92" s="68">
        <f t="shared" si="7"/>
        <v>0</v>
      </c>
      <c r="F92" s="579">
        <v>0</v>
      </c>
      <c r="G92" s="579">
        <v>0</v>
      </c>
      <c r="H92" s="579">
        <v>0</v>
      </c>
      <c r="I92" s="579">
        <v>0</v>
      </c>
      <c r="J92" s="579">
        <v>0</v>
      </c>
      <c r="K92" s="579">
        <v>0</v>
      </c>
      <c r="L92" s="579">
        <v>0</v>
      </c>
      <c r="M92" s="579">
        <v>0</v>
      </c>
      <c r="N92" s="579">
        <v>0</v>
      </c>
      <c r="O92" s="579">
        <v>0</v>
      </c>
      <c r="P92" s="579">
        <v>0</v>
      </c>
      <c r="Q92" s="579">
        <v>0</v>
      </c>
      <c r="R92" s="579">
        <v>0</v>
      </c>
      <c r="S92" s="579">
        <v>0</v>
      </c>
      <c r="T92" s="579">
        <v>0</v>
      </c>
      <c r="U92" s="579">
        <v>0</v>
      </c>
      <c r="V92" s="579">
        <v>0</v>
      </c>
      <c r="W92" s="579">
        <v>0</v>
      </c>
      <c r="X92" s="579">
        <v>0</v>
      </c>
      <c r="Y92" s="579">
        <v>0</v>
      </c>
      <c r="Z92" s="579">
        <v>0</v>
      </c>
    </row>
    <row r="93" spans="1:26" outlineLevel="1">
      <c r="A93" s="875"/>
      <c r="B93" s="876"/>
      <c r="C93" s="876"/>
      <c r="D93" s="495">
        <v>8</v>
      </c>
      <c r="E93" s="68">
        <f t="shared" si="7"/>
        <v>0</v>
      </c>
      <c r="F93" s="579">
        <v>0</v>
      </c>
      <c r="G93" s="579">
        <v>0</v>
      </c>
      <c r="H93" s="579">
        <v>0</v>
      </c>
      <c r="I93" s="579">
        <v>0</v>
      </c>
      <c r="J93" s="579">
        <v>0</v>
      </c>
      <c r="K93" s="579">
        <v>0</v>
      </c>
      <c r="L93" s="579">
        <v>0</v>
      </c>
      <c r="M93" s="579">
        <v>0</v>
      </c>
      <c r="N93" s="579">
        <v>0</v>
      </c>
      <c r="O93" s="579">
        <v>0</v>
      </c>
      <c r="P93" s="579">
        <v>0</v>
      </c>
      <c r="Q93" s="579">
        <v>0</v>
      </c>
      <c r="R93" s="579">
        <v>0</v>
      </c>
      <c r="S93" s="579">
        <v>0</v>
      </c>
      <c r="T93" s="579">
        <v>0</v>
      </c>
      <c r="U93" s="579">
        <v>0</v>
      </c>
      <c r="V93" s="579">
        <v>0</v>
      </c>
      <c r="W93" s="579">
        <v>0</v>
      </c>
      <c r="X93" s="579">
        <v>0</v>
      </c>
      <c r="Y93" s="579">
        <v>0</v>
      </c>
      <c r="Z93" s="579">
        <v>0</v>
      </c>
    </row>
    <row r="94" spans="1:26" outlineLevel="1">
      <c r="A94" s="875"/>
      <c r="B94" s="876"/>
      <c r="C94" s="876"/>
      <c r="D94" s="495">
        <v>9</v>
      </c>
      <c r="E94" s="68">
        <f t="shared" si="7"/>
        <v>0</v>
      </c>
      <c r="F94" s="579">
        <v>0</v>
      </c>
      <c r="G94" s="579">
        <v>0</v>
      </c>
      <c r="H94" s="579">
        <v>0</v>
      </c>
      <c r="I94" s="579">
        <v>0</v>
      </c>
      <c r="J94" s="579">
        <v>0</v>
      </c>
      <c r="K94" s="579">
        <v>0</v>
      </c>
      <c r="L94" s="579">
        <v>0</v>
      </c>
      <c r="M94" s="579">
        <v>0</v>
      </c>
      <c r="N94" s="579">
        <v>0</v>
      </c>
      <c r="O94" s="579">
        <v>0</v>
      </c>
      <c r="P94" s="579">
        <v>0</v>
      </c>
      <c r="Q94" s="579">
        <v>0</v>
      </c>
      <c r="R94" s="579">
        <v>0</v>
      </c>
      <c r="S94" s="579">
        <v>0</v>
      </c>
      <c r="T94" s="579">
        <v>0</v>
      </c>
      <c r="U94" s="579">
        <v>0</v>
      </c>
      <c r="V94" s="579">
        <v>0</v>
      </c>
      <c r="W94" s="579">
        <v>0</v>
      </c>
      <c r="X94" s="579">
        <v>0</v>
      </c>
      <c r="Y94" s="579">
        <v>0</v>
      </c>
      <c r="Z94" s="579">
        <v>0</v>
      </c>
    </row>
    <row r="95" spans="1:26" ht="15.75" outlineLevel="1" thickBot="1">
      <c r="A95" s="875"/>
      <c r="B95" s="876"/>
      <c r="C95" s="876"/>
      <c r="D95" s="496">
        <v>10</v>
      </c>
      <c r="E95" s="69">
        <f t="shared" si="7"/>
        <v>0</v>
      </c>
      <c r="F95" s="583">
        <v>0</v>
      </c>
      <c r="G95" s="583">
        <v>0</v>
      </c>
      <c r="H95" s="583">
        <v>0</v>
      </c>
      <c r="I95" s="583">
        <v>0</v>
      </c>
      <c r="J95" s="583">
        <v>0</v>
      </c>
      <c r="K95" s="583">
        <v>0</v>
      </c>
      <c r="L95" s="583">
        <v>0</v>
      </c>
      <c r="M95" s="583">
        <v>0</v>
      </c>
      <c r="N95" s="583">
        <v>0</v>
      </c>
      <c r="O95" s="583">
        <v>0</v>
      </c>
      <c r="P95" s="583">
        <v>0</v>
      </c>
      <c r="Q95" s="583">
        <v>0</v>
      </c>
      <c r="R95" s="583">
        <v>0</v>
      </c>
      <c r="S95" s="583">
        <v>0</v>
      </c>
      <c r="T95" s="583">
        <v>0</v>
      </c>
      <c r="U95" s="583">
        <v>0</v>
      </c>
      <c r="V95" s="583">
        <v>0</v>
      </c>
      <c r="W95" s="583">
        <v>0</v>
      </c>
      <c r="X95" s="583">
        <v>0</v>
      </c>
      <c r="Y95" s="583">
        <v>0</v>
      </c>
      <c r="Z95" s="583">
        <v>0</v>
      </c>
    </row>
    <row r="96" spans="1:26" outlineLevel="1">
      <c r="A96" s="875" t="s">
        <v>89</v>
      </c>
      <c r="B96" s="876" t="s">
        <v>76</v>
      </c>
      <c r="C96" s="876">
        <v>637040</v>
      </c>
      <c r="D96" s="494">
        <v>1</v>
      </c>
      <c r="E96" s="68">
        <f t="shared" si="7"/>
        <v>0</v>
      </c>
      <c r="F96" s="578">
        <v>0</v>
      </c>
      <c r="G96" s="578">
        <v>0</v>
      </c>
      <c r="H96" s="578">
        <v>0</v>
      </c>
      <c r="I96" s="578">
        <v>0</v>
      </c>
      <c r="J96" s="578">
        <v>0</v>
      </c>
      <c r="K96" s="578">
        <v>0</v>
      </c>
      <c r="L96" s="578">
        <v>0</v>
      </c>
      <c r="M96" s="578">
        <v>0</v>
      </c>
      <c r="N96" s="578">
        <v>0</v>
      </c>
      <c r="O96" s="578">
        <v>0</v>
      </c>
      <c r="P96" s="578">
        <v>0</v>
      </c>
      <c r="Q96" s="578">
        <v>0</v>
      </c>
      <c r="R96" s="578">
        <v>0</v>
      </c>
      <c r="S96" s="578">
        <v>0</v>
      </c>
      <c r="T96" s="578">
        <v>0</v>
      </c>
      <c r="U96" s="578">
        <v>0</v>
      </c>
      <c r="V96" s="578">
        <v>0</v>
      </c>
      <c r="W96" s="578">
        <v>0</v>
      </c>
      <c r="X96" s="578">
        <v>0</v>
      </c>
      <c r="Y96" s="578">
        <v>0</v>
      </c>
      <c r="Z96" s="578">
        <v>0</v>
      </c>
    </row>
    <row r="97" spans="1:26" outlineLevel="1">
      <c r="A97" s="875"/>
      <c r="B97" s="876"/>
      <c r="C97" s="876"/>
      <c r="D97" s="495">
        <v>2</v>
      </c>
      <c r="E97" s="68">
        <f t="shared" si="7"/>
        <v>0</v>
      </c>
      <c r="F97" s="579">
        <v>0</v>
      </c>
      <c r="G97" s="579">
        <v>0</v>
      </c>
      <c r="H97" s="579">
        <v>0</v>
      </c>
      <c r="I97" s="579">
        <v>0</v>
      </c>
      <c r="J97" s="579">
        <v>0</v>
      </c>
      <c r="K97" s="579">
        <v>0</v>
      </c>
      <c r="L97" s="579">
        <v>0</v>
      </c>
      <c r="M97" s="579">
        <v>0</v>
      </c>
      <c r="N97" s="579">
        <v>0</v>
      </c>
      <c r="O97" s="579">
        <v>0</v>
      </c>
      <c r="P97" s="579">
        <v>0</v>
      </c>
      <c r="Q97" s="579">
        <v>0</v>
      </c>
      <c r="R97" s="579">
        <v>0</v>
      </c>
      <c r="S97" s="579">
        <v>0</v>
      </c>
      <c r="T97" s="579">
        <v>0</v>
      </c>
      <c r="U97" s="579">
        <v>0</v>
      </c>
      <c r="V97" s="579">
        <v>0</v>
      </c>
      <c r="W97" s="579">
        <v>0</v>
      </c>
      <c r="X97" s="579">
        <v>0</v>
      </c>
      <c r="Y97" s="579">
        <v>0</v>
      </c>
      <c r="Z97" s="579">
        <v>0</v>
      </c>
    </row>
    <row r="98" spans="1:26" outlineLevel="1">
      <c r="A98" s="875"/>
      <c r="B98" s="876"/>
      <c r="C98" s="876"/>
      <c r="D98" s="495">
        <v>3</v>
      </c>
      <c r="E98" s="68">
        <f t="shared" si="7"/>
        <v>0</v>
      </c>
      <c r="F98" s="579">
        <v>0</v>
      </c>
      <c r="G98" s="579">
        <v>0</v>
      </c>
      <c r="H98" s="579">
        <v>0</v>
      </c>
      <c r="I98" s="579">
        <v>0</v>
      </c>
      <c r="J98" s="579">
        <v>0</v>
      </c>
      <c r="K98" s="579">
        <v>0</v>
      </c>
      <c r="L98" s="579">
        <v>0</v>
      </c>
      <c r="M98" s="579">
        <v>0</v>
      </c>
      <c r="N98" s="579">
        <v>0</v>
      </c>
      <c r="O98" s="579">
        <v>0</v>
      </c>
      <c r="P98" s="579">
        <v>0</v>
      </c>
      <c r="Q98" s="579">
        <v>0</v>
      </c>
      <c r="R98" s="579">
        <v>0</v>
      </c>
      <c r="S98" s="579">
        <v>0</v>
      </c>
      <c r="T98" s="579">
        <v>0</v>
      </c>
      <c r="U98" s="579">
        <v>0</v>
      </c>
      <c r="V98" s="579">
        <v>0</v>
      </c>
      <c r="W98" s="579">
        <v>0</v>
      </c>
      <c r="X98" s="579">
        <v>0</v>
      </c>
      <c r="Y98" s="579">
        <v>0</v>
      </c>
      <c r="Z98" s="579">
        <v>0</v>
      </c>
    </row>
    <row r="99" spans="1:26" outlineLevel="1">
      <c r="A99" s="875"/>
      <c r="B99" s="876"/>
      <c r="C99" s="876"/>
      <c r="D99" s="495">
        <v>4</v>
      </c>
      <c r="E99" s="68">
        <f t="shared" si="7"/>
        <v>0</v>
      </c>
      <c r="F99" s="579">
        <v>0</v>
      </c>
      <c r="G99" s="579">
        <v>0</v>
      </c>
      <c r="H99" s="579">
        <v>0</v>
      </c>
      <c r="I99" s="579">
        <v>0</v>
      </c>
      <c r="J99" s="579">
        <v>0</v>
      </c>
      <c r="K99" s="579">
        <v>0</v>
      </c>
      <c r="L99" s="579">
        <v>0</v>
      </c>
      <c r="M99" s="579">
        <v>0</v>
      </c>
      <c r="N99" s="579">
        <v>0</v>
      </c>
      <c r="O99" s="579">
        <v>0</v>
      </c>
      <c r="P99" s="579">
        <v>0</v>
      </c>
      <c r="Q99" s="579">
        <v>0</v>
      </c>
      <c r="R99" s="579">
        <v>0</v>
      </c>
      <c r="S99" s="579">
        <v>0</v>
      </c>
      <c r="T99" s="579">
        <v>0</v>
      </c>
      <c r="U99" s="579">
        <v>0</v>
      </c>
      <c r="V99" s="579">
        <v>0</v>
      </c>
      <c r="W99" s="579">
        <v>0</v>
      </c>
      <c r="X99" s="579">
        <v>0</v>
      </c>
      <c r="Y99" s="579">
        <v>0</v>
      </c>
      <c r="Z99" s="579">
        <v>0</v>
      </c>
    </row>
    <row r="100" spans="1:26" outlineLevel="1">
      <c r="A100" s="875"/>
      <c r="B100" s="876"/>
      <c r="C100" s="876"/>
      <c r="D100" s="495">
        <v>5</v>
      </c>
      <c r="E100" s="68">
        <f t="shared" si="7"/>
        <v>0</v>
      </c>
      <c r="F100" s="579">
        <v>0</v>
      </c>
      <c r="G100" s="579">
        <v>0</v>
      </c>
      <c r="H100" s="579">
        <v>0</v>
      </c>
      <c r="I100" s="579">
        <v>0</v>
      </c>
      <c r="J100" s="579">
        <v>0</v>
      </c>
      <c r="K100" s="579">
        <v>0</v>
      </c>
      <c r="L100" s="579">
        <v>0</v>
      </c>
      <c r="M100" s="579">
        <v>0</v>
      </c>
      <c r="N100" s="579">
        <v>0</v>
      </c>
      <c r="O100" s="579">
        <v>0</v>
      </c>
      <c r="P100" s="579">
        <v>0</v>
      </c>
      <c r="Q100" s="579">
        <v>0</v>
      </c>
      <c r="R100" s="579">
        <v>0</v>
      </c>
      <c r="S100" s="579">
        <v>0</v>
      </c>
      <c r="T100" s="579">
        <v>0</v>
      </c>
      <c r="U100" s="579">
        <v>0</v>
      </c>
      <c r="V100" s="579">
        <v>0</v>
      </c>
      <c r="W100" s="579">
        <v>0</v>
      </c>
      <c r="X100" s="579">
        <v>0</v>
      </c>
      <c r="Y100" s="579">
        <v>0</v>
      </c>
      <c r="Z100" s="579">
        <v>0</v>
      </c>
    </row>
    <row r="101" spans="1:26" outlineLevel="1">
      <c r="A101" s="875"/>
      <c r="B101" s="876"/>
      <c r="C101" s="876"/>
      <c r="D101" s="495">
        <v>6</v>
      </c>
      <c r="E101" s="68">
        <f t="shared" si="7"/>
        <v>0</v>
      </c>
      <c r="F101" s="579">
        <v>0</v>
      </c>
      <c r="G101" s="579">
        <v>0</v>
      </c>
      <c r="H101" s="579">
        <v>0</v>
      </c>
      <c r="I101" s="579">
        <v>0</v>
      </c>
      <c r="J101" s="579">
        <v>0</v>
      </c>
      <c r="K101" s="579">
        <v>0</v>
      </c>
      <c r="L101" s="579">
        <v>0</v>
      </c>
      <c r="M101" s="579">
        <v>0</v>
      </c>
      <c r="N101" s="579">
        <v>0</v>
      </c>
      <c r="O101" s="579">
        <v>0</v>
      </c>
      <c r="P101" s="579">
        <v>0</v>
      </c>
      <c r="Q101" s="579">
        <v>0</v>
      </c>
      <c r="R101" s="579">
        <v>0</v>
      </c>
      <c r="S101" s="579">
        <v>0</v>
      </c>
      <c r="T101" s="579">
        <v>0</v>
      </c>
      <c r="U101" s="579">
        <v>0</v>
      </c>
      <c r="V101" s="579">
        <v>0</v>
      </c>
      <c r="W101" s="579">
        <v>0</v>
      </c>
      <c r="X101" s="579">
        <v>0</v>
      </c>
      <c r="Y101" s="579">
        <v>0</v>
      </c>
      <c r="Z101" s="579">
        <v>0</v>
      </c>
    </row>
    <row r="102" spans="1:26" outlineLevel="1">
      <c r="A102" s="875"/>
      <c r="B102" s="876"/>
      <c r="C102" s="876"/>
      <c r="D102" s="495">
        <v>7</v>
      </c>
      <c r="E102" s="68">
        <f t="shared" si="7"/>
        <v>0</v>
      </c>
      <c r="F102" s="579">
        <v>0</v>
      </c>
      <c r="G102" s="579">
        <v>0</v>
      </c>
      <c r="H102" s="579">
        <v>0</v>
      </c>
      <c r="I102" s="579">
        <v>0</v>
      </c>
      <c r="J102" s="579">
        <v>0</v>
      </c>
      <c r="K102" s="579">
        <v>0</v>
      </c>
      <c r="L102" s="579">
        <v>0</v>
      </c>
      <c r="M102" s="579">
        <v>0</v>
      </c>
      <c r="N102" s="579">
        <v>0</v>
      </c>
      <c r="O102" s="579">
        <v>0</v>
      </c>
      <c r="P102" s="579">
        <v>0</v>
      </c>
      <c r="Q102" s="579">
        <v>0</v>
      </c>
      <c r="R102" s="579">
        <v>0</v>
      </c>
      <c r="S102" s="579">
        <v>0</v>
      </c>
      <c r="T102" s="579">
        <v>0</v>
      </c>
      <c r="U102" s="579">
        <v>0</v>
      </c>
      <c r="V102" s="579">
        <v>0</v>
      </c>
      <c r="W102" s="579">
        <v>0</v>
      </c>
      <c r="X102" s="579">
        <v>0</v>
      </c>
      <c r="Y102" s="579">
        <v>0</v>
      </c>
      <c r="Z102" s="579">
        <v>0</v>
      </c>
    </row>
    <row r="103" spans="1:26" outlineLevel="1">
      <c r="A103" s="875"/>
      <c r="B103" s="876"/>
      <c r="C103" s="876"/>
      <c r="D103" s="495">
        <v>8</v>
      </c>
      <c r="E103" s="68">
        <f t="shared" si="7"/>
        <v>0</v>
      </c>
      <c r="F103" s="579">
        <v>0</v>
      </c>
      <c r="G103" s="579">
        <v>0</v>
      </c>
      <c r="H103" s="579">
        <v>0</v>
      </c>
      <c r="I103" s="579">
        <v>0</v>
      </c>
      <c r="J103" s="579">
        <v>0</v>
      </c>
      <c r="K103" s="579">
        <v>0</v>
      </c>
      <c r="L103" s="579">
        <v>0</v>
      </c>
      <c r="M103" s="579">
        <v>0</v>
      </c>
      <c r="N103" s="579">
        <v>0</v>
      </c>
      <c r="O103" s="579">
        <v>0</v>
      </c>
      <c r="P103" s="579">
        <v>0</v>
      </c>
      <c r="Q103" s="579">
        <v>0</v>
      </c>
      <c r="R103" s="579">
        <v>0</v>
      </c>
      <c r="S103" s="579">
        <v>0</v>
      </c>
      <c r="T103" s="579">
        <v>0</v>
      </c>
      <c r="U103" s="579">
        <v>0</v>
      </c>
      <c r="V103" s="579">
        <v>0</v>
      </c>
      <c r="W103" s="579">
        <v>0</v>
      </c>
      <c r="X103" s="579">
        <v>0</v>
      </c>
      <c r="Y103" s="579">
        <v>0</v>
      </c>
      <c r="Z103" s="579">
        <v>0</v>
      </c>
    </row>
    <row r="104" spans="1:26" outlineLevel="1">
      <c r="A104" s="875"/>
      <c r="B104" s="876"/>
      <c r="C104" s="876"/>
      <c r="D104" s="495">
        <v>9</v>
      </c>
      <c r="E104" s="68">
        <f t="shared" si="7"/>
        <v>0</v>
      </c>
      <c r="F104" s="579">
        <v>0</v>
      </c>
      <c r="G104" s="579">
        <v>0</v>
      </c>
      <c r="H104" s="579">
        <v>0</v>
      </c>
      <c r="I104" s="579">
        <v>0</v>
      </c>
      <c r="J104" s="579">
        <v>0</v>
      </c>
      <c r="K104" s="579">
        <v>0</v>
      </c>
      <c r="L104" s="579">
        <v>0</v>
      </c>
      <c r="M104" s="579">
        <v>0</v>
      </c>
      <c r="N104" s="579">
        <v>0</v>
      </c>
      <c r="O104" s="579">
        <v>0</v>
      </c>
      <c r="P104" s="579">
        <v>0</v>
      </c>
      <c r="Q104" s="579">
        <v>0</v>
      </c>
      <c r="R104" s="579">
        <v>0</v>
      </c>
      <c r="S104" s="579">
        <v>0</v>
      </c>
      <c r="T104" s="579">
        <v>0</v>
      </c>
      <c r="U104" s="579">
        <v>0</v>
      </c>
      <c r="V104" s="579">
        <v>0</v>
      </c>
      <c r="W104" s="579">
        <v>0</v>
      </c>
      <c r="X104" s="579">
        <v>0</v>
      </c>
      <c r="Y104" s="579">
        <v>0</v>
      </c>
      <c r="Z104" s="579">
        <v>0</v>
      </c>
    </row>
    <row r="105" spans="1:26" ht="15.75" outlineLevel="1" thickBot="1">
      <c r="A105" s="875"/>
      <c r="B105" s="876"/>
      <c r="C105" s="876"/>
      <c r="D105" s="496">
        <v>10</v>
      </c>
      <c r="E105" s="69">
        <f t="shared" si="7"/>
        <v>0</v>
      </c>
      <c r="F105" s="583">
        <v>0</v>
      </c>
      <c r="G105" s="583">
        <v>0</v>
      </c>
      <c r="H105" s="583">
        <v>0</v>
      </c>
      <c r="I105" s="583">
        <v>0</v>
      </c>
      <c r="J105" s="583">
        <v>0</v>
      </c>
      <c r="K105" s="583">
        <v>0</v>
      </c>
      <c r="L105" s="583">
        <v>0</v>
      </c>
      <c r="M105" s="583">
        <v>0</v>
      </c>
      <c r="N105" s="583">
        <v>0</v>
      </c>
      <c r="O105" s="583">
        <v>0</v>
      </c>
      <c r="P105" s="583">
        <v>0</v>
      </c>
      <c r="Q105" s="583">
        <v>0</v>
      </c>
      <c r="R105" s="583">
        <v>0</v>
      </c>
      <c r="S105" s="583">
        <v>0</v>
      </c>
      <c r="T105" s="583">
        <v>0</v>
      </c>
      <c r="U105" s="583">
        <v>0</v>
      </c>
      <c r="V105" s="583">
        <v>0</v>
      </c>
      <c r="W105" s="583">
        <v>0</v>
      </c>
      <c r="X105" s="583">
        <v>0</v>
      </c>
      <c r="Y105" s="583">
        <v>0</v>
      </c>
      <c r="Z105" s="583">
        <v>0</v>
      </c>
    </row>
  </sheetData>
  <mergeCells count="35">
    <mergeCell ref="A56:A65"/>
    <mergeCell ref="B56:B65"/>
    <mergeCell ref="C56:C65"/>
    <mergeCell ref="A4:C4"/>
    <mergeCell ref="A45:A54"/>
    <mergeCell ref="B45:B54"/>
    <mergeCell ref="C45:C54"/>
    <mergeCell ref="A55:C55"/>
    <mergeCell ref="A5:A14"/>
    <mergeCell ref="A25:A34"/>
    <mergeCell ref="B25:B34"/>
    <mergeCell ref="C25:C34"/>
    <mergeCell ref="A35:A44"/>
    <mergeCell ref="B35:B44"/>
    <mergeCell ref="C35:C44"/>
    <mergeCell ref="A96:A105"/>
    <mergeCell ref="B96:B105"/>
    <mergeCell ref="C96:C105"/>
    <mergeCell ref="A66:A75"/>
    <mergeCell ref="B66:B75"/>
    <mergeCell ref="C66:C75"/>
    <mergeCell ref="A76:A85"/>
    <mergeCell ref="B76:B85"/>
    <mergeCell ref="C76:C85"/>
    <mergeCell ref="A86:A95"/>
    <mergeCell ref="B86:B95"/>
    <mergeCell ref="C86:C95"/>
    <mergeCell ref="F1:Z1"/>
    <mergeCell ref="B5:B14"/>
    <mergeCell ref="C5:C14"/>
    <mergeCell ref="A15:A24"/>
    <mergeCell ref="B15:B24"/>
    <mergeCell ref="C15:C24"/>
    <mergeCell ref="A1:D1"/>
    <mergeCell ref="A2:D2"/>
  </mergeCells>
  <conditionalFormatting sqref="F2:Z2">
    <cfRule type="cellIs" dxfId="0" priority="1" operator="equal">
      <formula>0</formula>
    </cfRule>
  </conditionalFormatting>
  <pageMargins left="0.7" right="0.7" top="0.75" bottom="0.75" header="0.3" footer="0.3"/>
  <pageSetup paperSize="9" scale="39" orientation="portrait" r:id="rId1"/>
  <ignoredErrors>
    <ignoredError sqref="E55" formula="1"/>
  </ignoredError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17">
    <tabColor rgb="FFFFFF00"/>
  </sheetPr>
  <dimension ref="A1:D14"/>
  <sheetViews>
    <sheetView zoomScale="80" zoomScaleNormal="80" workbookViewId="0">
      <pane ySplit="1" topLeftCell="A2" activePane="bottomLeft" state="frozen"/>
      <selection activeCell="H74" sqref="H74"/>
      <selection pane="bottomLeft" activeCell="B8" sqref="B8:B9"/>
    </sheetView>
  </sheetViews>
  <sheetFormatPr defaultColWidth="8.85546875" defaultRowHeight="15"/>
  <cols>
    <col min="1" max="1" width="32.42578125" style="4" customWidth="1"/>
    <col min="2" max="2" width="66.5703125" style="4" customWidth="1"/>
    <col min="3" max="3" width="14.42578125" style="6" customWidth="1"/>
    <col min="4" max="4" width="23.42578125" style="4" customWidth="1"/>
    <col min="5" max="16384" width="8.85546875" style="4"/>
  </cols>
  <sheetData>
    <row r="1" spans="1:4" ht="18" thickTop="1" thickBot="1">
      <c r="A1" s="1" t="s">
        <v>0</v>
      </c>
      <c r="B1" s="2" t="s">
        <v>1</v>
      </c>
      <c r="C1" s="5" t="s">
        <v>10</v>
      </c>
      <c r="D1" s="3" t="s">
        <v>2</v>
      </c>
    </row>
    <row r="2" spans="1:4" ht="150" thickTop="1" thickBot="1">
      <c r="A2" s="323" t="s">
        <v>3</v>
      </c>
      <c r="B2" s="324" t="s">
        <v>4</v>
      </c>
      <c r="C2" s="325" t="s">
        <v>11</v>
      </c>
      <c r="D2" s="150">
        <v>10</v>
      </c>
    </row>
    <row r="3" spans="1:4" ht="41.45" customHeight="1">
      <c r="A3" s="896" t="s">
        <v>5</v>
      </c>
      <c r="B3" s="907" t="s">
        <v>14</v>
      </c>
      <c r="C3" s="909" t="s">
        <v>12</v>
      </c>
      <c r="D3" s="898">
        <v>0.04</v>
      </c>
    </row>
    <row r="4" spans="1:4" ht="44.45" customHeight="1" thickBot="1">
      <c r="A4" s="897"/>
      <c r="B4" s="908"/>
      <c r="C4" s="910"/>
      <c r="D4" s="899"/>
    </row>
    <row r="5" spans="1:4" ht="49.5">
      <c r="A5" s="896" t="s">
        <v>6</v>
      </c>
      <c r="B5" s="326" t="s">
        <v>7</v>
      </c>
      <c r="C5" s="909" t="s">
        <v>12</v>
      </c>
      <c r="D5" s="900">
        <v>0.05</v>
      </c>
    </row>
    <row r="6" spans="1:4" ht="50.25" thickBot="1">
      <c r="A6" s="897"/>
      <c r="B6" s="324" t="s">
        <v>8</v>
      </c>
      <c r="C6" s="910"/>
      <c r="D6" s="901"/>
    </row>
    <row r="7" spans="1:4" ht="33.75" thickBot="1">
      <c r="A7" s="327" t="s">
        <v>139</v>
      </c>
      <c r="B7" s="328" t="s">
        <v>455</v>
      </c>
      <c r="C7" s="329" t="s">
        <v>13</v>
      </c>
      <c r="D7" s="591">
        <v>1577</v>
      </c>
    </row>
    <row r="8" spans="1:4" ht="15" customHeight="1">
      <c r="A8" s="902" t="s">
        <v>9</v>
      </c>
      <c r="B8" s="892" t="s">
        <v>240</v>
      </c>
      <c r="C8" s="911" t="s">
        <v>15</v>
      </c>
      <c r="D8" s="904">
        <f>$D$7*1.352/(D12/12)</f>
        <v>13.070369348659005</v>
      </c>
    </row>
    <row r="9" spans="1:4" ht="15.75" thickBot="1">
      <c r="A9" s="903"/>
      <c r="B9" s="906"/>
      <c r="C9" s="912"/>
      <c r="D9" s="905"/>
    </row>
    <row r="10" spans="1:4">
      <c r="A10" s="890" t="s">
        <v>140</v>
      </c>
      <c r="B10" s="892" t="s">
        <v>456</v>
      </c>
      <c r="C10" s="888" t="s">
        <v>15</v>
      </c>
      <c r="D10" s="894">
        <v>6.85</v>
      </c>
    </row>
    <row r="11" spans="1:4" ht="20.25" customHeight="1" thickBot="1">
      <c r="A11" s="891"/>
      <c r="B11" s="893"/>
      <c r="C11" s="889"/>
      <c r="D11" s="895"/>
    </row>
    <row r="12" spans="1:4" ht="72" customHeight="1" thickBot="1">
      <c r="A12" s="330" t="s">
        <v>237</v>
      </c>
      <c r="B12" s="328" t="s">
        <v>457</v>
      </c>
      <c r="C12" s="331" t="s">
        <v>238</v>
      </c>
      <c r="D12" s="592">
        <v>1957.5</v>
      </c>
    </row>
    <row r="13" spans="1:4" ht="72" customHeight="1" thickBot="1">
      <c r="A13" s="330" t="s">
        <v>239</v>
      </c>
      <c r="B13" s="328" t="s">
        <v>458</v>
      </c>
      <c r="C13" s="331" t="s">
        <v>238</v>
      </c>
      <c r="D13" s="593">
        <v>2088</v>
      </c>
    </row>
    <row r="14" spans="1:4" ht="21" customHeight="1" thickBot="1">
      <c r="A14" s="330" t="s">
        <v>25</v>
      </c>
      <c r="B14" s="330" t="s">
        <v>109</v>
      </c>
      <c r="C14" s="331" t="s">
        <v>11</v>
      </c>
      <c r="D14" s="594">
        <v>2021</v>
      </c>
    </row>
  </sheetData>
  <mergeCells count="15">
    <mergeCell ref="C10:C11"/>
    <mergeCell ref="A10:A11"/>
    <mergeCell ref="B10:B11"/>
    <mergeCell ref="D10:D11"/>
    <mergeCell ref="A3:A4"/>
    <mergeCell ref="D3:D4"/>
    <mergeCell ref="A5:A6"/>
    <mergeCell ref="D5:D6"/>
    <mergeCell ref="A8:A9"/>
    <mergeCell ref="D8:D9"/>
    <mergeCell ref="B8:B9"/>
    <mergeCell ref="B3:B4"/>
    <mergeCell ref="C3:C4"/>
    <mergeCell ref="C8:C9"/>
    <mergeCell ref="C5:C6"/>
  </mergeCells>
  <pageMargins left="0.7" right="0.7" top="0.75" bottom="0.75" header="0.3" footer="0.3"/>
  <pageSetup paperSize="9" scale="63"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31"/>
  <dimension ref="A1:A9"/>
  <sheetViews>
    <sheetView workbookViewId="0">
      <selection activeCell="A2" sqref="A2:A9"/>
    </sheetView>
  </sheetViews>
  <sheetFormatPr defaultColWidth="8.85546875" defaultRowHeight="15"/>
  <cols>
    <col min="1" max="1" width="37.42578125" bestFit="1" customWidth="1"/>
  </cols>
  <sheetData>
    <row r="1" spans="1:1">
      <c r="A1" t="s">
        <v>452</v>
      </c>
    </row>
    <row r="2" spans="1:1">
      <c r="A2" t="s">
        <v>445</v>
      </c>
    </row>
    <row r="3" spans="1:1">
      <c r="A3" t="s">
        <v>377</v>
      </c>
    </row>
    <row r="4" spans="1:1">
      <c r="A4" t="s">
        <v>446</v>
      </c>
    </row>
    <row r="5" spans="1:1">
      <c r="A5" t="s">
        <v>447</v>
      </c>
    </row>
    <row r="6" spans="1:1">
      <c r="A6" t="s">
        <v>448</v>
      </c>
    </row>
    <row r="7" spans="1:1">
      <c r="A7" t="s">
        <v>449</v>
      </c>
    </row>
    <row r="8" spans="1:1">
      <c r="A8" t="s">
        <v>450</v>
      </c>
    </row>
    <row r="9" spans="1:1">
      <c r="A9" t="s">
        <v>451</v>
      </c>
    </row>
  </sheetData>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9"/>
  <dimension ref="A1:T3"/>
  <sheetViews>
    <sheetView view="pageBreakPreview" topLeftCell="D1" zoomScale="60" zoomScaleNormal="60" workbookViewId="0">
      <selection activeCell="S17" sqref="S17"/>
    </sheetView>
  </sheetViews>
  <sheetFormatPr defaultColWidth="8.85546875" defaultRowHeight="15"/>
  <sheetData>
    <row r="1" spans="1:20">
      <c r="A1" t="s">
        <v>170</v>
      </c>
      <c r="D1" s="197"/>
      <c r="E1" s="197"/>
      <c r="F1" s="197"/>
      <c r="G1" s="197"/>
      <c r="H1" s="197"/>
      <c r="I1" s="197"/>
      <c r="J1" s="197"/>
      <c r="K1" s="197"/>
      <c r="L1" s="197"/>
      <c r="M1" s="197"/>
      <c r="N1" s="197"/>
      <c r="O1" s="197"/>
      <c r="P1" s="197"/>
      <c r="Q1" s="197"/>
      <c r="R1" s="197"/>
      <c r="S1" s="197"/>
      <c r="T1" s="197"/>
    </row>
    <row r="2" spans="1:20">
      <c r="A2" t="s">
        <v>171</v>
      </c>
      <c r="D2" s="197"/>
      <c r="E2" s="197"/>
      <c r="F2" s="197"/>
      <c r="G2" s="197"/>
      <c r="H2" s="197"/>
      <c r="I2" s="197"/>
      <c r="J2" s="197"/>
      <c r="K2" s="197"/>
      <c r="L2" s="197"/>
      <c r="M2" s="197"/>
      <c r="N2" s="197"/>
      <c r="O2" s="197"/>
      <c r="P2" s="197"/>
      <c r="Q2" s="197"/>
      <c r="R2" s="197"/>
      <c r="S2" s="197"/>
      <c r="T2" s="197"/>
    </row>
    <row r="3" spans="1:20">
      <c r="A3" s="198" t="s">
        <v>172</v>
      </c>
      <c r="D3" s="197"/>
      <c r="E3" s="197"/>
      <c r="F3" s="197"/>
      <c r="G3" s="197"/>
      <c r="H3" s="197"/>
      <c r="I3" s="197"/>
      <c r="J3" s="197"/>
      <c r="K3" s="197"/>
      <c r="L3" s="197"/>
      <c r="M3" s="197"/>
      <c r="N3" s="197"/>
      <c r="O3" s="197"/>
      <c r="P3" s="197"/>
      <c r="Q3" s="197"/>
      <c r="R3" s="197"/>
      <c r="S3" s="197"/>
      <c r="T3" s="199" t="s">
        <v>125</v>
      </c>
    </row>
  </sheetData>
  <pageMargins left="0.7" right="0.7" top="0.75" bottom="0.75" header="0.3" footer="0.3"/>
  <pageSetup paperSize="9" scale="33" orientation="portrait" r:id="rId1"/>
  <colBreaks count="1" manualBreakCount="1">
    <brk id="15" max="1048575" man="1"/>
  </col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20"/>
  <dimension ref="A1:AC70"/>
  <sheetViews>
    <sheetView view="pageBreakPreview" topLeftCell="A28" zoomScale="60" zoomScaleNormal="80" workbookViewId="0">
      <selection activeCell="C39" sqref="C39"/>
    </sheetView>
  </sheetViews>
  <sheetFormatPr defaultColWidth="8.85546875" defaultRowHeight="15"/>
  <cols>
    <col min="1" max="1" width="21.42578125" customWidth="1"/>
    <col min="2" max="2" width="14.42578125" customWidth="1"/>
    <col min="3" max="3" width="14.42578125" style="197" customWidth="1"/>
    <col min="4" max="4" width="14.140625" style="197" customWidth="1"/>
    <col min="5" max="5" width="14.85546875" style="197" customWidth="1"/>
    <col min="6" max="6" width="11.85546875" style="197" customWidth="1"/>
    <col min="7" max="7" width="15.85546875" style="197" customWidth="1"/>
    <col min="8" max="8" width="13.42578125" style="197" customWidth="1"/>
    <col min="9" max="9" width="10" style="197" customWidth="1"/>
    <col min="10" max="28" width="8.42578125" style="197" customWidth="1"/>
  </cols>
  <sheetData>
    <row r="1" spans="1:29" ht="15.75" thickBot="1"/>
    <row r="2" spans="1:29" ht="48.75" customHeight="1" thickBot="1">
      <c r="A2" s="200" t="s">
        <v>173</v>
      </c>
      <c r="B2" s="217" t="s">
        <v>174</v>
      </c>
      <c r="C2" s="215" t="s">
        <v>175</v>
      </c>
      <c r="D2" s="201" t="s">
        <v>176</v>
      </c>
      <c r="E2" s="201" t="s">
        <v>177</v>
      </c>
      <c r="F2" s="222" t="s">
        <v>168</v>
      </c>
      <c r="G2" s="217" t="s">
        <v>178</v>
      </c>
      <c r="H2" s="226" t="s">
        <v>175</v>
      </c>
      <c r="I2" s="202" t="s">
        <v>168</v>
      </c>
      <c r="O2" s="203"/>
      <c r="P2" s="204"/>
      <c r="Q2" s="204"/>
      <c r="R2" s="97"/>
      <c r="S2" s="97"/>
      <c r="T2" s="97"/>
      <c r="U2" s="97"/>
      <c r="V2" s="97"/>
      <c r="W2" s="97"/>
      <c r="X2" s="97"/>
      <c r="Y2" s="204"/>
      <c r="Z2" s="204"/>
      <c r="AA2" s="97"/>
      <c r="AB2" s="97"/>
      <c r="AC2" s="97"/>
    </row>
    <row r="3" spans="1:29">
      <c r="A3" s="205" t="s">
        <v>127</v>
      </c>
      <c r="B3" s="218"/>
      <c r="C3" s="216"/>
      <c r="D3" s="212"/>
      <c r="E3" s="212"/>
      <c r="F3" s="223"/>
      <c r="G3" s="227"/>
      <c r="H3" s="216"/>
      <c r="I3" s="212"/>
      <c r="O3" s="206"/>
      <c r="P3"/>
      <c r="AC3" s="197"/>
    </row>
    <row r="4" spans="1:29">
      <c r="A4" s="207" t="s">
        <v>179</v>
      </c>
      <c r="B4" s="219" t="s">
        <v>180</v>
      </c>
      <c r="C4" s="214"/>
      <c r="D4" s="213"/>
      <c r="E4" s="213"/>
      <c r="F4" s="224"/>
      <c r="G4" s="220"/>
      <c r="H4" s="214"/>
      <c r="I4" s="213"/>
      <c r="O4" s="206"/>
      <c r="P4" s="208"/>
      <c r="AC4" s="197"/>
    </row>
    <row r="5" spans="1:29" ht="15.75" customHeight="1">
      <c r="A5" s="209" t="s">
        <v>181</v>
      </c>
      <c r="B5" s="220"/>
      <c r="C5" s="214"/>
      <c r="D5" s="213"/>
      <c r="E5" s="213"/>
      <c r="F5" s="224"/>
      <c r="G5" s="220"/>
      <c r="H5" s="214"/>
      <c r="I5" s="213"/>
      <c r="O5" s="206"/>
      <c r="AC5" s="197"/>
    </row>
    <row r="6" spans="1:29">
      <c r="A6" s="209" t="s">
        <v>182</v>
      </c>
      <c r="B6" s="220"/>
      <c r="C6" s="214"/>
      <c r="D6" s="213"/>
      <c r="E6" s="213"/>
      <c r="F6" s="224"/>
      <c r="G6" s="220"/>
      <c r="H6" s="214"/>
      <c r="I6" s="213"/>
      <c r="O6" s="206"/>
      <c r="AC6" s="197"/>
    </row>
    <row r="7" spans="1:29">
      <c r="A7" s="209" t="s">
        <v>183</v>
      </c>
      <c r="B7" s="220"/>
      <c r="C7" s="214"/>
      <c r="D7" s="213"/>
      <c r="E7" s="213"/>
      <c r="F7" s="224"/>
      <c r="G7" s="220"/>
      <c r="H7" s="214"/>
      <c r="I7" s="213"/>
      <c r="O7" s="206"/>
      <c r="AC7" s="197"/>
    </row>
    <row r="8" spans="1:29">
      <c r="A8" s="209" t="s">
        <v>184</v>
      </c>
      <c r="B8" s="220"/>
      <c r="C8" s="214"/>
      <c r="D8" s="213"/>
      <c r="E8" s="213"/>
      <c r="F8" s="224"/>
      <c r="G8" s="220"/>
      <c r="H8" s="214"/>
      <c r="I8" s="213"/>
      <c r="O8" s="206"/>
      <c r="AC8" s="197"/>
    </row>
    <row r="9" spans="1:29">
      <c r="A9" s="209" t="s">
        <v>185</v>
      </c>
      <c r="B9" s="220"/>
      <c r="C9" s="214"/>
      <c r="D9" s="213"/>
      <c r="E9" s="213"/>
      <c r="F9" s="224"/>
      <c r="G9" s="220"/>
      <c r="H9" s="214"/>
      <c r="I9" s="213"/>
      <c r="O9" s="206"/>
      <c r="AC9" s="197"/>
    </row>
    <row r="10" spans="1:29">
      <c r="A10" s="209" t="s">
        <v>186</v>
      </c>
      <c r="B10" s="220"/>
      <c r="C10" s="214"/>
      <c r="D10" s="213"/>
      <c r="E10" s="213"/>
      <c r="F10" s="224"/>
      <c r="G10" s="220"/>
      <c r="H10" s="214"/>
      <c r="I10" s="213"/>
      <c r="O10" s="206"/>
      <c r="AC10" s="197"/>
    </row>
    <row r="11" spans="1:29">
      <c r="A11" s="209" t="s">
        <v>187</v>
      </c>
      <c r="B11" s="220"/>
      <c r="C11" s="214"/>
      <c r="D11" s="213"/>
      <c r="E11" s="213"/>
      <c r="F11" s="224"/>
      <c r="G11" s="220"/>
      <c r="H11" s="214"/>
      <c r="I11" s="213"/>
      <c r="O11" s="206"/>
      <c r="AC11" s="197"/>
    </row>
    <row r="12" spans="1:29">
      <c r="A12" s="209" t="s">
        <v>188</v>
      </c>
      <c r="B12" s="220"/>
      <c r="C12" s="214"/>
      <c r="D12" s="213"/>
      <c r="E12" s="213"/>
      <c r="F12" s="224"/>
      <c r="G12" s="220"/>
      <c r="H12" s="214"/>
      <c r="I12" s="213"/>
      <c r="O12" s="206"/>
      <c r="AC12" s="197"/>
    </row>
    <row r="13" spans="1:29">
      <c r="A13" s="209" t="s">
        <v>189</v>
      </c>
      <c r="B13" s="220"/>
      <c r="C13" s="214"/>
      <c r="D13" s="213"/>
      <c r="E13" s="213"/>
      <c r="F13" s="224"/>
      <c r="G13" s="220"/>
      <c r="H13" s="214"/>
      <c r="I13" s="213"/>
      <c r="O13" s="206"/>
      <c r="AC13" s="197"/>
    </row>
    <row r="14" spans="1:29">
      <c r="A14" s="209" t="s">
        <v>190</v>
      </c>
      <c r="B14" s="220"/>
      <c r="C14" s="214"/>
      <c r="D14" s="213"/>
      <c r="E14" s="213"/>
      <c r="F14" s="224"/>
      <c r="G14" s="220"/>
      <c r="H14" s="214"/>
      <c r="I14" s="213"/>
      <c r="O14" s="206"/>
      <c r="AC14" s="197"/>
    </row>
    <row r="15" spans="1:29">
      <c r="A15" s="209" t="s">
        <v>191</v>
      </c>
      <c r="B15" s="220"/>
      <c r="C15" s="214"/>
      <c r="D15" s="213"/>
      <c r="E15" s="213"/>
      <c r="F15" s="224"/>
      <c r="G15" s="220"/>
      <c r="H15" s="214"/>
      <c r="I15" s="213"/>
      <c r="O15" s="206"/>
      <c r="AC15" s="197"/>
    </row>
    <row r="16" spans="1:29">
      <c r="A16" s="209" t="s">
        <v>192</v>
      </c>
      <c r="B16" s="220"/>
      <c r="C16" s="214"/>
      <c r="D16" s="213"/>
      <c r="E16" s="213"/>
      <c r="F16" s="224"/>
      <c r="G16" s="220"/>
      <c r="H16" s="214"/>
      <c r="I16" s="213"/>
      <c r="O16" s="206"/>
      <c r="AC16" s="197"/>
    </row>
    <row r="17" spans="1:29">
      <c r="A17" s="209" t="s">
        <v>193</v>
      </c>
      <c r="B17" s="220"/>
      <c r="C17" s="214"/>
      <c r="D17" s="213"/>
      <c r="E17" s="213"/>
      <c r="F17" s="224"/>
      <c r="G17" s="220"/>
      <c r="H17" s="214"/>
      <c r="I17" s="213"/>
      <c r="O17" s="206"/>
      <c r="AC17" s="197"/>
    </row>
    <row r="18" spans="1:29">
      <c r="A18" s="209" t="s">
        <v>194</v>
      </c>
      <c r="B18" s="220"/>
      <c r="C18" s="214"/>
      <c r="D18" s="213"/>
      <c r="E18" s="213"/>
      <c r="F18" s="224"/>
      <c r="G18" s="220"/>
      <c r="H18" s="214"/>
      <c r="I18" s="213"/>
      <c r="O18" s="206"/>
      <c r="AC18" s="197"/>
    </row>
    <row r="19" spans="1:29">
      <c r="A19" s="209" t="s">
        <v>195</v>
      </c>
      <c r="B19" s="220"/>
      <c r="C19" s="214"/>
      <c r="D19" s="213"/>
      <c r="E19" s="213"/>
      <c r="F19" s="224"/>
      <c r="G19" s="220"/>
      <c r="H19" s="214"/>
      <c r="I19" s="213"/>
      <c r="O19" s="206"/>
      <c r="AC19" s="197"/>
    </row>
    <row r="20" spans="1:29">
      <c r="A20" s="209" t="s">
        <v>196</v>
      </c>
      <c r="B20" s="220"/>
      <c r="C20" s="214"/>
      <c r="D20" s="213"/>
      <c r="E20" s="213"/>
      <c r="F20" s="224"/>
      <c r="G20" s="220"/>
      <c r="H20" s="214"/>
      <c r="I20" s="213"/>
      <c r="O20" s="206"/>
      <c r="AC20" s="197"/>
    </row>
    <row r="21" spans="1:29">
      <c r="A21" s="209" t="s">
        <v>197</v>
      </c>
      <c r="B21" s="220"/>
      <c r="C21" s="214"/>
      <c r="D21" s="213"/>
      <c r="E21" s="213"/>
      <c r="F21" s="224"/>
      <c r="G21" s="220"/>
      <c r="H21" s="214"/>
      <c r="I21" s="213"/>
      <c r="O21" s="206"/>
      <c r="AC21" s="197"/>
    </row>
    <row r="22" spans="1:29">
      <c r="A22" s="209" t="s">
        <v>198</v>
      </c>
      <c r="B22" s="220"/>
      <c r="C22" s="214"/>
      <c r="D22" s="213"/>
      <c r="E22" s="213"/>
      <c r="F22" s="224"/>
      <c r="G22" s="220"/>
      <c r="H22" s="214"/>
      <c r="I22" s="213"/>
      <c r="O22" s="206"/>
      <c r="AC22" s="197"/>
    </row>
    <row r="23" spans="1:29">
      <c r="A23" s="209" t="s">
        <v>199</v>
      </c>
      <c r="B23" s="220"/>
      <c r="C23" s="214"/>
      <c r="D23" s="213"/>
      <c r="E23" s="213"/>
      <c r="F23" s="224"/>
      <c r="G23" s="220"/>
      <c r="H23" s="214"/>
      <c r="I23" s="213"/>
      <c r="O23" s="206"/>
      <c r="AC23" s="197"/>
    </row>
    <row r="24" spans="1:29">
      <c r="A24" s="209" t="s">
        <v>200</v>
      </c>
      <c r="B24" s="220"/>
      <c r="C24" s="214"/>
      <c r="D24" s="213"/>
      <c r="E24" s="213"/>
      <c r="F24" s="224"/>
      <c r="G24" s="220"/>
      <c r="H24" s="214"/>
      <c r="I24" s="213"/>
      <c r="O24" s="206"/>
      <c r="AC24" s="197"/>
    </row>
    <row r="25" spans="1:29">
      <c r="A25" s="209" t="s">
        <v>201</v>
      </c>
      <c r="B25" s="220"/>
      <c r="C25" s="214"/>
      <c r="D25" s="213"/>
      <c r="E25" s="213"/>
      <c r="F25" s="224"/>
      <c r="G25" s="220"/>
      <c r="H25" s="214"/>
      <c r="I25" s="213"/>
      <c r="O25" s="206"/>
      <c r="AC25" s="197"/>
    </row>
    <row r="26" spans="1:29">
      <c r="A26" s="209" t="s">
        <v>202</v>
      </c>
      <c r="B26" s="220"/>
      <c r="C26" s="214"/>
      <c r="D26" s="213"/>
      <c r="E26" s="213"/>
      <c r="F26" s="224"/>
      <c r="G26" s="220"/>
      <c r="H26" s="214"/>
      <c r="I26" s="213"/>
      <c r="O26" s="206"/>
      <c r="AC26" s="197"/>
    </row>
    <row r="27" spans="1:29">
      <c r="A27" s="209" t="s">
        <v>203</v>
      </c>
      <c r="B27" s="220"/>
      <c r="C27" s="214"/>
      <c r="D27" s="213"/>
      <c r="E27" s="213"/>
      <c r="F27" s="224"/>
      <c r="G27" s="220"/>
      <c r="H27" s="214"/>
      <c r="I27" s="213"/>
      <c r="O27" s="206"/>
      <c r="AC27" s="197"/>
    </row>
    <row r="28" spans="1:29">
      <c r="A28" s="209" t="s">
        <v>204</v>
      </c>
      <c r="B28" s="220"/>
      <c r="C28" s="214"/>
      <c r="D28" s="213"/>
      <c r="E28" s="213"/>
      <c r="F28" s="224"/>
      <c r="G28" s="220"/>
      <c r="H28" s="214"/>
      <c r="I28" s="213"/>
      <c r="O28" s="206"/>
      <c r="AC28" s="197"/>
    </row>
    <row r="29" spans="1:29">
      <c r="A29" s="209" t="s">
        <v>205</v>
      </c>
      <c r="B29" s="220"/>
      <c r="C29" s="214"/>
      <c r="D29" s="213"/>
      <c r="E29" s="213"/>
      <c r="F29" s="224"/>
      <c r="G29" s="220"/>
      <c r="H29" s="214"/>
      <c r="I29" s="213"/>
      <c r="O29" s="206"/>
      <c r="AC29" s="197"/>
    </row>
    <row r="30" spans="1:29">
      <c r="A30" s="209" t="s">
        <v>206</v>
      </c>
      <c r="B30" s="220"/>
      <c r="C30" s="214"/>
      <c r="D30" s="213"/>
      <c r="E30" s="213"/>
      <c r="F30" s="224"/>
      <c r="G30" s="220"/>
      <c r="H30" s="214"/>
      <c r="I30" s="213"/>
      <c r="O30" s="206"/>
      <c r="AC30" s="197"/>
    </row>
    <row r="31" spans="1:29">
      <c r="A31" s="209" t="s">
        <v>207</v>
      </c>
      <c r="B31" s="220"/>
      <c r="C31" s="214"/>
      <c r="D31" s="213"/>
      <c r="E31" s="213"/>
      <c r="F31" s="224"/>
      <c r="G31" s="220"/>
      <c r="H31" s="214"/>
      <c r="I31" s="213"/>
      <c r="O31" s="206"/>
      <c r="AC31" s="197"/>
    </row>
    <row r="32" spans="1:29">
      <c r="A32" s="209" t="s">
        <v>208</v>
      </c>
      <c r="B32" s="220"/>
      <c r="C32" s="214"/>
      <c r="D32" s="213"/>
      <c r="E32" s="213"/>
      <c r="F32" s="224"/>
      <c r="G32" s="220"/>
      <c r="H32" s="214"/>
      <c r="I32" s="213"/>
      <c r="O32" s="206"/>
      <c r="AC32" s="197"/>
    </row>
    <row r="33" spans="1:29">
      <c r="A33" s="209" t="s">
        <v>209</v>
      </c>
      <c r="B33" s="220"/>
      <c r="C33" s="214"/>
      <c r="D33" s="213"/>
      <c r="E33" s="213"/>
      <c r="F33" s="224"/>
      <c r="G33" s="220"/>
      <c r="H33" s="214"/>
      <c r="I33" s="213"/>
      <c r="O33" s="206"/>
      <c r="AC33" s="197"/>
    </row>
    <row r="34" spans="1:29" ht="15.75" thickBot="1">
      <c r="A34" s="210" t="s">
        <v>210</v>
      </c>
      <c r="B34" s="221"/>
      <c r="C34" s="211"/>
      <c r="D34" s="194"/>
      <c r="E34" s="194"/>
      <c r="F34" s="225"/>
      <c r="G34" s="221"/>
      <c r="H34" s="211"/>
      <c r="I34" s="194"/>
      <c r="O34" s="206"/>
      <c r="P34"/>
      <c r="Q34"/>
      <c r="R34"/>
      <c r="S34"/>
      <c r="T34"/>
      <c r="U34"/>
      <c r="V34"/>
      <c r="W34"/>
      <c r="X34"/>
      <c r="Y34"/>
      <c r="Z34"/>
      <c r="AA34"/>
      <c r="AB34"/>
    </row>
    <row r="37" spans="1:29" ht="15.75" thickBot="1"/>
    <row r="38" spans="1:29" ht="45.75" thickBot="1">
      <c r="A38" s="200" t="s">
        <v>211</v>
      </c>
      <c r="B38" s="217" t="s">
        <v>174</v>
      </c>
      <c r="C38" s="215" t="s">
        <v>175</v>
      </c>
      <c r="D38" s="201" t="s">
        <v>176</v>
      </c>
      <c r="E38" s="201" t="s">
        <v>177</v>
      </c>
      <c r="F38" s="222" t="s">
        <v>168</v>
      </c>
      <c r="G38" s="217" t="s">
        <v>178</v>
      </c>
      <c r="H38" s="226" t="s">
        <v>175</v>
      </c>
      <c r="I38" s="202" t="s">
        <v>168</v>
      </c>
    </row>
    <row r="39" spans="1:29">
      <c r="A39" s="205" t="s">
        <v>127</v>
      </c>
      <c r="B39" s="218"/>
      <c r="C39" s="216"/>
      <c r="D39" s="212"/>
      <c r="E39" s="212"/>
      <c r="F39" s="223"/>
      <c r="G39" s="227"/>
      <c r="H39" s="216"/>
      <c r="I39" s="212"/>
    </row>
    <row r="40" spans="1:29">
      <c r="A40" s="207" t="s">
        <v>179</v>
      </c>
      <c r="B40" s="219" t="s">
        <v>180</v>
      </c>
      <c r="C40" s="214"/>
      <c r="D40" s="213"/>
      <c r="E40" s="213"/>
      <c r="F40" s="224"/>
      <c r="G40" s="220"/>
      <c r="H40" s="214"/>
      <c r="I40" s="213"/>
    </row>
    <row r="41" spans="1:29">
      <c r="A41" s="209" t="s">
        <v>181</v>
      </c>
      <c r="B41" s="220"/>
      <c r="C41" s="214"/>
      <c r="D41" s="213"/>
      <c r="E41" s="213"/>
      <c r="F41" s="224"/>
      <c r="G41" s="220"/>
      <c r="H41" s="214"/>
      <c r="I41" s="213"/>
    </row>
    <row r="42" spans="1:29">
      <c r="A42" s="209" t="s">
        <v>182</v>
      </c>
      <c r="B42" s="220"/>
      <c r="C42" s="214"/>
      <c r="D42" s="213"/>
      <c r="E42" s="213"/>
      <c r="F42" s="224"/>
      <c r="G42" s="220"/>
      <c r="H42" s="214"/>
      <c r="I42" s="213"/>
    </row>
    <row r="43" spans="1:29">
      <c r="A43" s="209" t="s">
        <v>183</v>
      </c>
      <c r="B43" s="220"/>
      <c r="C43" s="214"/>
      <c r="D43" s="213"/>
      <c r="E43" s="213"/>
      <c r="F43" s="224"/>
      <c r="G43" s="220"/>
      <c r="H43" s="214"/>
      <c r="I43" s="213"/>
    </row>
    <row r="44" spans="1:29">
      <c r="A44" s="209" t="s">
        <v>184</v>
      </c>
      <c r="B44" s="220"/>
      <c r="C44" s="214"/>
      <c r="D44" s="213"/>
      <c r="E44" s="213"/>
      <c r="F44" s="224"/>
      <c r="G44" s="220"/>
      <c r="H44" s="214"/>
      <c r="I44" s="213"/>
    </row>
    <row r="45" spans="1:29">
      <c r="A45" s="209" t="s">
        <v>185</v>
      </c>
      <c r="B45" s="220"/>
      <c r="C45" s="214"/>
      <c r="D45" s="213"/>
      <c r="E45" s="213"/>
      <c r="F45" s="224"/>
      <c r="G45" s="220"/>
      <c r="H45" s="214"/>
      <c r="I45" s="213"/>
    </row>
    <row r="46" spans="1:29">
      <c r="A46" s="209" t="s">
        <v>186</v>
      </c>
      <c r="B46" s="220"/>
      <c r="C46" s="214"/>
      <c r="D46" s="213"/>
      <c r="E46" s="213"/>
      <c r="F46" s="224"/>
      <c r="G46" s="220"/>
      <c r="H46" s="214"/>
      <c r="I46" s="213"/>
    </row>
    <row r="47" spans="1:29">
      <c r="A47" s="209" t="s">
        <v>187</v>
      </c>
      <c r="B47" s="220"/>
      <c r="C47" s="214"/>
      <c r="D47" s="213"/>
      <c r="E47" s="213"/>
      <c r="F47" s="224"/>
      <c r="G47" s="220"/>
      <c r="H47" s="214"/>
      <c r="I47" s="213"/>
    </row>
    <row r="48" spans="1:29">
      <c r="A48" s="209" t="s">
        <v>188</v>
      </c>
      <c r="B48" s="220"/>
      <c r="C48" s="214"/>
      <c r="D48" s="213"/>
      <c r="E48" s="213"/>
      <c r="F48" s="224"/>
      <c r="G48" s="220"/>
      <c r="H48" s="214"/>
      <c r="I48" s="213"/>
    </row>
    <row r="49" spans="1:9">
      <c r="A49" s="209" t="s">
        <v>189</v>
      </c>
      <c r="B49" s="220"/>
      <c r="C49" s="214"/>
      <c r="D49" s="213"/>
      <c r="E49" s="213"/>
      <c r="F49" s="224"/>
      <c r="G49" s="220"/>
      <c r="H49" s="214"/>
      <c r="I49" s="213"/>
    </row>
    <row r="50" spans="1:9">
      <c r="A50" s="209" t="s">
        <v>190</v>
      </c>
      <c r="B50" s="220"/>
      <c r="C50" s="214"/>
      <c r="D50" s="213"/>
      <c r="E50" s="213"/>
      <c r="F50" s="224"/>
      <c r="G50" s="220"/>
      <c r="H50" s="214"/>
      <c r="I50" s="213"/>
    </row>
    <row r="51" spans="1:9">
      <c r="A51" s="209" t="s">
        <v>191</v>
      </c>
      <c r="B51" s="220"/>
      <c r="C51" s="214"/>
      <c r="D51" s="213"/>
      <c r="E51" s="213"/>
      <c r="F51" s="224"/>
      <c r="G51" s="220"/>
      <c r="H51" s="214"/>
      <c r="I51" s="213"/>
    </row>
    <row r="52" spans="1:9">
      <c r="A52" s="209" t="s">
        <v>192</v>
      </c>
      <c r="B52" s="220"/>
      <c r="C52" s="214"/>
      <c r="D52" s="213"/>
      <c r="E52" s="213"/>
      <c r="F52" s="224"/>
      <c r="G52" s="220"/>
      <c r="H52" s="214"/>
      <c r="I52" s="213"/>
    </row>
    <row r="53" spans="1:9">
      <c r="A53" s="209" t="s">
        <v>193</v>
      </c>
      <c r="B53" s="220"/>
      <c r="C53" s="214"/>
      <c r="D53" s="213"/>
      <c r="E53" s="213"/>
      <c r="F53" s="224"/>
      <c r="G53" s="220"/>
      <c r="H53" s="214"/>
      <c r="I53" s="213"/>
    </row>
    <row r="54" spans="1:9">
      <c r="A54" s="209" t="s">
        <v>194</v>
      </c>
      <c r="B54" s="220"/>
      <c r="C54" s="214"/>
      <c r="D54" s="213"/>
      <c r="E54" s="213"/>
      <c r="F54" s="224"/>
      <c r="G54" s="220"/>
      <c r="H54" s="214"/>
      <c r="I54" s="213"/>
    </row>
    <row r="55" spans="1:9">
      <c r="A55" s="209" t="s">
        <v>195</v>
      </c>
      <c r="B55" s="220"/>
      <c r="C55" s="214"/>
      <c r="D55" s="213"/>
      <c r="E55" s="213"/>
      <c r="F55" s="224"/>
      <c r="G55" s="220"/>
      <c r="H55" s="214"/>
      <c r="I55" s="213"/>
    </row>
    <row r="56" spans="1:9">
      <c r="A56" s="209" t="s">
        <v>196</v>
      </c>
      <c r="B56" s="220"/>
      <c r="C56" s="214"/>
      <c r="D56" s="213"/>
      <c r="E56" s="213"/>
      <c r="F56" s="224"/>
      <c r="G56" s="220"/>
      <c r="H56" s="214"/>
      <c r="I56" s="213"/>
    </row>
    <row r="57" spans="1:9">
      <c r="A57" s="209" t="s">
        <v>197</v>
      </c>
      <c r="B57" s="220"/>
      <c r="C57" s="214"/>
      <c r="D57" s="213"/>
      <c r="E57" s="213"/>
      <c r="F57" s="224"/>
      <c r="G57" s="220"/>
      <c r="H57" s="214"/>
      <c r="I57" s="213"/>
    </row>
    <row r="58" spans="1:9">
      <c r="A58" s="209" t="s">
        <v>198</v>
      </c>
      <c r="B58" s="220"/>
      <c r="C58" s="214"/>
      <c r="D58" s="213"/>
      <c r="E58" s="213"/>
      <c r="F58" s="224"/>
      <c r="G58" s="220"/>
      <c r="H58" s="214"/>
      <c r="I58" s="213"/>
    </row>
    <row r="59" spans="1:9">
      <c r="A59" s="209" t="s">
        <v>199</v>
      </c>
      <c r="B59" s="220"/>
      <c r="C59" s="214"/>
      <c r="D59" s="213"/>
      <c r="E59" s="213"/>
      <c r="F59" s="224"/>
      <c r="G59" s="220"/>
      <c r="H59" s="214"/>
      <c r="I59" s="213"/>
    </row>
    <row r="60" spans="1:9">
      <c r="A60" s="209" t="s">
        <v>200</v>
      </c>
      <c r="B60" s="220"/>
      <c r="C60" s="214"/>
      <c r="D60" s="213"/>
      <c r="E60" s="213"/>
      <c r="F60" s="224"/>
      <c r="G60" s="220"/>
      <c r="H60" s="214"/>
      <c r="I60" s="213"/>
    </row>
    <row r="61" spans="1:9">
      <c r="A61" s="209" t="s">
        <v>201</v>
      </c>
      <c r="B61" s="220"/>
      <c r="C61" s="214"/>
      <c r="D61" s="213"/>
      <c r="E61" s="213"/>
      <c r="F61" s="224"/>
      <c r="G61" s="220"/>
      <c r="H61" s="214"/>
      <c r="I61" s="213"/>
    </row>
    <row r="62" spans="1:9">
      <c r="A62" s="209" t="s">
        <v>202</v>
      </c>
      <c r="B62" s="220"/>
      <c r="C62" s="214"/>
      <c r="D62" s="213"/>
      <c r="E62" s="213"/>
      <c r="F62" s="224"/>
      <c r="G62" s="220"/>
      <c r="H62" s="214"/>
      <c r="I62" s="213"/>
    </row>
    <row r="63" spans="1:9">
      <c r="A63" s="209" t="s">
        <v>203</v>
      </c>
      <c r="B63" s="220"/>
      <c r="C63" s="214"/>
      <c r="D63" s="213"/>
      <c r="E63" s="213"/>
      <c r="F63" s="224"/>
      <c r="G63" s="220"/>
      <c r="H63" s="214"/>
      <c r="I63" s="213"/>
    </row>
    <row r="64" spans="1:9">
      <c r="A64" s="209" t="s">
        <v>204</v>
      </c>
      <c r="B64" s="220"/>
      <c r="C64" s="214"/>
      <c r="D64" s="213"/>
      <c r="E64" s="213"/>
      <c r="F64" s="224"/>
      <c r="G64" s="220"/>
      <c r="H64" s="214"/>
      <c r="I64" s="213"/>
    </row>
    <row r="65" spans="1:9">
      <c r="A65" s="209" t="s">
        <v>205</v>
      </c>
      <c r="B65" s="220"/>
      <c r="C65" s="214"/>
      <c r="D65" s="213"/>
      <c r="E65" s="213"/>
      <c r="F65" s="224"/>
      <c r="G65" s="220"/>
      <c r="H65" s="214"/>
      <c r="I65" s="213"/>
    </row>
    <row r="66" spans="1:9">
      <c r="A66" s="209" t="s">
        <v>206</v>
      </c>
      <c r="B66" s="220"/>
      <c r="C66" s="214"/>
      <c r="D66" s="213"/>
      <c r="E66" s="213"/>
      <c r="F66" s="224"/>
      <c r="G66" s="220"/>
      <c r="H66" s="214"/>
      <c r="I66" s="213"/>
    </row>
    <row r="67" spans="1:9">
      <c r="A67" s="209" t="s">
        <v>207</v>
      </c>
      <c r="B67" s="220"/>
      <c r="C67" s="214"/>
      <c r="D67" s="213"/>
      <c r="E67" s="213"/>
      <c r="F67" s="224"/>
      <c r="G67" s="220"/>
      <c r="H67" s="214"/>
      <c r="I67" s="213"/>
    </row>
    <row r="68" spans="1:9">
      <c r="A68" s="209" t="s">
        <v>208</v>
      </c>
      <c r="B68" s="220"/>
      <c r="C68" s="214"/>
      <c r="D68" s="213"/>
      <c r="E68" s="213"/>
      <c r="F68" s="224"/>
      <c r="G68" s="220"/>
      <c r="H68" s="214"/>
      <c r="I68" s="213"/>
    </row>
    <row r="69" spans="1:9">
      <c r="A69" s="209" t="s">
        <v>209</v>
      </c>
      <c r="B69" s="220"/>
      <c r="C69" s="214"/>
      <c r="D69" s="213"/>
      <c r="E69" s="213"/>
      <c r="F69" s="224"/>
      <c r="G69" s="220"/>
      <c r="H69" s="214"/>
      <c r="I69" s="213"/>
    </row>
    <row r="70" spans="1:9" ht="15.75" thickBot="1">
      <c r="A70" s="210" t="s">
        <v>210</v>
      </c>
      <c r="B70" s="221"/>
      <c r="C70" s="211"/>
      <c r="D70" s="194"/>
      <c r="E70" s="194"/>
      <c r="F70" s="225"/>
      <c r="G70" s="221"/>
      <c r="H70" s="211"/>
      <c r="I70" s="194"/>
    </row>
  </sheetData>
  <pageMargins left="0.7" right="0.7" top="0.75" bottom="0.75" header="0.3" footer="0.3"/>
  <pageSetup paperSize="9" scale="67"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21"/>
  <dimension ref="A1:AC70"/>
  <sheetViews>
    <sheetView view="pageBreakPreview" topLeftCell="A52" zoomScale="60" zoomScaleNormal="100" workbookViewId="0">
      <selection activeCell="Q35" sqref="Q35"/>
    </sheetView>
  </sheetViews>
  <sheetFormatPr defaultColWidth="8.85546875" defaultRowHeight="15"/>
  <cols>
    <col min="1" max="1" width="21.42578125" customWidth="1"/>
    <col min="2" max="2" width="14.42578125" customWidth="1"/>
    <col min="3" max="3" width="14.42578125" style="197" customWidth="1"/>
    <col min="4" max="4" width="14.140625" style="197" customWidth="1"/>
    <col min="5" max="5" width="14.85546875" style="197" customWidth="1"/>
    <col min="6" max="6" width="11.85546875" style="197" customWidth="1"/>
    <col min="7" max="7" width="15.85546875" style="197" customWidth="1"/>
    <col min="8" max="8" width="13.42578125" style="197" customWidth="1"/>
    <col min="9" max="28" width="8.42578125" style="197" customWidth="1"/>
  </cols>
  <sheetData>
    <row r="1" spans="1:29" ht="15.75" thickBot="1"/>
    <row r="2" spans="1:29" ht="48.75" customHeight="1" thickBot="1">
      <c r="A2" s="200" t="s">
        <v>173</v>
      </c>
      <c r="B2" s="217" t="s">
        <v>174</v>
      </c>
      <c r="C2" s="215" t="s">
        <v>175</v>
      </c>
      <c r="D2" s="201" t="s">
        <v>176</v>
      </c>
      <c r="E2" s="201" t="s">
        <v>177</v>
      </c>
      <c r="F2" s="222" t="s">
        <v>168</v>
      </c>
      <c r="G2" s="217" t="s">
        <v>178</v>
      </c>
      <c r="H2" s="226" t="s">
        <v>175</v>
      </c>
      <c r="I2" s="202" t="s">
        <v>168</v>
      </c>
      <c r="O2" s="203"/>
      <c r="P2" s="204"/>
      <c r="Q2" s="204"/>
      <c r="R2" s="97"/>
      <c r="S2" s="97"/>
      <c r="T2" s="97"/>
      <c r="U2" s="97"/>
      <c r="V2" s="97"/>
      <c r="W2" s="97"/>
      <c r="X2" s="97"/>
      <c r="Y2" s="204"/>
      <c r="Z2" s="204"/>
      <c r="AA2" s="97"/>
      <c r="AB2" s="97"/>
      <c r="AC2" s="97"/>
    </row>
    <row r="3" spans="1:29">
      <c r="A3" s="205" t="s">
        <v>127</v>
      </c>
      <c r="B3" s="218"/>
      <c r="C3" s="216"/>
      <c r="D3" s="212"/>
      <c r="E3" s="212"/>
      <c r="F3" s="223"/>
      <c r="G3" s="227"/>
      <c r="H3" s="216"/>
      <c r="I3" s="212"/>
      <c r="O3" s="206"/>
      <c r="P3"/>
      <c r="AC3" s="197"/>
    </row>
    <row r="4" spans="1:29">
      <c r="A4" s="207" t="s">
        <v>179</v>
      </c>
      <c r="B4" s="219" t="s">
        <v>180</v>
      </c>
      <c r="C4" s="214"/>
      <c r="D4" s="213"/>
      <c r="E4" s="213"/>
      <c r="F4" s="224"/>
      <c r="G4" s="220"/>
      <c r="H4" s="214"/>
      <c r="I4" s="213"/>
      <c r="O4" s="206"/>
      <c r="P4" s="208"/>
      <c r="AC4" s="197"/>
    </row>
    <row r="5" spans="1:29" ht="15.75" customHeight="1">
      <c r="A5" s="209" t="s">
        <v>181</v>
      </c>
      <c r="B5" s="220"/>
      <c r="C5" s="214"/>
      <c r="D5" s="213"/>
      <c r="E5" s="213"/>
      <c r="F5" s="224"/>
      <c r="G5" s="220"/>
      <c r="H5" s="214"/>
      <c r="I5" s="213"/>
      <c r="O5" s="206"/>
      <c r="AC5" s="197"/>
    </row>
    <row r="6" spans="1:29">
      <c r="A6" s="209" t="s">
        <v>182</v>
      </c>
      <c r="B6" s="220"/>
      <c r="C6" s="214"/>
      <c r="D6" s="213"/>
      <c r="E6" s="213"/>
      <c r="F6" s="224"/>
      <c r="G6" s="220"/>
      <c r="H6" s="214"/>
      <c r="I6" s="213"/>
      <c r="O6" s="206"/>
      <c r="AC6" s="197"/>
    </row>
    <row r="7" spans="1:29">
      <c r="A7" s="209" t="s">
        <v>183</v>
      </c>
      <c r="B7" s="220"/>
      <c r="C7" s="214"/>
      <c r="D7" s="213"/>
      <c r="E7" s="213"/>
      <c r="F7" s="224"/>
      <c r="G7" s="220"/>
      <c r="H7" s="214"/>
      <c r="I7" s="213"/>
      <c r="O7" s="206"/>
      <c r="AC7" s="197"/>
    </row>
    <row r="8" spans="1:29">
      <c r="A8" s="209" t="s">
        <v>184</v>
      </c>
      <c r="B8" s="220"/>
      <c r="C8" s="214"/>
      <c r="D8" s="213"/>
      <c r="E8" s="213"/>
      <c r="F8" s="224"/>
      <c r="G8" s="220"/>
      <c r="H8" s="214"/>
      <c r="I8" s="213"/>
      <c r="O8" s="206"/>
      <c r="AC8" s="197"/>
    </row>
    <row r="9" spans="1:29">
      <c r="A9" s="209" t="s">
        <v>185</v>
      </c>
      <c r="B9" s="220"/>
      <c r="C9" s="214"/>
      <c r="D9" s="213"/>
      <c r="E9" s="213"/>
      <c r="F9" s="224"/>
      <c r="G9" s="220"/>
      <c r="H9" s="214"/>
      <c r="I9" s="213"/>
      <c r="O9" s="206"/>
      <c r="AC9" s="197"/>
    </row>
    <row r="10" spans="1:29">
      <c r="A10" s="209" t="s">
        <v>186</v>
      </c>
      <c r="B10" s="220"/>
      <c r="C10" s="214"/>
      <c r="D10" s="213"/>
      <c r="E10" s="213"/>
      <c r="F10" s="224"/>
      <c r="G10" s="220"/>
      <c r="H10" s="214"/>
      <c r="I10" s="213"/>
      <c r="O10" s="206"/>
      <c r="AC10" s="197"/>
    </row>
    <row r="11" spans="1:29">
      <c r="A11" s="209" t="s">
        <v>187</v>
      </c>
      <c r="B11" s="220"/>
      <c r="C11" s="214"/>
      <c r="D11" s="213"/>
      <c r="E11" s="213"/>
      <c r="F11" s="224"/>
      <c r="G11" s="220"/>
      <c r="H11" s="214"/>
      <c r="I11" s="213"/>
      <c r="O11" s="206"/>
      <c r="AC11" s="197"/>
    </row>
    <row r="12" spans="1:29">
      <c r="A12" s="209" t="s">
        <v>188</v>
      </c>
      <c r="B12" s="220"/>
      <c r="C12" s="214"/>
      <c r="D12" s="213"/>
      <c r="E12" s="213"/>
      <c r="F12" s="224"/>
      <c r="G12" s="220"/>
      <c r="H12" s="214"/>
      <c r="I12" s="213"/>
      <c r="O12" s="206"/>
      <c r="AC12" s="197"/>
    </row>
    <row r="13" spans="1:29">
      <c r="A13" s="209" t="s">
        <v>189</v>
      </c>
      <c r="B13" s="220"/>
      <c r="C13" s="214"/>
      <c r="D13" s="213"/>
      <c r="E13" s="213"/>
      <c r="F13" s="224"/>
      <c r="G13" s="220"/>
      <c r="H13" s="214"/>
      <c r="I13" s="213"/>
      <c r="O13" s="206"/>
      <c r="AC13" s="197"/>
    </row>
    <row r="14" spans="1:29">
      <c r="A14" s="209" t="s">
        <v>190</v>
      </c>
      <c r="B14" s="220"/>
      <c r="C14" s="214"/>
      <c r="D14" s="213"/>
      <c r="E14" s="213"/>
      <c r="F14" s="224"/>
      <c r="G14" s="220"/>
      <c r="H14" s="214"/>
      <c r="I14" s="213"/>
      <c r="O14" s="206"/>
      <c r="AC14" s="197"/>
    </row>
    <row r="15" spans="1:29">
      <c r="A15" s="209" t="s">
        <v>191</v>
      </c>
      <c r="B15" s="220"/>
      <c r="C15" s="214"/>
      <c r="D15" s="213"/>
      <c r="E15" s="213"/>
      <c r="F15" s="224"/>
      <c r="G15" s="220"/>
      <c r="H15" s="214"/>
      <c r="I15" s="213"/>
      <c r="O15" s="206"/>
      <c r="AC15" s="197"/>
    </row>
    <row r="16" spans="1:29">
      <c r="A16" s="209" t="s">
        <v>192</v>
      </c>
      <c r="B16" s="220"/>
      <c r="C16" s="214"/>
      <c r="D16" s="213"/>
      <c r="E16" s="213"/>
      <c r="F16" s="224"/>
      <c r="G16" s="220"/>
      <c r="H16" s="214"/>
      <c r="I16" s="213"/>
      <c r="O16" s="206"/>
      <c r="AC16" s="197"/>
    </row>
    <row r="17" spans="1:29">
      <c r="A17" s="209" t="s">
        <v>193</v>
      </c>
      <c r="B17" s="220"/>
      <c r="C17" s="214"/>
      <c r="D17" s="213"/>
      <c r="E17" s="213"/>
      <c r="F17" s="224"/>
      <c r="G17" s="220"/>
      <c r="H17" s="214"/>
      <c r="I17" s="213"/>
      <c r="O17" s="206"/>
      <c r="AC17" s="197"/>
    </row>
    <row r="18" spans="1:29">
      <c r="A18" s="209" t="s">
        <v>194</v>
      </c>
      <c r="B18" s="220"/>
      <c r="C18" s="214"/>
      <c r="D18" s="213"/>
      <c r="E18" s="213"/>
      <c r="F18" s="224"/>
      <c r="G18" s="220"/>
      <c r="H18" s="214"/>
      <c r="I18" s="213"/>
      <c r="O18" s="206"/>
      <c r="AC18" s="197"/>
    </row>
    <row r="19" spans="1:29">
      <c r="A19" s="209" t="s">
        <v>195</v>
      </c>
      <c r="B19" s="220"/>
      <c r="C19" s="214"/>
      <c r="D19" s="213"/>
      <c r="E19" s="213"/>
      <c r="F19" s="224"/>
      <c r="G19" s="220"/>
      <c r="H19" s="214"/>
      <c r="I19" s="213"/>
      <c r="O19" s="206"/>
      <c r="AC19" s="197"/>
    </row>
    <row r="20" spans="1:29">
      <c r="A20" s="209" t="s">
        <v>196</v>
      </c>
      <c r="B20" s="220"/>
      <c r="C20" s="214"/>
      <c r="D20" s="213"/>
      <c r="E20" s="213"/>
      <c r="F20" s="224"/>
      <c r="G20" s="220"/>
      <c r="H20" s="214"/>
      <c r="I20" s="213"/>
      <c r="O20" s="206"/>
      <c r="AC20" s="197"/>
    </row>
    <row r="21" spans="1:29">
      <c r="A21" s="209" t="s">
        <v>197</v>
      </c>
      <c r="B21" s="220"/>
      <c r="C21" s="214"/>
      <c r="D21" s="213"/>
      <c r="E21" s="213"/>
      <c r="F21" s="224"/>
      <c r="G21" s="220"/>
      <c r="H21" s="214"/>
      <c r="I21" s="213"/>
      <c r="O21" s="206"/>
      <c r="AC21" s="197"/>
    </row>
    <row r="22" spans="1:29">
      <c r="A22" s="209" t="s">
        <v>198</v>
      </c>
      <c r="B22" s="220"/>
      <c r="C22" s="214"/>
      <c r="D22" s="213"/>
      <c r="E22" s="213"/>
      <c r="F22" s="224"/>
      <c r="G22" s="220"/>
      <c r="H22" s="214"/>
      <c r="I22" s="213"/>
      <c r="O22" s="206"/>
      <c r="AC22" s="197"/>
    </row>
    <row r="23" spans="1:29">
      <c r="A23" s="209" t="s">
        <v>199</v>
      </c>
      <c r="B23" s="220"/>
      <c r="C23" s="214"/>
      <c r="D23" s="213"/>
      <c r="E23" s="213"/>
      <c r="F23" s="224"/>
      <c r="G23" s="220"/>
      <c r="H23" s="214"/>
      <c r="I23" s="213"/>
      <c r="O23" s="206"/>
      <c r="AC23" s="197"/>
    </row>
    <row r="24" spans="1:29">
      <c r="A24" s="209" t="s">
        <v>200</v>
      </c>
      <c r="B24" s="220"/>
      <c r="C24" s="214"/>
      <c r="D24" s="213"/>
      <c r="E24" s="213"/>
      <c r="F24" s="224"/>
      <c r="G24" s="220"/>
      <c r="H24" s="214"/>
      <c r="I24" s="213"/>
      <c r="O24" s="206"/>
      <c r="AC24" s="197"/>
    </row>
    <row r="25" spans="1:29">
      <c r="A25" s="209" t="s">
        <v>201</v>
      </c>
      <c r="B25" s="220"/>
      <c r="C25" s="214"/>
      <c r="D25" s="213"/>
      <c r="E25" s="213"/>
      <c r="F25" s="224"/>
      <c r="G25" s="220"/>
      <c r="H25" s="214"/>
      <c r="I25" s="213"/>
      <c r="O25" s="206"/>
      <c r="AC25" s="197"/>
    </row>
    <row r="26" spans="1:29">
      <c r="A26" s="209" t="s">
        <v>202</v>
      </c>
      <c r="B26" s="220"/>
      <c r="C26" s="214"/>
      <c r="D26" s="213"/>
      <c r="E26" s="213"/>
      <c r="F26" s="224"/>
      <c r="G26" s="220"/>
      <c r="H26" s="214"/>
      <c r="I26" s="213"/>
      <c r="O26" s="206"/>
      <c r="AC26" s="197"/>
    </row>
    <row r="27" spans="1:29">
      <c r="A27" s="209" t="s">
        <v>203</v>
      </c>
      <c r="B27" s="220"/>
      <c r="C27" s="214"/>
      <c r="D27" s="213"/>
      <c r="E27" s="213"/>
      <c r="F27" s="224"/>
      <c r="G27" s="220"/>
      <c r="H27" s="214"/>
      <c r="I27" s="213"/>
      <c r="O27" s="206"/>
      <c r="AC27" s="197"/>
    </row>
    <row r="28" spans="1:29">
      <c r="A28" s="209" t="s">
        <v>204</v>
      </c>
      <c r="B28" s="220"/>
      <c r="C28" s="214"/>
      <c r="D28" s="213"/>
      <c r="E28" s="213"/>
      <c r="F28" s="224"/>
      <c r="G28" s="220"/>
      <c r="H28" s="214"/>
      <c r="I28" s="213"/>
      <c r="O28" s="206"/>
      <c r="AC28" s="197"/>
    </row>
    <row r="29" spans="1:29">
      <c r="A29" s="209" t="s">
        <v>205</v>
      </c>
      <c r="B29" s="220"/>
      <c r="C29" s="214"/>
      <c r="D29" s="213"/>
      <c r="E29" s="213"/>
      <c r="F29" s="224"/>
      <c r="G29" s="220"/>
      <c r="H29" s="214"/>
      <c r="I29" s="213"/>
      <c r="O29" s="206"/>
      <c r="AC29" s="197"/>
    </row>
    <row r="30" spans="1:29">
      <c r="A30" s="209" t="s">
        <v>206</v>
      </c>
      <c r="B30" s="220"/>
      <c r="C30" s="214"/>
      <c r="D30" s="213"/>
      <c r="E30" s="213"/>
      <c r="F30" s="224"/>
      <c r="G30" s="220"/>
      <c r="H30" s="214"/>
      <c r="I30" s="213"/>
      <c r="O30" s="206"/>
      <c r="AC30" s="197"/>
    </row>
    <row r="31" spans="1:29">
      <c r="A31" s="209" t="s">
        <v>207</v>
      </c>
      <c r="B31" s="220"/>
      <c r="C31" s="214"/>
      <c r="D31" s="213"/>
      <c r="E31" s="213"/>
      <c r="F31" s="224"/>
      <c r="G31" s="220"/>
      <c r="H31" s="214"/>
      <c r="I31" s="213"/>
      <c r="O31" s="206"/>
      <c r="AC31" s="197"/>
    </row>
    <row r="32" spans="1:29">
      <c r="A32" s="209" t="s">
        <v>208</v>
      </c>
      <c r="B32" s="220"/>
      <c r="C32" s="214"/>
      <c r="D32" s="213"/>
      <c r="E32" s="213"/>
      <c r="F32" s="224"/>
      <c r="G32" s="220"/>
      <c r="H32" s="214"/>
      <c r="I32" s="213"/>
      <c r="O32" s="206"/>
      <c r="AC32" s="197"/>
    </row>
    <row r="33" spans="1:29">
      <c r="A33" s="209" t="s">
        <v>209</v>
      </c>
      <c r="B33" s="220"/>
      <c r="C33" s="214"/>
      <c r="D33" s="213"/>
      <c r="E33" s="213"/>
      <c r="F33" s="224"/>
      <c r="G33" s="220"/>
      <c r="H33" s="214"/>
      <c r="I33" s="213"/>
      <c r="O33" s="206"/>
      <c r="AC33" s="197"/>
    </row>
    <row r="34" spans="1:29" ht="15.75" thickBot="1">
      <c r="A34" s="210" t="s">
        <v>210</v>
      </c>
      <c r="B34" s="221"/>
      <c r="C34" s="211"/>
      <c r="D34" s="194"/>
      <c r="E34" s="194"/>
      <c r="F34" s="225"/>
      <c r="G34" s="221"/>
      <c r="H34" s="211"/>
      <c r="I34" s="194"/>
      <c r="O34" s="206"/>
      <c r="P34"/>
      <c r="Q34"/>
      <c r="R34"/>
      <c r="S34"/>
      <c r="T34"/>
      <c r="U34"/>
      <c r="V34"/>
      <c r="W34"/>
      <c r="X34"/>
      <c r="Y34"/>
      <c r="Z34"/>
      <c r="AA34"/>
      <c r="AB34"/>
    </row>
    <row r="37" spans="1:29" ht="15.75" thickBot="1"/>
    <row r="38" spans="1:29" ht="45.75" thickBot="1">
      <c r="A38" s="200" t="s">
        <v>211</v>
      </c>
      <c r="B38" s="217" t="s">
        <v>174</v>
      </c>
      <c r="C38" s="215" t="s">
        <v>175</v>
      </c>
      <c r="D38" s="201" t="s">
        <v>176</v>
      </c>
      <c r="E38" s="201" t="s">
        <v>177</v>
      </c>
      <c r="F38" s="222" t="s">
        <v>168</v>
      </c>
      <c r="G38" s="217" t="s">
        <v>178</v>
      </c>
      <c r="H38" s="226" t="s">
        <v>175</v>
      </c>
      <c r="I38" s="202" t="s">
        <v>168</v>
      </c>
    </row>
    <row r="39" spans="1:29">
      <c r="A39" s="205" t="s">
        <v>127</v>
      </c>
      <c r="B39" s="218"/>
      <c r="C39" s="216"/>
      <c r="D39" s="212"/>
      <c r="E39" s="212"/>
      <c r="F39" s="223"/>
      <c r="G39" s="227"/>
      <c r="H39" s="216"/>
      <c r="I39" s="212"/>
    </row>
    <row r="40" spans="1:29">
      <c r="A40" s="207" t="s">
        <v>179</v>
      </c>
      <c r="B40" s="219" t="s">
        <v>180</v>
      </c>
      <c r="C40" s="214"/>
      <c r="D40" s="213"/>
      <c r="E40" s="213"/>
      <c r="F40" s="224"/>
      <c r="G40" s="220"/>
      <c r="H40" s="214"/>
      <c r="I40" s="213"/>
    </row>
    <row r="41" spans="1:29">
      <c r="A41" s="209" t="s">
        <v>181</v>
      </c>
      <c r="B41" s="220"/>
      <c r="C41" s="214"/>
      <c r="D41" s="213"/>
      <c r="E41" s="213"/>
      <c r="F41" s="224"/>
      <c r="G41" s="220"/>
      <c r="H41" s="214"/>
      <c r="I41" s="213"/>
    </row>
    <row r="42" spans="1:29">
      <c r="A42" s="209" t="s">
        <v>182</v>
      </c>
      <c r="B42" s="220"/>
      <c r="C42" s="214"/>
      <c r="D42" s="213"/>
      <c r="E42" s="213"/>
      <c r="F42" s="224"/>
      <c r="G42" s="220"/>
      <c r="H42" s="214"/>
      <c r="I42" s="213"/>
    </row>
    <row r="43" spans="1:29">
      <c r="A43" s="209" t="s">
        <v>183</v>
      </c>
      <c r="B43" s="220"/>
      <c r="C43" s="214"/>
      <c r="D43" s="213"/>
      <c r="E43" s="213"/>
      <c r="F43" s="224"/>
      <c r="G43" s="220"/>
      <c r="H43" s="214"/>
      <c r="I43" s="213"/>
    </row>
    <row r="44" spans="1:29">
      <c r="A44" s="209" t="s">
        <v>184</v>
      </c>
      <c r="B44" s="220"/>
      <c r="C44" s="214"/>
      <c r="D44" s="213"/>
      <c r="E44" s="213"/>
      <c r="F44" s="224"/>
      <c r="G44" s="220"/>
      <c r="H44" s="214"/>
      <c r="I44" s="213"/>
    </row>
    <row r="45" spans="1:29">
      <c r="A45" s="209" t="s">
        <v>185</v>
      </c>
      <c r="B45" s="220"/>
      <c r="C45" s="214"/>
      <c r="D45" s="213"/>
      <c r="E45" s="213"/>
      <c r="F45" s="224"/>
      <c r="G45" s="220"/>
      <c r="H45" s="214"/>
      <c r="I45" s="213"/>
    </row>
    <row r="46" spans="1:29">
      <c r="A46" s="209" t="s">
        <v>186</v>
      </c>
      <c r="B46" s="220"/>
      <c r="C46" s="214"/>
      <c r="D46" s="213"/>
      <c r="E46" s="213"/>
      <c r="F46" s="224"/>
      <c r="G46" s="220"/>
      <c r="H46" s="214"/>
      <c r="I46" s="213"/>
    </row>
    <row r="47" spans="1:29">
      <c r="A47" s="209" t="s">
        <v>187</v>
      </c>
      <c r="B47" s="220"/>
      <c r="C47" s="214"/>
      <c r="D47" s="213"/>
      <c r="E47" s="213"/>
      <c r="F47" s="224"/>
      <c r="G47" s="220"/>
      <c r="H47" s="214"/>
      <c r="I47" s="213"/>
    </row>
    <row r="48" spans="1:29">
      <c r="A48" s="209" t="s">
        <v>188</v>
      </c>
      <c r="B48" s="220"/>
      <c r="C48" s="214"/>
      <c r="D48" s="213"/>
      <c r="E48" s="213"/>
      <c r="F48" s="224"/>
      <c r="G48" s="220"/>
      <c r="H48" s="214"/>
      <c r="I48" s="213"/>
    </row>
    <row r="49" spans="1:9">
      <c r="A49" s="209" t="s">
        <v>189</v>
      </c>
      <c r="B49" s="220"/>
      <c r="C49" s="214"/>
      <c r="D49" s="213"/>
      <c r="E49" s="213"/>
      <c r="F49" s="224"/>
      <c r="G49" s="220"/>
      <c r="H49" s="214"/>
      <c r="I49" s="213"/>
    </row>
    <row r="50" spans="1:9">
      <c r="A50" s="209" t="s">
        <v>190</v>
      </c>
      <c r="B50" s="220"/>
      <c r="C50" s="214"/>
      <c r="D50" s="213"/>
      <c r="E50" s="213"/>
      <c r="F50" s="224"/>
      <c r="G50" s="220"/>
      <c r="H50" s="214"/>
      <c r="I50" s="213"/>
    </row>
    <row r="51" spans="1:9">
      <c r="A51" s="209" t="s">
        <v>191</v>
      </c>
      <c r="B51" s="220"/>
      <c r="C51" s="214"/>
      <c r="D51" s="213"/>
      <c r="E51" s="213"/>
      <c r="F51" s="224"/>
      <c r="G51" s="220"/>
      <c r="H51" s="214"/>
      <c r="I51" s="213"/>
    </row>
    <row r="52" spans="1:9">
      <c r="A52" s="209" t="s">
        <v>192</v>
      </c>
      <c r="B52" s="220"/>
      <c r="C52" s="214"/>
      <c r="D52" s="213"/>
      <c r="E52" s="213"/>
      <c r="F52" s="224"/>
      <c r="G52" s="220"/>
      <c r="H52" s="214"/>
      <c r="I52" s="213"/>
    </row>
    <row r="53" spans="1:9">
      <c r="A53" s="209" t="s">
        <v>193</v>
      </c>
      <c r="B53" s="220"/>
      <c r="C53" s="214"/>
      <c r="D53" s="213"/>
      <c r="E53" s="213"/>
      <c r="F53" s="224"/>
      <c r="G53" s="220"/>
      <c r="H53" s="214"/>
      <c r="I53" s="213"/>
    </row>
    <row r="54" spans="1:9">
      <c r="A54" s="209" t="s">
        <v>194</v>
      </c>
      <c r="B54" s="220"/>
      <c r="C54" s="214"/>
      <c r="D54" s="213"/>
      <c r="E54" s="213"/>
      <c r="F54" s="224"/>
      <c r="G54" s="220"/>
      <c r="H54" s="214"/>
      <c r="I54" s="213"/>
    </row>
    <row r="55" spans="1:9">
      <c r="A55" s="209" t="s">
        <v>195</v>
      </c>
      <c r="B55" s="220"/>
      <c r="C55" s="214"/>
      <c r="D55" s="213"/>
      <c r="E55" s="213"/>
      <c r="F55" s="224"/>
      <c r="G55" s="220"/>
      <c r="H55" s="214"/>
      <c r="I55" s="213"/>
    </row>
    <row r="56" spans="1:9">
      <c r="A56" s="209" t="s">
        <v>196</v>
      </c>
      <c r="B56" s="220"/>
      <c r="C56" s="214"/>
      <c r="D56" s="213"/>
      <c r="E56" s="213"/>
      <c r="F56" s="224"/>
      <c r="G56" s="220"/>
      <c r="H56" s="214"/>
      <c r="I56" s="213"/>
    </row>
    <row r="57" spans="1:9">
      <c r="A57" s="209" t="s">
        <v>197</v>
      </c>
      <c r="B57" s="220"/>
      <c r="C57" s="214"/>
      <c r="D57" s="213"/>
      <c r="E57" s="213"/>
      <c r="F57" s="224"/>
      <c r="G57" s="220"/>
      <c r="H57" s="214"/>
      <c r="I57" s="213"/>
    </row>
    <row r="58" spans="1:9">
      <c r="A58" s="209" t="s">
        <v>198</v>
      </c>
      <c r="B58" s="220"/>
      <c r="C58" s="214"/>
      <c r="D58" s="213"/>
      <c r="E58" s="213"/>
      <c r="F58" s="224"/>
      <c r="G58" s="220"/>
      <c r="H58" s="214"/>
      <c r="I58" s="213"/>
    </row>
    <row r="59" spans="1:9">
      <c r="A59" s="209" t="s">
        <v>199</v>
      </c>
      <c r="B59" s="220"/>
      <c r="C59" s="214"/>
      <c r="D59" s="213"/>
      <c r="E59" s="213"/>
      <c r="F59" s="224"/>
      <c r="G59" s="220"/>
      <c r="H59" s="214"/>
      <c r="I59" s="213"/>
    </row>
    <row r="60" spans="1:9">
      <c r="A60" s="209" t="s">
        <v>200</v>
      </c>
      <c r="B60" s="220"/>
      <c r="C60" s="214"/>
      <c r="D60" s="213"/>
      <c r="E60" s="213"/>
      <c r="F60" s="224"/>
      <c r="G60" s="220"/>
      <c r="H60" s="214"/>
      <c r="I60" s="213"/>
    </row>
    <row r="61" spans="1:9">
      <c r="A61" s="209" t="s">
        <v>201</v>
      </c>
      <c r="B61" s="220"/>
      <c r="C61" s="214"/>
      <c r="D61" s="213"/>
      <c r="E61" s="213"/>
      <c r="F61" s="224"/>
      <c r="G61" s="220"/>
      <c r="H61" s="214"/>
      <c r="I61" s="213"/>
    </row>
    <row r="62" spans="1:9">
      <c r="A62" s="209" t="s">
        <v>202</v>
      </c>
      <c r="B62" s="220"/>
      <c r="C62" s="214"/>
      <c r="D62" s="213"/>
      <c r="E62" s="213"/>
      <c r="F62" s="224"/>
      <c r="G62" s="220"/>
      <c r="H62" s="214"/>
      <c r="I62" s="213"/>
    </row>
    <row r="63" spans="1:9">
      <c r="A63" s="209" t="s">
        <v>203</v>
      </c>
      <c r="B63" s="220"/>
      <c r="C63" s="214"/>
      <c r="D63" s="213"/>
      <c r="E63" s="213"/>
      <c r="F63" s="224"/>
      <c r="G63" s="220"/>
      <c r="H63" s="214"/>
      <c r="I63" s="213"/>
    </row>
    <row r="64" spans="1:9">
      <c r="A64" s="209" t="s">
        <v>204</v>
      </c>
      <c r="B64" s="220"/>
      <c r="C64" s="214"/>
      <c r="D64" s="213"/>
      <c r="E64" s="213"/>
      <c r="F64" s="224"/>
      <c r="G64" s="220"/>
      <c r="H64" s="214"/>
      <c r="I64" s="213"/>
    </row>
    <row r="65" spans="1:9">
      <c r="A65" s="209" t="s">
        <v>205</v>
      </c>
      <c r="B65" s="220"/>
      <c r="C65" s="214"/>
      <c r="D65" s="213"/>
      <c r="E65" s="213"/>
      <c r="F65" s="224"/>
      <c r="G65" s="220"/>
      <c r="H65" s="214"/>
      <c r="I65" s="213"/>
    </row>
    <row r="66" spans="1:9">
      <c r="A66" s="209" t="s">
        <v>206</v>
      </c>
      <c r="B66" s="220"/>
      <c r="C66" s="214"/>
      <c r="D66" s="213"/>
      <c r="E66" s="213"/>
      <c r="F66" s="224"/>
      <c r="G66" s="220"/>
      <c r="H66" s="214"/>
      <c r="I66" s="213"/>
    </row>
    <row r="67" spans="1:9">
      <c r="A67" s="209" t="s">
        <v>207</v>
      </c>
      <c r="B67" s="220"/>
      <c r="C67" s="214"/>
      <c r="D67" s="213"/>
      <c r="E67" s="213"/>
      <c r="F67" s="224"/>
      <c r="G67" s="220"/>
      <c r="H67" s="214"/>
      <c r="I67" s="213"/>
    </row>
    <row r="68" spans="1:9">
      <c r="A68" s="209" t="s">
        <v>208</v>
      </c>
      <c r="B68" s="220"/>
      <c r="C68" s="214"/>
      <c r="D68" s="213"/>
      <c r="E68" s="213"/>
      <c r="F68" s="224"/>
      <c r="G68" s="220"/>
      <c r="H68" s="214"/>
      <c r="I68" s="213"/>
    </row>
    <row r="69" spans="1:9">
      <c r="A69" s="209" t="s">
        <v>209</v>
      </c>
      <c r="B69" s="220"/>
      <c r="C69" s="214"/>
      <c r="D69" s="213"/>
      <c r="E69" s="213"/>
      <c r="F69" s="224"/>
      <c r="G69" s="220"/>
      <c r="H69" s="214"/>
      <c r="I69" s="213"/>
    </row>
    <row r="70" spans="1:9" ht="15.75" thickBot="1">
      <c r="A70" s="210" t="s">
        <v>210</v>
      </c>
      <c r="B70" s="221"/>
      <c r="C70" s="211"/>
      <c r="D70" s="194"/>
      <c r="E70" s="194"/>
      <c r="F70" s="225"/>
      <c r="G70" s="221"/>
      <c r="H70" s="211"/>
      <c r="I70" s="194"/>
    </row>
  </sheetData>
  <pageMargins left="0.7" right="0.7" top="0.75" bottom="0.75" header="0.3" footer="0.3"/>
  <pageSetup paperSize="9" scale="67"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5"/>
  <dimension ref="A2:R53"/>
  <sheetViews>
    <sheetView view="pageBreakPreview" zoomScale="60" zoomScaleNormal="80" workbookViewId="0">
      <selection activeCell="N19" sqref="N19"/>
    </sheetView>
  </sheetViews>
  <sheetFormatPr defaultColWidth="8.85546875" defaultRowHeight="15"/>
  <cols>
    <col min="1" max="1" width="7.85546875" style="57" customWidth="1"/>
    <col min="2" max="2" width="12.5703125" style="57" customWidth="1"/>
    <col min="3" max="3" width="14" style="57" customWidth="1"/>
    <col min="4" max="4" width="9.42578125" style="57" customWidth="1"/>
    <col min="5" max="5" width="11.85546875" style="57" customWidth="1"/>
    <col min="6" max="6" width="11.5703125" style="57" customWidth="1"/>
    <col min="7" max="7" width="9.5703125" customWidth="1"/>
    <col min="8" max="8" width="11.42578125" customWidth="1"/>
    <col min="9" max="9" width="10.85546875" customWidth="1"/>
    <col min="10" max="10" width="9.42578125" customWidth="1"/>
    <col min="11" max="11" width="12.5703125" customWidth="1"/>
    <col min="12" max="12" width="11.42578125" customWidth="1"/>
    <col min="13" max="13" width="10.42578125" customWidth="1"/>
    <col min="14" max="14" width="13.42578125" customWidth="1"/>
    <col min="15" max="15" width="11.42578125" customWidth="1"/>
    <col min="16" max="16" width="9.5703125" customWidth="1"/>
    <col min="17" max="17" width="14.5703125" customWidth="1"/>
    <col min="18" max="18" width="15.5703125" customWidth="1"/>
  </cols>
  <sheetData>
    <row r="2" spans="1:18">
      <c r="A2" s="174" t="s">
        <v>115</v>
      </c>
      <c r="B2" s="175">
        <f>'CBA - Agendové IS'!J17</f>
        <v>1.5494911828692564</v>
      </c>
    </row>
    <row r="5" spans="1:18" ht="30" customHeight="1">
      <c r="B5" s="921" t="s">
        <v>157</v>
      </c>
      <c r="C5" s="922"/>
      <c r="D5" s="182"/>
      <c r="E5" s="921" t="s">
        <v>158</v>
      </c>
      <c r="F5" s="922"/>
      <c r="H5" s="919" t="s">
        <v>153</v>
      </c>
      <c r="I5" s="920"/>
      <c r="J5" s="57"/>
      <c r="K5" s="921" t="s">
        <v>156</v>
      </c>
      <c r="L5" s="922"/>
      <c r="N5" s="919" t="s">
        <v>154</v>
      </c>
      <c r="O5" s="920"/>
      <c r="Q5" s="919" t="s">
        <v>155</v>
      </c>
      <c r="R5" s="920"/>
    </row>
    <row r="6" spans="1:18">
      <c r="B6" s="177" t="s">
        <v>12</v>
      </c>
      <c r="C6" s="176" t="s">
        <v>115</v>
      </c>
      <c r="D6" s="183"/>
      <c r="E6" s="177" t="s">
        <v>12</v>
      </c>
      <c r="F6" s="176" t="s">
        <v>115</v>
      </c>
      <c r="H6" s="177" t="s">
        <v>12</v>
      </c>
      <c r="I6" s="176" t="s">
        <v>115</v>
      </c>
      <c r="J6" s="57"/>
      <c r="K6" s="177" t="s">
        <v>12</v>
      </c>
      <c r="L6" s="176" t="s">
        <v>115</v>
      </c>
      <c r="N6" s="178" t="s">
        <v>12</v>
      </c>
      <c r="O6" s="179" t="s">
        <v>115</v>
      </c>
      <c r="Q6" s="178" t="s">
        <v>12</v>
      </c>
      <c r="R6" s="179" t="s">
        <v>115</v>
      </c>
    </row>
    <row r="7" spans="1:18" ht="15" customHeight="1">
      <c r="B7" s="170">
        <v>0</v>
      </c>
      <c r="C7" s="162">
        <f>B2</f>
        <v>1.5494911828692564</v>
      </c>
      <c r="D7" s="180"/>
      <c r="E7" s="170">
        <v>0</v>
      </c>
      <c r="F7" s="162">
        <f>B2</f>
        <v>1.5494911828692564</v>
      </c>
      <c r="H7" s="170">
        <v>0</v>
      </c>
      <c r="I7" s="162">
        <f>B2</f>
        <v>1.5494911828692564</v>
      </c>
      <c r="J7" s="57"/>
      <c r="K7" s="170">
        <v>0</v>
      </c>
      <c r="L7" s="162">
        <f>B2</f>
        <v>1.5494911828692564</v>
      </c>
      <c r="N7" s="172">
        <v>0</v>
      </c>
      <c r="O7" s="164">
        <f>B2</f>
        <v>1.5494911828692564</v>
      </c>
      <c r="Q7" s="172">
        <v>0</v>
      </c>
      <c r="R7" s="164">
        <f>B2</f>
        <v>1.5494911828692564</v>
      </c>
    </row>
    <row r="8" spans="1:18">
      <c r="B8" s="170">
        <v>0.1</v>
      </c>
      <c r="C8" s="166">
        <f t="dataTable" ref="C8:C17" dt2D="0" dtr="0" r1="B7"/>
        <v>1.4086283480629596</v>
      </c>
      <c r="D8" s="181"/>
      <c r="E8" s="170">
        <v>0.1</v>
      </c>
      <c r="F8" s="166">
        <f t="dataTable" ref="F8:F17" dt2D="0" dtr="0" r1="E7" ca="1"/>
        <v>1.4612611105480195</v>
      </c>
      <c r="H8" s="170">
        <v>-0.1</v>
      </c>
      <c r="I8" s="166">
        <f t="dataTable" ref="I8:I17" dt2D="0" dtr="0" r1="H7" ca="1"/>
        <v>1.5287747796562094</v>
      </c>
      <c r="J8" s="57"/>
      <c r="K8" s="170">
        <v>-0.1</v>
      </c>
      <c r="L8" s="166">
        <f t="dataTable" ref="L8:L17" dt2D="0" dtr="0" r1="K7" ca="1"/>
        <v>1.6481244048449113</v>
      </c>
      <c r="N8" s="172">
        <v>-0.1</v>
      </c>
      <c r="O8" s="168">
        <f t="dataTable" ref="O8:O17" dt2D="0" dtr="0" r1="N7" ca="1"/>
        <v>1.4788504362985415</v>
      </c>
      <c r="Q8" s="172">
        <v>-0.1</v>
      </c>
      <c r="R8" s="168">
        <f t="dataTable" ref="R8:R17" dt2D="0" dtr="0" r1="Q7" ca="1"/>
        <v>1.5494911828692564</v>
      </c>
    </row>
    <row r="9" spans="1:18">
      <c r="A9" s="165"/>
      <c r="B9" s="170">
        <v>0.2</v>
      </c>
      <c r="C9" s="166">
        <v>1.2912426523910467</v>
      </c>
      <c r="D9" s="181"/>
      <c r="E9" s="170">
        <v>0.2</v>
      </c>
      <c r="F9" s="166">
        <v>1.3825375957525388</v>
      </c>
      <c r="H9" s="170">
        <v>-0.2</v>
      </c>
      <c r="I9" s="166">
        <v>1.5080583764431619</v>
      </c>
      <c r="J9" s="57"/>
      <c r="K9" s="170">
        <v>-0.2</v>
      </c>
      <c r="L9" s="166">
        <v>1.7467576268205665</v>
      </c>
      <c r="N9" s="172">
        <v>-0.2</v>
      </c>
      <c r="O9" s="168">
        <v>1.4082096897278265</v>
      </c>
      <c r="Q9" s="172">
        <v>-0.2</v>
      </c>
      <c r="R9" s="168">
        <v>1.5494911828692564</v>
      </c>
    </row>
    <row r="10" spans="1:18">
      <c r="A10" s="165"/>
      <c r="B10" s="170">
        <v>0.3</v>
      </c>
      <c r="C10" s="166">
        <v>1.1919162945148125</v>
      </c>
      <c r="D10" s="181"/>
      <c r="E10" s="170">
        <v>0.3</v>
      </c>
      <c r="F10" s="166">
        <v>1.3118627220665389</v>
      </c>
      <c r="H10" s="170">
        <v>-0.3</v>
      </c>
      <c r="I10" s="166">
        <v>1.4873419732301145</v>
      </c>
      <c r="J10" s="57"/>
      <c r="K10" s="170">
        <v>-0.3</v>
      </c>
      <c r="L10" s="166">
        <v>1.8453908487962216</v>
      </c>
      <c r="N10" s="172">
        <v>-0.3</v>
      </c>
      <c r="O10" s="168">
        <v>1.3375689431571114</v>
      </c>
      <c r="Q10" s="172">
        <v>-0.3</v>
      </c>
      <c r="R10" s="168">
        <v>1.5494911828692564</v>
      </c>
    </row>
    <row r="11" spans="1:18">
      <c r="A11" s="165"/>
      <c r="B11" s="170">
        <v>0.4</v>
      </c>
      <c r="C11" s="166">
        <v>1.1067794163351827</v>
      </c>
      <c r="D11" s="181"/>
      <c r="E11" s="170">
        <v>0.4</v>
      </c>
      <c r="F11" s="166">
        <v>1.248062187646926</v>
      </c>
      <c r="H11" s="170">
        <v>-0.4</v>
      </c>
      <c r="I11" s="166">
        <v>1.4666255700170669</v>
      </c>
      <c r="J11" s="57"/>
      <c r="K11" s="170">
        <v>-0.4</v>
      </c>
      <c r="L11" s="166">
        <v>1.9440240707718763</v>
      </c>
      <c r="N11" s="172">
        <v>-0.4</v>
      </c>
      <c r="O11" s="168">
        <v>1.2669281965863963</v>
      </c>
      <c r="Q11" s="172">
        <v>-0.4</v>
      </c>
      <c r="R11" s="168">
        <v>1.5494911828692564</v>
      </c>
    </row>
    <row r="12" spans="1:18">
      <c r="A12" s="165"/>
      <c r="B12" s="170">
        <v>0.5</v>
      </c>
      <c r="C12" s="166">
        <v>1.0329941219128369</v>
      </c>
      <c r="D12" s="181"/>
      <c r="E12" s="170">
        <v>0.5</v>
      </c>
      <c r="F12" s="166">
        <v>1.1901795378157629</v>
      </c>
      <c r="H12" s="170">
        <v>-0.5</v>
      </c>
      <c r="I12" s="166">
        <v>1.4459091668040196</v>
      </c>
      <c r="J12" s="57"/>
      <c r="K12" s="170">
        <v>-0.5</v>
      </c>
      <c r="L12" s="166">
        <v>2.0426572927475317</v>
      </c>
      <c r="N12" s="172">
        <v>-0.5</v>
      </c>
      <c r="O12" s="168">
        <v>1.1962874500156815</v>
      </c>
      <c r="Q12" s="172">
        <v>-0.5</v>
      </c>
      <c r="R12" s="168">
        <v>1.5494911828692564</v>
      </c>
    </row>
    <row r="13" spans="1:18">
      <c r="A13" s="165"/>
      <c r="B13" s="170">
        <v>0.6</v>
      </c>
      <c r="C13" s="166">
        <v>0.96843198929328467</v>
      </c>
      <c r="D13" s="181"/>
      <c r="E13" s="170">
        <v>0.6</v>
      </c>
      <c r="F13" s="166">
        <v>1.1374278874806387</v>
      </c>
      <c r="H13" s="170">
        <v>-0.6</v>
      </c>
      <c r="I13" s="166">
        <v>1.4251927635909725</v>
      </c>
      <c r="J13" s="57"/>
      <c r="K13" s="170">
        <v>-0.6</v>
      </c>
      <c r="L13" s="166">
        <v>2.1412905147231864</v>
      </c>
      <c r="N13" s="172">
        <v>-0.6</v>
      </c>
      <c r="O13" s="168">
        <v>1.1256467034449662</v>
      </c>
      <c r="Q13" s="172">
        <v>-0.6</v>
      </c>
      <c r="R13" s="168">
        <v>1.5494911828692564</v>
      </c>
    </row>
    <row r="14" spans="1:18">
      <c r="A14" s="161"/>
      <c r="B14" s="170">
        <v>0.7</v>
      </c>
      <c r="C14" s="166">
        <v>0.91146540168779733</v>
      </c>
      <c r="D14" s="181"/>
      <c r="E14" s="170">
        <v>0.7</v>
      </c>
      <c r="F14" s="166">
        <v>1.0891539373426087</v>
      </c>
      <c r="H14" s="170">
        <v>-0.7</v>
      </c>
      <c r="I14" s="166">
        <v>1.4044763603779251</v>
      </c>
      <c r="J14" s="57"/>
      <c r="K14" s="170">
        <v>-0.7</v>
      </c>
      <c r="L14" s="166">
        <v>2.2399237366988412</v>
      </c>
      <c r="N14" s="172">
        <v>-0.7</v>
      </c>
      <c r="O14" s="168">
        <v>1.0550059568742514</v>
      </c>
      <c r="Q14" s="172">
        <v>-0.7</v>
      </c>
      <c r="R14" s="168">
        <v>1.5494911828692564</v>
      </c>
    </row>
    <row r="15" spans="1:18">
      <c r="A15" s="161"/>
      <c r="B15" s="170">
        <v>0.8</v>
      </c>
      <c r="C15" s="166">
        <v>0.86082843492736438</v>
      </c>
      <c r="D15" s="181"/>
      <c r="E15" s="170">
        <v>0.8</v>
      </c>
      <c r="F15" s="166">
        <v>1.0448107802387017</v>
      </c>
      <c r="H15" s="170">
        <v>-0.8</v>
      </c>
      <c r="I15" s="166">
        <v>1.3837599571648778</v>
      </c>
      <c r="J15" s="57"/>
      <c r="K15" s="170">
        <v>-0.8</v>
      </c>
      <c r="L15" s="166">
        <v>2.3385569586744963</v>
      </c>
      <c r="N15" s="172">
        <v>-0.8</v>
      </c>
      <c r="O15" s="168">
        <v>0.98436521030353619</v>
      </c>
      <c r="Q15" s="172">
        <v>-0.8</v>
      </c>
      <c r="R15" s="168">
        <v>1.5494911828692564</v>
      </c>
    </row>
    <row r="16" spans="1:18">
      <c r="A16" s="161"/>
      <c r="B16" s="170">
        <v>0.9</v>
      </c>
      <c r="C16" s="166">
        <v>0.81552167519434526</v>
      </c>
      <c r="D16" s="181"/>
      <c r="E16" s="170">
        <v>0.9</v>
      </c>
      <c r="F16" s="166">
        <v>1.0039370904877778</v>
      </c>
      <c r="H16" s="170">
        <v>-0.9</v>
      </c>
      <c r="I16" s="166">
        <v>1.3630435539518304</v>
      </c>
      <c r="J16" s="57"/>
      <c r="K16" s="170">
        <v>-0.9</v>
      </c>
      <c r="L16" s="166">
        <v>2.437190180650151</v>
      </c>
      <c r="N16" s="172">
        <v>-0.9</v>
      </c>
      <c r="O16" s="168">
        <v>0.91372446373282112</v>
      </c>
      <c r="Q16" s="172">
        <v>-0.9</v>
      </c>
      <c r="R16" s="168">
        <v>1.5494911828692564</v>
      </c>
    </row>
    <row r="17" spans="1:18">
      <c r="A17" s="161"/>
      <c r="B17" s="171">
        <v>1</v>
      </c>
      <c r="C17" s="167">
        <v>0.77474559143462818</v>
      </c>
      <c r="D17" s="181"/>
      <c r="E17" s="171">
        <v>1</v>
      </c>
      <c r="F17" s="167">
        <v>0.96614101409512698</v>
      </c>
      <c r="H17" s="171">
        <v>-1</v>
      </c>
      <c r="I17" s="167">
        <v>1.3423271507387833</v>
      </c>
      <c r="J17" s="57"/>
      <c r="K17" s="171">
        <v>-1</v>
      </c>
      <c r="L17" s="167">
        <v>2.5358234026258062</v>
      </c>
      <c r="N17" s="173">
        <v>-1</v>
      </c>
      <c r="O17" s="169">
        <v>0.84308371716210617</v>
      </c>
      <c r="Q17" s="173">
        <v>-1</v>
      </c>
      <c r="R17" s="169">
        <v>1.5494911828692564</v>
      </c>
    </row>
    <row r="18" spans="1:18">
      <c r="A18" s="165"/>
      <c r="N18" s="97"/>
    </row>
    <row r="19" spans="1:18">
      <c r="A19" s="165"/>
    </row>
    <row r="25" spans="1:18" ht="18.75" customHeight="1">
      <c r="D25" s="913" t="s">
        <v>155</v>
      </c>
      <c r="E25" s="914"/>
      <c r="F25" s="914"/>
      <c r="G25" s="914"/>
      <c r="H25" s="914"/>
      <c r="I25" s="914"/>
      <c r="J25" s="914"/>
      <c r="K25" s="914"/>
      <c r="L25" s="914"/>
      <c r="M25" s="914"/>
      <c r="N25" s="915"/>
    </row>
    <row r="26" spans="1:18">
      <c r="C26" s="184">
        <f>B2</f>
        <v>1.5494911828692564</v>
      </c>
      <c r="D26" s="190">
        <v>0</v>
      </c>
      <c r="E26" s="187">
        <v>-0.1</v>
      </c>
      <c r="F26" s="187">
        <v>-0.2</v>
      </c>
      <c r="G26" s="187">
        <v>-0.3</v>
      </c>
      <c r="H26" s="187">
        <v>-0.4</v>
      </c>
      <c r="I26" s="187">
        <v>-0.5</v>
      </c>
      <c r="J26" s="187">
        <v>-0.6</v>
      </c>
      <c r="K26" s="187">
        <v>-0.7</v>
      </c>
      <c r="L26" s="187">
        <v>-0.8</v>
      </c>
      <c r="M26" s="187">
        <v>-0.9</v>
      </c>
      <c r="N26" s="191">
        <v>-1</v>
      </c>
    </row>
    <row r="27" spans="1:18" ht="14.25" customHeight="1">
      <c r="B27" s="916" t="s">
        <v>154</v>
      </c>
      <c r="C27" s="192">
        <v>0</v>
      </c>
      <c r="D27" s="181">
        <f t="dataTable" ref="D27:N37" dt2D="1" dtr="1" r1="Q7" r2="N7" ca="1"/>
        <v>1.5494911828692564</v>
      </c>
      <c r="E27" s="181">
        <v>1.5494911828692564</v>
      </c>
      <c r="F27" s="181">
        <v>1.5494911828692564</v>
      </c>
      <c r="G27" s="186">
        <v>1.5494911828692564</v>
      </c>
      <c r="H27" s="186">
        <v>1.5494911828692564</v>
      </c>
      <c r="I27" s="186">
        <v>1.5494911828692564</v>
      </c>
      <c r="J27" s="186">
        <v>1.5494911828692564</v>
      </c>
      <c r="K27" s="186">
        <v>1.5494911828692564</v>
      </c>
      <c r="L27" s="186">
        <v>1.5494911828692564</v>
      </c>
      <c r="M27" s="186">
        <v>1.5494911828692564</v>
      </c>
      <c r="N27" s="168">
        <v>1.5494911828692564</v>
      </c>
    </row>
    <row r="28" spans="1:18">
      <c r="B28" s="917"/>
      <c r="C28" s="185">
        <v>-0.1</v>
      </c>
      <c r="D28" s="181">
        <v>1.4788504362985415</v>
      </c>
      <c r="E28" s="181">
        <v>1.4788504362985415</v>
      </c>
      <c r="F28" s="181">
        <v>1.4788504362985415</v>
      </c>
      <c r="G28" s="186">
        <v>1.4788504362985415</v>
      </c>
      <c r="H28" s="186">
        <v>1.4788504362985415</v>
      </c>
      <c r="I28" s="186">
        <v>1.4788504362985415</v>
      </c>
      <c r="J28" s="186">
        <v>1.4788504362985415</v>
      </c>
      <c r="K28" s="186">
        <v>1.4788504362985415</v>
      </c>
      <c r="L28" s="186">
        <v>1.4788504362985415</v>
      </c>
      <c r="M28" s="186">
        <v>1.4788504362985415</v>
      </c>
      <c r="N28" s="168">
        <v>1.4788504362985415</v>
      </c>
    </row>
    <row r="29" spans="1:18">
      <c r="B29" s="917"/>
      <c r="C29" s="185">
        <v>-0.2</v>
      </c>
      <c r="D29" s="181">
        <v>1.4082096897278265</v>
      </c>
      <c r="E29" s="181">
        <v>1.4082096897278265</v>
      </c>
      <c r="F29" s="181">
        <v>1.4082096897278265</v>
      </c>
      <c r="G29" s="186">
        <v>1.4082096897278265</v>
      </c>
      <c r="H29" s="186">
        <v>1.4082096897278265</v>
      </c>
      <c r="I29" s="186">
        <v>1.4082096897278265</v>
      </c>
      <c r="J29" s="186">
        <v>1.4082096897278265</v>
      </c>
      <c r="K29" s="186">
        <v>1.4082096897278265</v>
      </c>
      <c r="L29" s="186">
        <v>1.4082096897278265</v>
      </c>
      <c r="M29" s="186">
        <v>1.4082096897278265</v>
      </c>
      <c r="N29" s="168">
        <v>1.4082096897278265</v>
      </c>
    </row>
    <row r="30" spans="1:18">
      <c r="B30" s="917"/>
      <c r="C30" s="185">
        <v>-0.3</v>
      </c>
      <c r="D30" s="181">
        <v>1.3375689431571114</v>
      </c>
      <c r="E30" s="181">
        <v>1.3375689431571114</v>
      </c>
      <c r="F30" s="181">
        <v>1.3375689431571114</v>
      </c>
      <c r="G30" s="186">
        <v>1.3375689431571114</v>
      </c>
      <c r="H30" s="186">
        <v>1.3375689431571114</v>
      </c>
      <c r="I30" s="186">
        <v>1.3375689431571114</v>
      </c>
      <c r="J30" s="186">
        <v>1.3375689431571114</v>
      </c>
      <c r="K30" s="186">
        <v>1.3375689431571114</v>
      </c>
      <c r="L30" s="186">
        <v>1.3375689431571114</v>
      </c>
      <c r="M30" s="186">
        <v>1.3375689431571114</v>
      </c>
      <c r="N30" s="168">
        <v>1.3375689431571114</v>
      </c>
    </row>
    <row r="31" spans="1:18">
      <c r="B31" s="917"/>
      <c r="C31" s="185">
        <v>-0.4</v>
      </c>
      <c r="D31" s="181">
        <v>1.2669281965863963</v>
      </c>
      <c r="E31" s="181">
        <v>1.2669281965863963</v>
      </c>
      <c r="F31" s="181">
        <v>1.2669281965863963</v>
      </c>
      <c r="G31" s="186">
        <v>1.2669281965863963</v>
      </c>
      <c r="H31" s="186">
        <v>1.2669281965863963</v>
      </c>
      <c r="I31" s="186">
        <v>1.2669281965863963</v>
      </c>
      <c r="J31" s="186">
        <v>1.2669281965863963</v>
      </c>
      <c r="K31" s="186">
        <v>1.2669281965863963</v>
      </c>
      <c r="L31" s="186">
        <v>1.2669281965863963</v>
      </c>
      <c r="M31" s="186">
        <v>1.2669281965863963</v>
      </c>
      <c r="N31" s="168">
        <v>1.2669281965863963</v>
      </c>
    </row>
    <row r="32" spans="1:18">
      <c r="B32" s="917"/>
      <c r="C32" s="185">
        <v>-0.5</v>
      </c>
      <c r="D32" s="181">
        <v>1.1962874500156815</v>
      </c>
      <c r="E32" s="181">
        <v>1.1962874500156815</v>
      </c>
      <c r="F32" s="181">
        <v>1.1962874500156815</v>
      </c>
      <c r="G32" s="186">
        <v>1.1962874500156815</v>
      </c>
      <c r="H32" s="186">
        <v>1.1962874500156815</v>
      </c>
      <c r="I32" s="186">
        <v>1.1962874500156815</v>
      </c>
      <c r="J32" s="186">
        <v>1.1962874500156815</v>
      </c>
      <c r="K32" s="186">
        <v>1.1962874500156815</v>
      </c>
      <c r="L32" s="186">
        <v>1.1962874500156815</v>
      </c>
      <c r="M32" s="186">
        <v>1.1962874500156815</v>
      </c>
      <c r="N32" s="168">
        <v>1.1962874500156815</v>
      </c>
    </row>
    <row r="33" spans="2:14">
      <c r="B33" s="917"/>
      <c r="C33" s="185">
        <v>-0.6</v>
      </c>
      <c r="D33" s="181">
        <v>1.1256467034449662</v>
      </c>
      <c r="E33" s="181">
        <v>1.1256467034449662</v>
      </c>
      <c r="F33" s="181">
        <v>1.1256467034449662</v>
      </c>
      <c r="G33" s="186">
        <v>1.1256467034449662</v>
      </c>
      <c r="H33" s="186">
        <v>1.1256467034449662</v>
      </c>
      <c r="I33" s="186">
        <v>1.1256467034449662</v>
      </c>
      <c r="J33" s="186">
        <v>1.1256467034449662</v>
      </c>
      <c r="K33" s="186">
        <v>1.1256467034449662</v>
      </c>
      <c r="L33" s="186">
        <v>1.1256467034449662</v>
      </c>
      <c r="M33" s="186">
        <v>1.1256467034449662</v>
      </c>
      <c r="N33" s="168">
        <v>1.1256467034449662</v>
      </c>
    </row>
    <row r="34" spans="2:14">
      <c r="B34" s="917"/>
      <c r="C34" s="185">
        <v>-0.7</v>
      </c>
      <c r="D34" s="181">
        <v>1.0550059568742514</v>
      </c>
      <c r="E34" s="181">
        <v>1.0550059568742514</v>
      </c>
      <c r="F34" s="181">
        <v>1.0550059568742514</v>
      </c>
      <c r="G34" s="186">
        <v>1.0550059568742514</v>
      </c>
      <c r="H34" s="186">
        <v>1.0550059568742514</v>
      </c>
      <c r="I34" s="186">
        <v>1.0550059568742514</v>
      </c>
      <c r="J34" s="186">
        <v>1.0550059568742514</v>
      </c>
      <c r="K34" s="186">
        <v>1.0550059568742514</v>
      </c>
      <c r="L34" s="186">
        <v>1.0550059568742514</v>
      </c>
      <c r="M34" s="186">
        <v>1.0550059568742514</v>
      </c>
      <c r="N34" s="168">
        <v>1.0550059568742514</v>
      </c>
    </row>
    <row r="35" spans="2:14">
      <c r="B35" s="917"/>
      <c r="C35" s="185">
        <v>-0.8</v>
      </c>
      <c r="D35" s="181">
        <v>0.98436521030353619</v>
      </c>
      <c r="E35" s="181">
        <v>0.98436521030353619</v>
      </c>
      <c r="F35" s="181">
        <v>0.98436521030353619</v>
      </c>
      <c r="G35" s="186">
        <v>0.98436521030353619</v>
      </c>
      <c r="H35" s="186">
        <v>0.98436521030353619</v>
      </c>
      <c r="I35" s="186">
        <v>0.98436521030353619</v>
      </c>
      <c r="J35" s="186">
        <v>0.98436521030353619</v>
      </c>
      <c r="K35" s="186">
        <v>0.98436521030353619</v>
      </c>
      <c r="L35" s="186">
        <v>0.98436521030353619</v>
      </c>
      <c r="M35" s="186">
        <v>0.98436521030353619</v>
      </c>
      <c r="N35" s="168">
        <v>0.98436521030353619</v>
      </c>
    </row>
    <row r="36" spans="2:14">
      <c r="B36" s="917"/>
      <c r="C36" s="185">
        <v>-0.9</v>
      </c>
      <c r="D36" s="181">
        <v>0.91372446373282112</v>
      </c>
      <c r="E36" s="181">
        <v>0.91372446373282112</v>
      </c>
      <c r="F36" s="181">
        <v>0.91372446373282112</v>
      </c>
      <c r="G36" s="186">
        <v>0.91372446373282112</v>
      </c>
      <c r="H36" s="186">
        <v>0.91372446373282112</v>
      </c>
      <c r="I36" s="186">
        <v>0.91372446373282112</v>
      </c>
      <c r="J36" s="186">
        <v>0.91372446373282112</v>
      </c>
      <c r="K36" s="186">
        <v>0.91372446373282112</v>
      </c>
      <c r="L36" s="186">
        <v>0.91372446373282112</v>
      </c>
      <c r="M36" s="186">
        <v>0.91372446373282112</v>
      </c>
      <c r="N36" s="168">
        <v>0.91372446373282112</v>
      </c>
    </row>
    <row r="37" spans="2:14">
      <c r="B37" s="918"/>
      <c r="C37" s="191">
        <v>-1</v>
      </c>
      <c r="D37" s="188">
        <v>0.84308371716210617</v>
      </c>
      <c r="E37" s="188">
        <v>0.84308371716210617</v>
      </c>
      <c r="F37" s="188">
        <v>0.84308371716210617</v>
      </c>
      <c r="G37" s="189">
        <v>0.84308371716210617</v>
      </c>
      <c r="H37" s="189">
        <v>0.84308371716210617</v>
      </c>
      <c r="I37" s="189">
        <v>0.84308371716210617</v>
      </c>
      <c r="J37" s="189">
        <v>0.84308371716210617</v>
      </c>
      <c r="K37" s="189">
        <v>0.84308371716210617</v>
      </c>
      <c r="L37" s="189">
        <v>0.84308371716210617</v>
      </c>
      <c r="M37" s="189">
        <v>0.84308371716210617</v>
      </c>
      <c r="N37" s="169">
        <v>0.84308371716210617</v>
      </c>
    </row>
    <row r="41" spans="2:14">
      <c r="D41" s="913" t="s">
        <v>156</v>
      </c>
      <c r="E41" s="914"/>
      <c r="F41" s="914"/>
      <c r="G41" s="914"/>
      <c r="H41" s="914"/>
      <c r="I41" s="914"/>
      <c r="J41" s="914"/>
      <c r="K41" s="914"/>
      <c r="L41" s="914"/>
      <c r="M41" s="914"/>
      <c r="N41" s="915"/>
    </row>
    <row r="42" spans="2:14">
      <c r="C42" s="184">
        <f>B2</f>
        <v>1.5494911828692564</v>
      </c>
      <c r="D42" s="190">
        <v>0</v>
      </c>
      <c r="E42" s="187">
        <v>-0.1</v>
      </c>
      <c r="F42" s="187">
        <v>-0.2</v>
      </c>
      <c r="G42" s="187">
        <v>-0.3</v>
      </c>
      <c r="H42" s="187">
        <v>-0.4</v>
      </c>
      <c r="I42" s="187">
        <v>-0.5</v>
      </c>
      <c r="J42" s="187">
        <v>-0.6</v>
      </c>
      <c r="K42" s="187">
        <v>-0.7</v>
      </c>
      <c r="L42" s="187">
        <v>-0.8</v>
      </c>
      <c r="M42" s="187">
        <v>-0.9</v>
      </c>
      <c r="N42" s="191">
        <v>-1</v>
      </c>
    </row>
    <row r="43" spans="2:14">
      <c r="B43" s="916" t="s">
        <v>158</v>
      </c>
      <c r="C43" s="192">
        <v>0</v>
      </c>
      <c r="D43" s="181">
        <f t="dataTable" ref="D43:N53" dt2D="1" dtr="1" r1="K7" r2="E7" ca="1"/>
        <v>1.5494911828692564</v>
      </c>
      <c r="E43" s="181">
        <v>1.6481244048449113</v>
      </c>
      <c r="F43" s="181">
        <v>1.7467576268205665</v>
      </c>
      <c r="G43" s="186">
        <v>1.8453908487962216</v>
      </c>
      <c r="H43" s="186">
        <v>1.9440240707718763</v>
      </c>
      <c r="I43" s="186">
        <v>2.0426572927475317</v>
      </c>
      <c r="J43" s="186">
        <v>2.1412905147231864</v>
      </c>
      <c r="K43" s="186">
        <v>2.2399237366988412</v>
      </c>
      <c r="L43" s="186">
        <v>2.3385569586744963</v>
      </c>
      <c r="M43" s="186">
        <v>2.437190180650151</v>
      </c>
      <c r="N43" s="168">
        <v>2.5358234026258062</v>
      </c>
    </row>
    <row r="44" spans="2:14">
      <c r="B44" s="917"/>
      <c r="C44" s="185">
        <v>0.1</v>
      </c>
      <c r="D44" s="181">
        <v>1.4612611105480195</v>
      </c>
      <c r="E44" s="181">
        <v>1.5542780267296177</v>
      </c>
      <c r="F44" s="181">
        <v>1.6472949429112158</v>
      </c>
      <c r="G44" s="186">
        <v>1.7403118590928142</v>
      </c>
      <c r="H44" s="186">
        <v>1.8333287752744121</v>
      </c>
      <c r="I44" s="186">
        <v>1.9263456914560104</v>
      </c>
      <c r="J44" s="186">
        <v>2.0193626076376083</v>
      </c>
      <c r="K44" s="186">
        <v>2.1123795238192065</v>
      </c>
      <c r="L44" s="186">
        <v>2.2053964400008046</v>
      </c>
      <c r="M44" s="186">
        <v>2.2984133561824027</v>
      </c>
      <c r="N44" s="168">
        <v>2.3914302723640009</v>
      </c>
    </row>
    <row r="45" spans="2:14">
      <c r="B45" s="917"/>
      <c r="C45" s="185">
        <v>0.2</v>
      </c>
      <c r="D45" s="181">
        <v>1.3825375957525388</v>
      </c>
      <c r="E45" s="181">
        <v>1.4705433482725612</v>
      </c>
      <c r="F45" s="181">
        <v>1.5585491007925836</v>
      </c>
      <c r="G45" s="186">
        <v>1.6465548533126062</v>
      </c>
      <c r="H45" s="186">
        <v>1.7345606058326284</v>
      </c>
      <c r="I45" s="186">
        <v>1.8225663583526508</v>
      </c>
      <c r="J45" s="186">
        <v>1.9105721108726732</v>
      </c>
      <c r="K45" s="186">
        <v>1.9985778633926954</v>
      </c>
      <c r="L45" s="186">
        <v>2.0865836159127178</v>
      </c>
      <c r="M45" s="186">
        <v>2.17458936843274</v>
      </c>
      <c r="N45" s="168">
        <v>2.2625951209527626</v>
      </c>
    </row>
    <row r="46" spans="2:14">
      <c r="B46" s="917"/>
      <c r="C46" s="185">
        <v>0.3</v>
      </c>
      <c r="D46" s="181">
        <v>1.3118627220665389</v>
      </c>
      <c r="E46" s="181">
        <v>1.3953696490485776</v>
      </c>
      <c r="F46" s="181">
        <v>1.4788765760306166</v>
      </c>
      <c r="G46" s="186">
        <v>1.5623835030126554</v>
      </c>
      <c r="H46" s="186">
        <v>1.6458904299946941</v>
      </c>
      <c r="I46" s="186">
        <v>1.7293973569767331</v>
      </c>
      <c r="J46" s="186">
        <v>1.8129042839587717</v>
      </c>
      <c r="K46" s="186">
        <v>1.8964112109408104</v>
      </c>
      <c r="L46" s="186">
        <v>1.9799181379228494</v>
      </c>
      <c r="M46" s="186">
        <v>2.0634250649048882</v>
      </c>
      <c r="N46" s="168">
        <v>2.1469319918869272</v>
      </c>
    </row>
    <row r="47" spans="2:14">
      <c r="B47" s="917"/>
      <c r="C47" s="185">
        <v>0.4</v>
      </c>
      <c r="D47" s="181">
        <v>1.248062187646926</v>
      </c>
      <c r="E47" s="181">
        <v>1.3275078767573671</v>
      </c>
      <c r="F47" s="181">
        <v>1.4069535658678085</v>
      </c>
      <c r="G47" s="186">
        <v>1.4863992549782499</v>
      </c>
      <c r="H47" s="186">
        <v>1.565844944088691</v>
      </c>
      <c r="I47" s="186">
        <v>1.6452906331991322</v>
      </c>
      <c r="J47" s="186">
        <v>1.7247363223095733</v>
      </c>
      <c r="K47" s="186">
        <v>1.8041820114200144</v>
      </c>
      <c r="L47" s="186">
        <v>1.8836277005304558</v>
      </c>
      <c r="M47" s="186">
        <v>1.9630733896408969</v>
      </c>
      <c r="N47" s="168">
        <v>2.0425190787513383</v>
      </c>
    </row>
    <row r="48" spans="2:14">
      <c r="B48" s="917"/>
      <c r="C48" s="185">
        <v>0.5</v>
      </c>
      <c r="D48" s="181">
        <v>1.1901795378157629</v>
      </c>
      <c r="E48" s="181">
        <v>1.2659406933758004</v>
      </c>
      <c r="F48" s="181">
        <v>1.3417018489358383</v>
      </c>
      <c r="G48" s="186">
        <v>1.417463004495876</v>
      </c>
      <c r="H48" s="186">
        <v>1.4932241600559137</v>
      </c>
      <c r="I48" s="186">
        <v>1.5689853156159514</v>
      </c>
      <c r="J48" s="186">
        <v>1.6447464711759892</v>
      </c>
      <c r="K48" s="186">
        <v>1.7205076267360269</v>
      </c>
      <c r="L48" s="186">
        <v>1.7962687822960646</v>
      </c>
      <c r="M48" s="186">
        <v>1.8720299378561023</v>
      </c>
      <c r="N48" s="168">
        <v>1.94779109341614</v>
      </c>
    </row>
    <row r="49" spans="2:14">
      <c r="B49" s="917"/>
      <c r="C49" s="185">
        <v>0.6</v>
      </c>
      <c r="D49" s="181">
        <v>1.1374278874806387</v>
      </c>
      <c r="E49" s="181">
        <v>1.209831124457718</v>
      </c>
      <c r="F49" s="181">
        <v>1.2822343614347977</v>
      </c>
      <c r="G49" s="186">
        <v>1.3546375984118775</v>
      </c>
      <c r="H49" s="186">
        <v>1.427040835388957</v>
      </c>
      <c r="I49" s="186">
        <v>1.4994440723660367</v>
      </c>
      <c r="J49" s="186">
        <v>1.5718473093431162</v>
      </c>
      <c r="K49" s="186">
        <v>1.6442505463201957</v>
      </c>
      <c r="L49" s="186">
        <v>1.7166537832972755</v>
      </c>
      <c r="M49" s="186">
        <v>1.789057020274355</v>
      </c>
      <c r="N49" s="168">
        <v>1.8614602572514347</v>
      </c>
    </row>
    <row r="50" spans="2:14">
      <c r="B50" s="917"/>
      <c r="C50" s="185">
        <v>0.7</v>
      </c>
      <c r="D50" s="181">
        <v>1.0891539373426087</v>
      </c>
      <c r="E50" s="181">
        <v>1.1584842847852095</v>
      </c>
      <c r="F50" s="181">
        <v>1.2278146322278105</v>
      </c>
      <c r="G50" s="186">
        <v>1.2971449796704115</v>
      </c>
      <c r="H50" s="186">
        <v>1.3664753271130123</v>
      </c>
      <c r="I50" s="186">
        <v>1.4358056745556131</v>
      </c>
      <c r="J50" s="186">
        <v>1.5051360219982139</v>
      </c>
      <c r="K50" s="186">
        <v>1.5744663694408148</v>
      </c>
      <c r="L50" s="186">
        <v>1.6437967168834158</v>
      </c>
      <c r="M50" s="186">
        <v>1.7131270643260166</v>
      </c>
      <c r="N50" s="168">
        <v>1.7824574117686174</v>
      </c>
    </row>
    <row r="51" spans="2:14">
      <c r="B51" s="917"/>
      <c r="C51" s="185">
        <v>0.8</v>
      </c>
      <c r="D51" s="181">
        <v>1.0448107802387017</v>
      </c>
      <c r="E51" s="181">
        <v>1.1113184536925211</v>
      </c>
      <c r="F51" s="181">
        <v>1.1778261271463408</v>
      </c>
      <c r="G51" s="186">
        <v>1.2443338006001605</v>
      </c>
      <c r="H51" s="186">
        <v>1.31084147405398</v>
      </c>
      <c r="I51" s="186">
        <v>1.3773491475077995</v>
      </c>
      <c r="J51" s="186">
        <v>1.4438568209616192</v>
      </c>
      <c r="K51" s="186">
        <v>1.5103644944154386</v>
      </c>
      <c r="L51" s="186">
        <v>1.5768721678692581</v>
      </c>
      <c r="M51" s="186">
        <v>1.6433798413230778</v>
      </c>
      <c r="N51" s="168">
        <v>1.7098875147768973</v>
      </c>
    </row>
    <row r="52" spans="2:14">
      <c r="B52" s="917"/>
      <c r="C52" s="185">
        <v>0.9</v>
      </c>
      <c r="D52" s="181">
        <v>1.0039370904877778</v>
      </c>
      <c r="E52" s="181">
        <v>1.0678429397048812</v>
      </c>
      <c r="F52" s="181">
        <v>1.1317487889219848</v>
      </c>
      <c r="G52" s="186">
        <v>1.1956546381390887</v>
      </c>
      <c r="H52" s="186">
        <v>1.2595604873561921</v>
      </c>
      <c r="I52" s="186">
        <v>1.3234663365732959</v>
      </c>
      <c r="J52" s="186">
        <v>1.3873721857903993</v>
      </c>
      <c r="K52" s="186">
        <v>1.451278035007503</v>
      </c>
      <c r="L52" s="186">
        <v>1.5151838842246066</v>
      </c>
      <c r="M52" s="186">
        <v>1.57908973344171</v>
      </c>
      <c r="N52" s="168">
        <v>1.6429955826588138</v>
      </c>
    </row>
    <row r="53" spans="2:14">
      <c r="B53" s="918"/>
      <c r="C53" s="191">
        <v>1</v>
      </c>
      <c r="D53" s="188">
        <v>0.96614101409512698</v>
      </c>
      <c r="E53" s="188">
        <v>1.0276409452703208</v>
      </c>
      <c r="F53" s="188">
        <v>1.0891408764455148</v>
      </c>
      <c r="G53" s="189">
        <v>1.1506408076207089</v>
      </c>
      <c r="H53" s="189">
        <v>1.2121407387959027</v>
      </c>
      <c r="I53" s="189">
        <v>1.2736406699710967</v>
      </c>
      <c r="J53" s="189">
        <v>1.3351406011462905</v>
      </c>
      <c r="K53" s="189">
        <v>1.3966405323214843</v>
      </c>
      <c r="L53" s="189">
        <v>1.4581404634966784</v>
      </c>
      <c r="M53" s="189">
        <v>1.5196403946718722</v>
      </c>
      <c r="N53" s="169">
        <v>1.5811403258470662</v>
      </c>
    </row>
  </sheetData>
  <mergeCells count="10">
    <mergeCell ref="D25:N25"/>
    <mergeCell ref="B27:B37"/>
    <mergeCell ref="D41:N41"/>
    <mergeCell ref="B43:B53"/>
    <mergeCell ref="Q5:R5"/>
    <mergeCell ref="N5:O5"/>
    <mergeCell ref="K5:L5"/>
    <mergeCell ref="B5:C5"/>
    <mergeCell ref="H5:I5"/>
    <mergeCell ref="E5:F5"/>
  </mergeCells>
  <conditionalFormatting sqref="D27:N37">
    <cfRule type="colorScale" priority="2">
      <colorScale>
        <cfvo type="min"/>
        <cfvo type="num" val="1"/>
        <cfvo type="max"/>
        <color rgb="FFF8696B"/>
        <color rgb="FFFFEB84"/>
        <color rgb="FF63BE7B"/>
      </colorScale>
    </cfRule>
  </conditionalFormatting>
  <conditionalFormatting sqref="D43:N53">
    <cfRule type="colorScale" priority="1">
      <colorScale>
        <cfvo type="min"/>
        <cfvo type="num" val="1"/>
        <cfvo type="max"/>
        <color rgb="FFF8696B"/>
        <color rgb="FFFFEB84"/>
        <color rgb="FF63BE7B"/>
      </colorScale>
    </cfRule>
  </conditionalFormatting>
  <pageMargins left="0.7" right="0.7" top="0.75" bottom="0.75" header="0.3" footer="0.3"/>
  <pageSetup paperSize="9" scale="41"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22">
    <tabColor rgb="FFFFFFCC"/>
  </sheetPr>
  <dimension ref="A1:I138"/>
  <sheetViews>
    <sheetView view="pageBreakPreview" zoomScale="80" zoomScaleNormal="80" zoomScaleSheetLayoutView="80" workbookViewId="0">
      <selection activeCell="S53" sqref="S53"/>
    </sheetView>
  </sheetViews>
  <sheetFormatPr defaultColWidth="8.85546875" defaultRowHeight="15"/>
  <cols>
    <col min="1" max="1" width="26" customWidth="1"/>
    <col min="2" max="2" width="11.42578125" customWidth="1"/>
    <col min="4" max="4" width="20.85546875" customWidth="1"/>
    <col min="6" max="8" width="12.42578125" bestFit="1" customWidth="1"/>
    <col min="9" max="9" width="13.140625" bestFit="1" customWidth="1"/>
  </cols>
  <sheetData>
    <row r="1" spans="1:9" ht="15.75" thickBot="1"/>
    <row r="2" spans="1:9">
      <c r="A2" s="927" t="str">
        <f>'Parametre - Agendové IS'!G2</f>
        <v>Portál eNRI DOP</v>
      </c>
      <c r="B2" s="928"/>
      <c r="C2" s="929"/>
      <c r="D2" s="933" t="s">
        <v>102</v>
      </c>
      <c r="E2" s="934"/>
      <c r="F2" s="235" t="s">
        <v>122</v>
      </c>
      <c r="G2" s="235" t="s">
        <v>123</v>
      </c>
      <c r="H2" s="235" t="s">
        <v>124</v>
      </c>
      <c r="I2" s="235" t="s">
        <v>126</v>
      </c>
    </row>
    <row r="3" spans="1:9" ht="15.75" thickBot="1">
      <c r="A3" s="930"/>
      <c r="B3" s="931"/>
      <c r="C3" s="932"/>
      <c r="D3" s="333" t="s">
        <v>254</v>
      </c>
      <c r="E3" s="334" t="s">
        <v>125</v>
      </c>
      <c r="F3" s="132" t="s">
        <v>125</v>
      </c>
      <c r="G3" s="132" t="s">
        <v>125</v>
      </c>
      <c r="H3" s="132" t="s">
        <v>125</v>
      </c>
      <c r="I3" s="132" t="s">
        <v>125</v>
      </c>
    </row>
    <row r="4" spans="1:9" ht="15" customHeight="1">
      <c r="A4" s="811" t="s">
        <v>43</v>
      </c>
      <c r="B4" s="924" t="s">
        <v>143</v>
      </c>
      <c r="C4" s="133" t="s">
        <v>25</v>
      </c>
      <c r="D4" s="335" t="str">
        <f>IF(E4='Parametre - Agendové IS'!H86,"OK","Chyba počtu FTE")</f>
        <v>OK</v>
      </c>
      <c r="E4" s="336">
        <f t="shared" ref="E4:E33" si="0">F4+G4+H4+I4</f>
        <v>0</v>
      </c>
      <c r="F4" s="193"/>
      <c r="G4" s="193"/>
      <c r="H4" s="193"/>
      <c r="I4" s="193"/>
    </row>
    <row r="5" spans="1:9">
      <c r="A5" s="923"/>
      <c r="B5" s="925"/>
      <c r="C5" s="130" t="s">
        <v>26</v>
      </c>
      <c r="D5" s="337" t="str">
        <f>IF(E5='Parametre - Agendové IS'!H87,"OK","Chyba počtu FTE")</f>
        <v>OK</v>
      </c>
      <c r="E5" s="338">
        <f t="shared" si="0"/>
        <v>0</v>
      </c>
      <c r="F5" s="194"/>
      <c r="G5" s="194"/>
      <c r="H5" s="194"/>
      <c r="I5" s="194"/>
    </row>
    <row r="6" spans="1:9">
      <c r="A6" s="923"/>
      <c r="B6" s="925"/>
      <c r="C6" s="130" t="s">
        <v>27</v>
      </c>
      <c r="D6" s="337" t="str">
        <f>IF(E6='Parametre - Agendové IS'!H88,"OK","Chyba počtu FTE")</f>
        <v>OK</v>
      </c>
      <c r="E6" s="338">
        <f t="shared" si="0"/>
        <v>0</v>
      </c>
      <c r="F6" s="194"/>
      <c r="G6" s="194"/>
      <c r="H6" s="194"/>
      <c r="I6" s="194"/>
    </row>
    <row r="7" spans="1:9">
      <c r="A7" s="923"/>
      <c r="B7" s="925"/>
      <c r="C7" s="130" t="s">
        <v>28</v>
      </c>
      <c r="D7" s="337" t="str">
        <f>IF(E7='Parametre - Agendové IS'!H89,"OK","Chyba počtu FTE")</f>
        <v>OK</v>
      </c>
      <c r="E7" s="338">
        <f t="shared" si="0"/>
        <v>0</v>
      </c>
      <c r="F7" s="194"/>
      <c r="G7" s="194"/>
      <c r="H7" s="194"/>
      <c r="I7" s="194"/>
    </row>
    <row r="8" spans="1:9">
      <c r="A8" s="923"/>
      <c r="B8" s="925"/>
      <c r="C8" s="130" t="s">
        <v>29</v>
      </c>
      <c r="D8" s="337" t="str">
        <f>IF(E8='Parametre - Agendové IS'!H90,"OK","Chyba počtu FTE")</f>
        <v>OK</v>
      </c>
      <c r="E8" s="338">
        <f t="shared" si="0"/>
        <v>0</v>
      </c>
      <c r="F8" s="194"/>
      <c r="G8" s="194"/>
      <c r="H8" s="194"/>
      <c r="I8" s="194"/>
    </row>
    <row r="9" spans="1:9">
      <c r="A9" s="923"/>
      <c r="B9" s="925"/>
      <c r="C9" s="130" t="s">
        <v>30</v>
      </c>
      <c r="D9" s="337" t="str">
        <f>IF(E9='Parametre - Agendové IS'!H91,"OK","Chyba počtu FTE")</f>
        <v>OK</v>
      </c>
      <c r="E9" s="338">
        <f t="shared" si="0"/>
        <v>0</v>
      </c>
      <c r="F9" s="194"/>
      <c r="G9" s="194"/>
      <c r="H9" s="194"/>
      <c r="I9" s="194"/>
    </row>
    <row r="10" spans="1:9">
      <c r="A10" s="923"/>
      <c r="B10" s="925"/>
      <c r="C10" s="130" t="s">
        <v>31</v>
      </c>
      <c r="D10" s="337" t="str">
        <f>IF(E10='Parametre - Agendové IS'!H92,"OK","Chyba počtu FTE")</f>
        <v>OK</v>
      </c>
      <c r="E10" s="338">
        <f t="shared" si="0"/>
        <v>0</v>
      </c>
      <c r="F10" s="194"/>
      <c r="G10" s="194"/>
      <c r="H10" s="194"/>
      <c r="I10" s="194"/>
    </row>
    <row r="11" spans="1:9">
      <c r="A11" s="923"/>
      <c r="B11" s="925"/>
      <c r="C11" s="130" t="s">
        <v>32</v>
      </c>
      <c r="D11" s="337" t="str">
        <f>IF(E11='Parametre - Agendové IS'!H93,"OK","Chyba počtu FTE")</f>
        <v>OK</v>
      </c>
      <c r="E11" s="338">
        <f t="shared" si="0"/>
        <v>0</v>
      </c>
      <c r="F11" s="194"/>
      <c r="G11" s="194"/>
      <c r="H11" s="194"/>
      <c r="I11" s="194"/>
    </row>
    <row r="12" spans="1:9">
      <c r="A12" s="923"/>
      <c r="B12" s="925"/>
      <c r="C12" s="130" t="s">
        <v>33</v>
      </c>
      <c r="D12" s="337" t="str">
        <f>IF(E12='Parametre - Agendové IS'!H94,"OK","Chyba počtu FTE")</f>
        <v>OK</v>
      </c>
      <c r="E12" s="338">
        <f t="shared" si="0"/>
        <v>0</v>
      </c>
      <c r="F12" s="194"/>
      <c r="G12" s="194"/>
      <c r="H12" s="194"/>
      <c r="I12" s="194"/>
    </row>
    <row r="13" spans="1:9" ht="15.75" thickBot="1">
      <c r="A13" s="923"/>
      <c r="B13" s="925"/>
      <c r="C13" s="130" t="s">
        <v>34</v>
      </c>
      <c r="D13" s="339" t="str">
        <f>IF(E13='Parametre - Agendové IS'!H95,"OK","Chyba počtu FTE")</f>
        <v>OK</v>
      </c>
      <c r="E13" s="340">
        <f t="shared" si="0"/>
        <v>0</v>
      </c>
      <c r="F13" s="195"/>
      <c r="G13" s="195"/>
      <c r="H13" s="195"/>
      <c r="I13" s="195"/>
    </row>
    <row r="14" spans="1:9" ht="15" customHeight="1">
      <c r="A14" s="811" t="s">
        <v>41</v>
      </c>
      <c r="B14" s="924" t="s">
        <v>37</v>
      </c>
      <c r="C14" s="133" t="s">
        <v>25</v>
      </c>
      <c r="D14" s="336" t="str">
        <f>IF(E14='Parametre - Agendové IS'!H5,"OK","Chyba počtu podaní")</f>
        <v>OK</v>
      </c>
      <c r="E14" s="341">
        <f t="shared" si="0"/>
        <v>0</v>
      </c>
      <c r="F14" s="193"/>
      <c r="G14" s="193"/>
      <c r="H14" s="193"/>
      <c r="I14" s="193"/>
    </row>
    <row r="15" spans="1:9">
      <c r="A15" s="923"/>
      <c r="B15" s="925"/>
      <c r="C15" s="130" t="s">
        <v>26</v>
      </c>
      <c r="D15" s="337" t="str">
        <f>IF(E15='Parametre - Agendové IS'!H6,"OK","Chyba počtu podaní")</f>
        <v>OK</v>
      </c>
      <c r="E15" s="338">
        <f t="shared" si="0"/>
        <v>0</v>
      </c>
      <c r="F15" s="194"/>
      <c r="G15" s="194"/>
      <c r="H15" s="194"/>
      <c r="I15" s="194"/>
    </row>
    <row r="16" spans="1:9">
      <c r="A16" s="923"/>
      <c r="B16" s="925"/>
      <c r="C16" s="130" t="s">
        <v>27</v>
      </c>
      <c r="D16" s="337" t="str">
        <f>IF(E16='Parametre - Agendové IS'!H7,"OK","Chyba počtu podaní")</f>
        <v>OK</v>
      </c>
      <c r="E16" s="338">
        <f t="shared" si="0"/>
        <v>0</v>
      </c>
      <c r="F16" s="194"/>
      <c r="G16" s="194"/>
      <c r="H16" s="194"/>
      <c r="I16" s="194"/>
    </row>
    <row r="17" spans="1:9">
      <c r="A17" s="923"/>
      <c r="B17" s="925"/>
      <c r="C17" s="130" t="s">
        <v>28</v>
      </c>
      <c r="D17" s="337" t="str">
        <f>IF(E17='Parametre - Agendové IS'!H8,"OK","Chyba počtu podaní")</f>
        <v>OK</v>
      </c>
      <c r="E17" s="338">
        <f t="shared" si="0"/>
        <v>0</v>
      </c>
      <c r="F17" s="194"/>
      <c r="G17" s="194"/>
      <c r="H17" s="194"/>
      <c r="I17" s="194"/>
    </row>
    <row r="18" spans="1:9">
      <c r="A18" s="923"/>
      <c r="B18" s="925"/>
      <c r="C18" s="130" t="s">
        <v>29</v>
      </c>
      <c r="D18" s="337" t="str">
        <f>IF(E18='Parametre - Agendové IS'!H9,"OK","Chyba počtu podaní")</f>
        <v>OK</v>
      </c>
      <c r="E18" s="338">
        <f t="shared" si="0"/>
        <v>0</v>
      </c>
      <c r="F18" s="194"/>
      <c r="G18" s="194"/>
      <c r="H18" s="194"/>
      <c r="I18" s="194"/>
    </row>
    <row r="19" spans="1:9">
      <c r="A19" s="923"/>
      <c r="B19" s="925"/>
      <c r="C19" s="130" t="s">
        <v>30</v>
      </c>
      <c r="D19" s="337" t="str">
        <f>IF(E19='Parametre - Agendové IS'!H10,"OK","Chyba počtu podaní")</f>
        <v>OK</v>
      </c>
      <c r="E19" s="338">
        <f t="shared" si="0"/>
        <v>0</v>
      </c>
      <c r="F19" s="194"/>
      <c r="G19" s="194"/>
      <c r="H19" s="194"/>
      <c r="I19" s="194"/>
    </row>
    <row r="20" spans="1:9">
      <c r="A20" s="923"/>
      <c r="B20" s="925"/>
      <c r="C20" s="130" t="s">
        <v>31</v>
      </c>
      <c r="D20" s="337" t="str">
        <f>IF(E20='Parametre - Agendové IS'!H11,"OK","Chyba počtu podaní")</f>
        <v>OK</v>
      </c>
      <c r="E20" s="338">
        <f t="shared" si="0"/>
        <v>0</v>
      </c>
      <c r="F20" s="194"/>
      <c r="G20" s="194"/>
      <c r="H20" s="194"/>
      <c r="I20" s="194"/>
    </row>
    <row r="21" spans="1:9">
      <c r="A21" s="923"/>
      <c r="B21" s="925"/>
      <c r="C21" s="130" t="s">
        <v>32</v>
      </c>
      <c r="D21" s="337" t="str">
        <f>IF(E21='Parametre - Agendové IS'!H12,"OK","Chyba počtu podaní")</f>
        <v>OK</v>
      </c>
      <c r="E21" s="338">
        <f t="shared" si="0"/>
        <v>0</v>
      </c>
      <c r="F21" s="194"/>
      <c r="G21" s="194"/>
      <c r="H21" s="194"/>
      <c r="I21" s="194"/>
    </row>
    <row r="22" spans="1:9">
      <c r="A22" s="923"/>
      <c r="B22" s="925"/>
      <c r="C22" s="130" t="s">
        <v>33</v>
      </c>
      <c r="D22" s="337" t="str">
        <f>IF(E22='Parametre - Agendové IS'!H13,"OK","Chyba počtu podaní")</f>
        <v>OK</v>
      </c>
      <c r="E22" s="338">
        <f t="shared" si="0"/>
        <v>0</v>
      </c>
      <c r="F22" s="194"/>
      <c r="G22" s="194"/>
      <c r="H22" s="194"/>
      <c r="I22" s="194"/>
    </row>
    <row r="23" spans="1:9" ht="15.75" thickBot="1">
      <c r="A23" s="813"/>
      <c r="B23" s="926"/>
      <c r="C23" s="131" t="s">
        <v>34</v>
      </c>
      <c r="D23" s="337" t="str">
        <f>IF(E23='Parametre - Agendové IS'!H14,"OK","Chyba počtu podaní")</f>
        <v>OK</v>
      </c>
      <c r="E23" s="338">
        <f t="shared" si="0"/>
        <v>0</v>
      </c>
      <c r="F23" s="194"/>
      <c r="G23" s="194"/>
      <c r="H23" s="194"/>
      <c r="I23" s="194"/>
    </row>
    <row r="24" spans="1:9">
      <c r="A24" s="811" t="s">
        <v>39</v>
      </c>
      <c r="B24" s="924" t="s">
        <v>13</v>
      </c>
      <c r="C24" s="133" t="s">
        <v>25</v>
      </c>
      <c r="D24" s="336" t="str">
        <f>IF(E24='Parametre - Agendové IS'!H126,"OK","Chyba")</f>
        <v>OK</v>
      </c>
      <c r="E24" s="341">
        <f t="shared" si="0"/>
        <v>0</v>
      </c>
      <c r="F24" s="193"/>
      <c r="G24" s="193"/>
      <c r="H24" s="193"/>
      <c r="I24" s="193"/>
    </row>
    <row r="25" spans="1:9">
      <c r="A25" s="923"/>
      <c r="B25" s="925"/>
      <c r="C25" s="130" t="s">
        <v>26</v>
      </c>
      <c r="D25" s="337" t="str">
        <f>IF(E25='Parametre - Agendové IS'!H127,"OK","Chyba")</f>
        <v>OK</v>
      </c>
      <c r="E25" s="338">
        <f t="shared" si="0"/>
        <v>0</v>
      </c>
      <c r="F25" s="194"/>
      <c r="G25" s="194"/>
      <c r="H25" s="194"/>
      <c r="I25" s="194"/>
    </row>
    <row r="26" spans="1:9">
      <c r="A26" s="923"/>
      <c r="B26" s="925"/>
      <c r="C26" s="130" t="s">
        <v>27</v>
      </c>
      <c r="D26" s="337" t="str">
        <f>IF(E26='Parametre - Agendové IS'!H128,"OK","Chyba")</f>
        <v>OK</v>
      </c>
      <c r="E26" s="338">
        <f t="shared" si="0"/>
        <v>0</v>
      </c>
      <c r="F26" s="194"/>
      <c r="G26" s="194"/>
      <c r="H26" s="194"/>
      <c r="I26" s="194"/>
    </row>
    <row r="27" spans="1:9">
      <c r="A27" s="923"/>
      <c r="B27" s="925"/>
      <c r="C27" s="130" t="s">
        <v>28</v>
      </c>
      <c r="D27" s="337" t="str">
        <f>IF(E27='Parametre - Agendové IS'!H129,"OK","Chyba")</f>
        <v>OK</v>
      </c>
      <c r="E27" s="338">
        <f t="shared" si="0"/>
        <v>0</v>
      </c>
      <c r="F27" s="194"/>
      <c r="G27" s="194"/>
      <c r="H27" s="194"/>
      <c r="I27" s="194"/>
    </row>
    <row r="28" spans="1:9">
      <c r="A28" s="923"/>
      <c r="B28" s="925"/>
      <c r="C28" s="130" t="s">
        <v>29</v>
      </c>
      <c r="D28" s="337" t="str">
        <f>IF(E28='Parametre - Agendové IS'!H130,"OK","Chyba")</f>
        <v>OK</v>
      </c>
      <c r="E28" s="338">
        <f t="shared" si="0"/>
        <v>0</v>
      </c>
      <c r="F28" s="194"/>
      <c r="G28" s="194"/>
      <c r="H28" s="194"/>
      <c r="I28" s="194"/>
    </row>
    <row r="29" spans="1:9">
      <c r="A29" s="923"/>
      <c r="B29" s="925"/>
      <c r="C29" s="130" t="s">
        <v>30</v>
      </c>
      <c r="D29" s="337" t="str">
        <f>IF(E29='Parametre - Agendové IS'!H131,"OK","Chyba")</f>
        <v>OK</v>
      </c>
      <c r="E29" s="338">
        <f t="shared" si="0"/>
        <v>0</v>
      </c>
      <c r="F29" s="194"/>
      <c r="G29" s="194"/>
      <c r="H29" s="194"/>
      <c r="I29" s="194"/>
    </row>
    <row r="30" spans="1:9">
      <c r="A30" s="923"/>
      <c r="B30" s="925"/>
      <c r="C30" s="130" t="s">
        <v>31</v>
      </c>
      <c r="D30" s="337" t="str">
        <f>IF(E30='Parametre - Agendové IS'!H132,"OK","Chyba")</f>
        <v>OK</v>
      </c>
      <c r="E30" s="338">
        <f t="shared" si="0"/>
        <v>0</v>
      </c>
      <c r="F30" s="194"/>
      <c r="G30" s="194"/>
      <c r="H30" s="194"/>
      <c r="I30" s="194"/>
    </row>
    <row r="31" spans="1:9">
      <c r="A31" s="923"/>
      <c r="B31" s="925"/>
      <c r="C31" s="130" t="s">
        <v>32</v>
      </c>
      <c r="D31" s="337" t="str">
        <f>IF(E31='Parametre - Agendové IS'!H133,"OK","Chyba")</f>
        <v>OK</v>
      </c>
      <c r="E31" s="338">
        <f t="shared" si="0"/>
        <v>0</v>
      </c>
      <c r="F31" s="194"/>
      <c r="G31" s="194"/>
      <c r="H31" s="194"/>
      <c r="I31" s="194"/>
    </row>
    <row r="32" spans="1:9">
      <c r="A32" s="923"/>
      <c r="B32" s="925"/>
      <c r="C32" s="130" t="s">
        <v>33</v>
      </c>
      <c r="D32" s="337" t="str">
        <f>IF(E32='Parametre - Agendové IS'!H134,"OK","Chyba")</f>
        <v>OK</v>
      </c>
      <c r="E32" s="338">
        <f t="shared" si="0"/>
        <v>0</v>
      </c>
      <c r="F32" s="194"/>
      <c r="G32" s="194"/>
      <c r="H32" s="194"/>
      <c r="I32" s="194"/>
    </row>
    <row r="33" spans="1:9" ht="15.75" thickBot="1">
      <c r="A33" s="813"/>
      <c r="B33" s="926"/>
      <c r="C33" s="131" t="s">
        <v>34</v>
      </c>
      <c r="D33" s="337" t="str">
        <f>IF(E33='Parametre - Agendové IS'!H135,"OK","Chyba")</f>
        <v>OK</v>
      </c>
      <c r="E33" s="338">
        <f t="shared" si="0"/>
        <v>0</v>
      </c>
      <c r="F33" s="194"/>
      <c r="G33" s="194"/>
      <c r="H33" s="194"/>
      <c r="I33" s="194"/>
    </row>
    <row r="34" spans="1:9">
      <c r="A34" s="128"/>
      <c r="B34" s="129"/>
    </row>
    <row r="35" spans="1:9">
      <c r="A35" s="128"/>
      <c r="B35" s="129"/>
    </row>
    <row r="36" spans="1:9" ht="15.75" thickBot="1">
      <c r="A36" s="128"/>
      <c r="B36" s="129"/>
    </row>
    <row r="37" spans="1:9">
      <c r="A37" s="927" t="str">
        <f>'Parametre - Agendové IS'!BI2</f>
        <v>Správa registratúry</v>
      </c>
      <c r="B37" s="928"/>
      <c r="C37" s="929"/>
      <c r="D37" s="933" t="s">
        <v>102</v>
      </c>
      <c r="E37" s="934"/>
      <c r="F37" s="235" t="s">
        <v>122</v>
      </c>
      <c r="G37" s="235" t="s">
        <v>123</v>
      </c>
      <c r="H37" s="235" t="s">
        <v>124</v>
      </c>
      <c r="I37" s="235" t="s">
        <v>126</v>
      </c>
    </row>
    <row r="38" spans="1:9" ht="15.75" thickBot="1">
      <c r="A38" s="930"/>
      <c r="B38" s="931"/>
      <c r="C38" s="932"/>
      <c r="D38" s="333" t="s">
        <v>254</v>
      </c>
      <c r="E38" s="334" t="s">
        <v>125</v>
      </c>
      <c r="F38" s="132" t="s">
        <v>125</v>
      </c>
      <c r="G38" s="132" t="s">
        <v>125</v>
      </c>
      <c r="H38" s="132" t="s">
        <v>125</v>
      </c>
      <c r="I38" s="132" t="s">
        <v>125</v>
      </c>
    </row>
    <row r="39" spans="1:9">
      <c r="A39" s="811" t="s">
        <v>43</v>
      </c>
      <c r="B39" s="924" t="s">
        <v>143</v>
      </c>
      <c r="C39" s="133" t="s">
        <v>25</v>
      </c>
      <c r="D39" s="335" t="str">
        <f>IF(E39='Parametre - Agendové IS'!BJ86,"OK","Chyba počtu FTE")</f>
        <v>OK</v>
      </c>
      <c r="E39" s="336">
        <f t="shared" ref="E39:E68" si="1">F39+G39+H39+I39</f>
        <v>0</v>
      </c>
      <c r="F39" s="193"/>
      <c r="G39" s="193"/>
      <c r="H39" s="193"/>
      <c r="I39" s="193"/>
    </row>
    <row r="40" spans="1:9">
      <c r="A40" s="923"/>
      <c r="B40" s="925"/>
      <c r="C40" s="130" t="s">
        <v>26</v>
      </c>
      <c r="D40" s="337" t="str">
        <f>IF(E40='Parametre - Agendové IS'!BJ87,"OK","Chyba počtu FTE")</f>
        <v>OK</v>
      </c>
      <c r="E40" s="338">
        <f t="shared" si="1"/>
        <v>0</v>
      </c>
      <c r="F40" s="194"/>
      <c r="G40" s="194"/>
      <c r="H40" s="194"/>
      <c r="I40" s="194"/>
    </row>
    <row r="41" spans="1:9">
      <c r="A41" s="923"/>
      <c r="B41" s="925"/>
      <c r="C41" s="130" t="s">
        <v>27</v>
      </c>
      <c r="D41" s="337" t="str">
        <f>IF(E41='Parametre - Agendové IS'!BJ88,"OK","Chyba počtu FTE")</f>
        <v>OK</v>
      </c>
      <c r="E41" s="338">
        <f t="shared" si="1"/>
        <v>0</v>
      </c>
      <c r="F41" s="194"/>
      <c r="G41" s="194"/>
      <c r="H41" s="194"/>
      <c r="I41" s="194"/>
    </row>
    <row r="42" spans="1:9">
      <c r="A42" s="923"/>
      <c r="B42" s="925"/>
      <c r="C42" s="130" t="s">
        <v>28</v>
      </c>
      <c r="D42" s="337" t="str">
        <f>IF(E42='Parametre - Agendové IS'!BJ89,"OK","Chyba počtu FTE")</f>
        <v>OK</v>
      </c>
      <c r="E42" s="338">
        <f t="shared" si="1"/>
        <v>0</v>
      </c>
      <c r="F42" s="194"/>
      <c r="G42" s="194"/>
      <c r="H42" s="194"/>
      <c r="I42" s="194"/>
    </row>
    <row r="43" spans="1:9">
      <c r="A43" s="923"/>
      <c r="B43" s="925"/>
      <c r="C43" s="130" t="s">
        <v>29</v>
      </c>
      <c r="D43" s="337" t="str">
        <f>IF(E43='Parametre - Agendové IS'!BJ90,"OK","Chyba počtu FTE")</f>
        <v>OK</v>
      </c>
      <c r="E43" s="338">
        <f t="shared" si="1"/>
        <v>0</v>
      </c>
      <c r="F43" s="194"/>
      <c r="G43" s="194"/>
      <c r="H43" s="194"/>
      <c r="I43" s="194"/>
    </row>
    <row r="44" spans="1:9" ht="15" customHeight="1">
      <c r="A44" s="923"/>
      <c r="B44" s="925"/>
      <c r="C44" s="130" t="s">
        <v>30</v>
      </c>
      <c r="D44" s="337" t="str">
        <f>IF(E44='Parametre - Agendové IS'!BJ91,"OK","Chyba počtu FTE")</f>
        <v>OK</v>
      </c>
      <c r="E44" s="338">
        <f t="shared" si="1"/>
        <v>0</v>
      </c>
      <c r="F44" s="194"/>
      <c r="G44" s="194"/>
      <c r="H44" s="194"/>
      <c r="I44" s="194"/>
    </row>
    <row r="45" spans="1:9">
      <c r="A45" s="923"/>
      <c r="B45" s="925"/>
      <c r="C45" s="130" t="s">
        <v>31</v>
      </c>
      <c r="D45" s="337" t="str">
        <f>IF(E45='Parametre - Agendové IS'!BJ92,"OK","Chyba počtu FTE")</f>
        <v>OK</v>
      </c>
      <c r="E45" s="338">
        <f t="shared" si="1"/>
        <v>0</v>
      </c>
      <c r="F45" s="194"/>
      <c r="G45" s="194"/>
      <c r="H45" s="194"/>
      <c r="I45" s="194"/>
    </row>
    <row r="46" spans="1:9">
      <c r="A46" s="923"/>
      <c r="B46" s="925"/>
      <c r="C46" s="130" t="s">
        <v>32</v>
      </c>
      <c r="D46" s="337" t="str">
        <f>IF(E46='Parametre - Agendové IS'!BJ93,"OK","Chyba počtu FTE")</f>
        <v>OK</v>
      </c>
      <c r="E46" s="338">
        <f t="shared" si="1"/>
        <v>0</v>
      </c>
      <c r="F46" s="194"/>
      <c r="G46" s="194"/>
      <c r="H46" s="194"/>
      <c r="I46" s="194"/>
    </row>
    <row r="47" spans="1:9">
      <c r="A47" s="923"/>
      <c r="B47" s="925"/>
      <c r="C47" s="130" t="s">
        <v>33</v>
      </c>
      <c r="D47" s="337" t="str">
        <f>IF(E47='Parametre - Agendové IS'!BJ94,"OK","Chyba počtu FTE")</f>
        <v>OK</v>
      </c>
      <c r="E47" s="338">
        <f t="shared" si="1"/>
        <v>0</v>
      </c>
      <c r="F47" s="194"/>
      <c r="G47" s="194"/>
      <c r="H47" s="194"/>
      <c r="I47" s="194"/>
    </row>
    <row r="48" spans="1:9" ht="15.75" thickBot="1">
      <c r="A48" s="923"/>
      <c r="B48" s="925"/>
      <c r="C48" s="130" t="s">
        <v>34</v>
      </c>
      <c r="D48" s="339" t="str">
        <f>IF(E48='Parametre - Agendové IS'!BJ95,"OK","Chyba počtu FTE")</f>
        <v>OK</v>
      </c>
      <c r="E48" s="340">
        <f t="shared" si="1"/>
        <v>0</v>
      </c>
      <c r="F48" s="195"/>
      <c r="G48" s="195"/>
      <c r="H48" s="195"/>
      <c r="I48" s="195"/>
    </row>
    <row r="49" spans="1:9">
      <c r="A49" s="811" t="s">
        <v>41</v>
      </c>
      <c r="B49" s="924" t="s">
        <v>37</v>
      </c>
      <c r="C49" s="133" t="s">
        <v>25</v>
      </c>
      <c r="D49" s="336" t="str">
        <f>IF(E49='Parametre - Agendové IS'!BJ5,"OK","Chyba počtu podaní")</f>
        <v>OK</v>
      </c>
      <c r="E49" s="341">
        <f t="shared" si="1"/>
        <v>0</v>
      </c>
      <c r="F49" s="193"/>
      <c r="G49" s="193"/>
      <c r="H49" s="193"/>
      <c r="I49" s="193"/>
    </row>
    <row r="50" spans="1:9">
      <c r="A50" s="923"/>
      <c r="B50" s="925"/>
      <c r="C50" s="130" t="s">
        <v>26</v>
      </c>
      <c r="D50" s="337" t="str">
        <f>IF(E50='Parametre - Agendové IS'!BJ6,"OK","Chyba počtu podaní")</f>
        <v>OK</v>
      </c>
      <c r="E50" s="338">
        <f t="shared" si="1"/>
        <v>0</v>
      </c>
      <c r="F50" s="194"/>
      <c r="G50" s="194"/>
      <c r="H50" s="194"/>
      <c r="I50" s="194"/>
    </row>
    <row r="51" spans="1:9">
      <c r="A51" s="923"/>
      <c r="B51" s="925"/>
      <c r="C51" s="130" t="s">
        <v>27</v>
      </c>
      <c r="D51" s="337" t="str">
        <f>IF(E51='Parametre - Agendové IS'!BJ7,"OK","Chyba počtu podaní")</f>
        <v>OK</v>
      </c>
      <c r="E51" s="338">
        <f t="shared" si="1"/>
        <v>0</v>
      </c>
      <c r="F51" s="194"/>
      <c r="G51" s="194"/>
      <c r="H51" s="194"/>
      <c r="I51" s="194"/>
    </row>
    <row r="52" spans="1:9">
      <c r="A52" s="923"/>
      <c r="B52" s="925"/>
      <c r="C52" s="130" t="s">
        <v>28</v>
      </c>
      <c r="D52" s="337" t="str">
        <f>IF(E52='Parametre - Agendové IS'!BJ8,"OK","Chyba počtu podaní")</f>
        <v>OK</v>
      </c>
      <c r="E52" s="338">
        <f t="shared" si="1"/>
        <v>0</v>
      </c>
      <c r="F52" s="194"/>
      <c r="G52" s="194"/>
      <c r="H52" s="194"/>
      <c r="I52" s="194"/>
    </row>
    <row r="53" spans="1:9">
      <c r="A53" s="923"/>
      <c r="B53" s="925"/>
      <c r="C53" s="130" t="s">
        <v>29</v>
      </c>
      <c r="D53" s="337" t="str">
        <f>IF(E53='Parametre - Agendové IS'!BJ9,"OK","Chyba počtu podaní")</f>
        <v>OK</v>
      </c>
      <c r="E53" s="338">
        <f t="shared" si="1"/>
        <v>0</v>
      </c>
      <c r="F53" s="194"/>
      <c r="G53" s="194"/>
      <c r="H53" s="194"/>
      <c r="I53" s="194"/>
    </row>
    <row r="54" spans="1:9">
      <c r="A54" s="923"/>
      <c r="B54" s="925"/>
      <c r="C54" s="130" t="s">
        <v>30</v>
      </c>
      <c r="D54" s="337" t="str">
        <f>IF(E54='Parametre - Agendové IS'!BJ10,"OK","Chyba počtu podaní")</f>
        <v>OK</v>
      </c>
      <c r="E54" s="338">
        <f t="shared" si="1"/>
        <v>0</v>
      </c>
      <c r="F54" s="194"/>
      <c r="G54" s="194"/>
      <c r="H54" s="194"/>
      <c r="I54" s="194"/>
    </row>
    <row r="55" spans="1:9">
      <c r="A55" s="923"/>
      <c r="B55" s="925"/>
      <c r="C55" s="130" t="s">
        <v>31</v>
      </c>
      <c r="D55" s="337" t="str">
        <f>IF(E55='Parametre - Agendové IS'!BJ11,"OK","Chyba počtu podaní")</f>
        <v>OK</v>
      </c>
      <c r="E55" s="338">
        <f t="shared" si="1"/>
        <v>0</v>
      </c>
      <c r="F55" s="194"/>
      <c r="G55" s="194"/>
      <c r="H55" s="194"/>
      <c r="I55" s="194"/>
    </row>
    <row r="56" spans="1:9">
      <c r="A56" s="923"/>
      <c r="B56" s="925"/>
      <c r="C56" s="130" t="s">
        <v>32</v>
      </c>
      <c r="D56" s="337" t="str">
        <f>IF(E56='Parametre - Agendové IS'!BJ12,"OK","Chyba počtu podaní")</f>
        <v>OK</v>
      </c>
      <c r="E56" s="338">
        <f t="shared" si="1"/>
        <v>0</v>
      </c>
      <c r="F56" s="194"/>
      <c r="G56" s="194"/>
      <c r="H56" s="194"/>
      <c r="I56" s="194"/>
    </row>
    <row r="57" spans="1:9">
      <c r="A57" s="923"/>
      <c r="B57" s="925"/>
      <c r="C57" s="130" t="s">
        <v>33</v>
      </c>
      <c r="D57" s="337" t="str">
        <f>IF(E57='Parametre - Agendové IS'!BJ13,"OK","Chyba počtu podaní")</f>
        <v>OK</v>
      </c>
      <c r="E57" s="338">
        <f t="shared" si="1"/>
        <v>0</v>
      </c>
      <c r="F57" s="194"/>
      <c r="G57" s="194"/>
      <c r="H57" s="194"/>
      <c r="I57" s="194"/>
    </row>
    <row r="58" spans="1:9" ht="15.75" thickBot="1">
      <c r="A58" s="813"/>
      <c r="B58" s="926"/>
      <c r="C58" s="131" t="s">
        <v>34</v>
      </c>
      <c r="D58" s="337" t="str">
        <f>IF(E58='Parametre - Agendové IS'!BJ14,"OK","Chyba počtu podaní")</f>
        <v>OK</v>
      </c>
      <c r="E58" s="338">
        <f t="shared" si="1"/>
        <v>0</v>
      </c>
      <c r="F58" s="194"/>
      <c r="G58" s="194"/>
      <c r="H58" s="194"/>
      <c r="I58" s="194"/>
    </row>
    <row r="59" spans="1:9">
      <c r="A59" s="811" t="s">
        <v>39</v>
      </c>
      <c r="B59" s="924" t="s">
        <v>13</v>
      </c>
      <c r="C59" s="133" t="s">
        <v>25</v>
      </c>
      <c r="D59" s="336" t="str">
        <f>IF(E59='Parametre - Agendové IS'!BJ126,"OK","Chyba")</f>
        <v>OK</v>
      </c>
      <c r="E59" s="341">
        <f t="shared" si="1"/>
        <v>0</v>
      </c>
      <c r="F59" s="193"/>
      <c r="G59" s="193"/>
      <c r="H59" s="193"/>
      <c r="I59" s="193"/>
    </row>
    <row r="60" spans="1:9">
      <c r="A60" s="923"/>
      <c r="B60" s="925"/>
      <c r="C60" s="130" t="s">
        <v>26</v>
      </c>
      <c r="D60" s="337" t="str">
        <f>IF(E60='Parametre - Agendové IS'!BJ127,"OK","Chyba")</f>
        <v>OK</v>
      </c>
      <c r="E60" s="338">
        <f t="shared" si="1"/>
        <v>0</v>
      </c>
      <c r="F60" s="194"/>
      <c r="G60" s="194"/>
      <c r="H60" s="194"/>
      <c r="I60" s="194"/>
    </row>
    <row r="61" spans="1:9">
      <c r="A61" s="923"/>
      <c r="B61" s="925"/>
      <c r="C61" s="130" t="s">
        <v>27</v>
      </c>
      <c r="D61" s="337" t="str">
        <f>IF(E61='Parametre - Agendové IS'!BJ128,"OK","Chyba")</f>
        <v>OK</v>
      </c>
      <c r="E61" s="338">
        <f t="shared" si="1"/>
        <v>0</v>
      </c>
      <c r="F61" s="194"/>
      <c r="G61" s="194"/>
      <c r="H61" s="194"/>
      <c r="I61" s="194"/>
    </row>
    <row r="62" spans="1:9">
      <c r="A62" s="923"/>
      <c r="B62" s="925"/>
      <c r="C62" s="130" t="s">
        <v>28</v>
      </c>
      <c r="D62" s="337" t="str">
        <f>IF(E62='Parametre - Agendové IS'!BJ129,"OK","Chyba")</f>
        <v>OK</v>
      </c>
      <c r="E62" s="338">
        <f t="shared" si="1"/>
        <v>0</v>
      </c>
      <c r="F62" s="194"/>
      <c r="G62" s="194"/>
      <c r="H62" s="194"/>
      <c r="I62" s="194"/>
    </row>
    <row r="63" spans="1:9">
      <c r="A63" s="923"/>
      <c r="B63" s="925"/>
      <c r="C63" s="130" t="s">
        <v>29</v>
      </c>
      <c r="D63" s="337" t="str">
        <f>IF(E63='Parametre - Agendové IS'!BJ130,"OK","Chyba")</f>
        <v>OK</v>
      </c>
      <c r="E63" s="338">
        <f t="shared" si="1"/>
        <v>0</v>
      </c>
      <c r="F63" s="194"/>
      <c r="G63" s="194"/>
      <c r="H63" s="194"/>
      <c r="I63" s="194"/>
    </row>
    <row r="64" spans="1:9">
      <c r="A64" s="923"/>
      <c r="B64" s="925"/>
      <c r="C64" s="130" t="s">
        <v>30</v>
      </c>
      <c r="D64" s="337" t="str">
        <f>IF(E64='Parametre - Agendové IS'!BJ131,"OK","Chyba")</f>
        <v>OK</v>
      </c>
      <c r="E64" s="338">
        <f t="shared" si="1"/>
        <v>0</v>
      </c>
      <c r="F64" s="194"/>
      <c r="G64" s="194"/>
      <c r="H64" s="194"/>
      <c r="I64" s="194"/>
    </row>
    <row r="65" spans="1:9">
      <c r="A65" s="923"/>
      <c r="B65" s="925"/>
      <c r="C65" s="130" t="s">
        <v>31</v>
      </c>
      <c r="D65" s="337" t="str">
        <f>IF(E65='Parametre - Agendové IS'!BJ132,"OK","Chyba")</f>
        <v>OK</v>
      </c>
      <c r="E65" s="338">
        <f t="shared" si="1"/>
        <v>0</v>
      </c>
      <c r="F65" s="194"/>
      <c r="G65" s="194"/>
      <c r="H65" s="194"/>
      <c r="I65" s="194"/>
    </row>
    <row r="66" spans="1:9">
      <c r="A66" s="923"/>
      <c r="B66" s="925"/>
      <c r="C66" s="130" t="s">
        <v>32</v>
      </c>
      <c r="D66" s="337" t="str">
        <f>IF(E66='Parametre - Agendové IS'!BJ133,"OK","Chyba")</f>
        <v>OK</v>
      </c>
      <c r="E66" s="338">
        <f t="shared" si="1"/>
        <v>0</v>
      </c>
      <c r="F66" s="194"/>
      <c r="G66" s="194"/>
      <c r="H66" s="194"/>
      <c r="I66" s="194"/>
    </row>
    <row r="67" spans="1:9">
      <c r="A67" s="923"/>
      <c r="B67" s="925"/>
      <c r="C67" s="130" t="s">
        <v>33</v>
      </c>
      <c r="D67" s="337" t="str">
        <f>IF(E67='Parametre - Agendové IS'!BJ134,"OK","Chyba")</f>
        <v>OK</v>
      </c>
      <c r="E67" s="338">
        <f t="shared" si="1"/>
        <v>0</v>
      </c>
      <c r="F67" s="194"/>
      <c r="G67" s="194"/>
      <c r="H67" s="194"/>
      <c r="I67" s="194"/>
    </row>
    <row r="68" spans="1:9" ht="15.75" thickBot="1">
      <c r="A68" s="813"/>
      <c r="B68" s="926"/>
      <c r="C68" s="131" t="s">
        <v>34</v>
      </c>
      <c r="D68" s="337" t="str">
        <f>IF(E68='Parametre - Agendové IS'!BJ135,"OK","Chyba")</f>
        <v>OK</v>
      </c>
      <c r="E68" s="338">
        <f t="shared" si="1"/>
        <v>0</v>
      </c>
      <c r="F68" s="194"/>
      <c r="G68" s="194"/>
      <c r="H68" s="194"/>
      <c r="I68" s="194"/>
    </row>
    <row r="71" spans="1:9" ht="15.75" thickBot="1"/>
    <row r="72" spans="1:9">
      <c r="A72" s="927">
        <f>'Parametre - Agendové IS'!BL2</f>
        <v>0</v>
      </c>
      <c r="B72" s="928"/>
      <c r="C72" s="929"/>
      <c r="D72" s="933" t="s">
        <v>102</v>
      </c>
      <c r="E72" s="934"/>
      <c r="F72" s="235" t="s">
        <v>122</v>
      </c>
      <c r="G72" s="235" t="s">
        <v>123</v>
      </c>
      <c r="H72" s="235" t="s">
        <v>124</v>
      </c>
      <c r="I72" s="235" t="s">
        <v>126</v>
      </c>
    </row>
    <row r="73" spans="1:9" ht="15.75" thickBot="1">
      <c r="A73" s="930"/>
      <c r="B73" s="931"/>
      <c r="C73" s="932"/>
      <c r="D73" s="333" t="s">
        <v>254</v>
      </c>
      <c r="E73" s="334" t="s">
        <v>125</v>
      </c>
      <c r="F73" s="132" t="s">
        <v>125</v>
      </c>
      <c r="G73" s="132" t="s">
        <v>125</v>
      </c>
      <c r="H73" s="132" t="s">
        <v>125</v>
      </c>
      <c r="I73" s="132" t="s">
        <v>125</v>
      </c>
    </row>
    <row r="74" spans="1:9">
      <c r="A74" s="811" t="s">
        <v>43</v>
      </c>
      <c r="B74" s="924" t="s">
        <v>143</v>
      </c>
      <c r="C74" s="133" t="s">
        <v>25</v>
      </c>
      <c r="D74" s="335" t="str">
        <f>IF(E74='Parametre - Agendové IS'!BM86,"OK","Chyba počtu FTE")</f>
        <v>OK</v>
      </c>
      <c r="E74" s="336">
        <f t="shared" ref="E74:E103" si="2">F74+G74+H74+I74</f>
        <v>0</v>
      </c>
      <c r="F74" s="193"/>
      <c r="G74" s="193"/>
      <c r="H74" s="193"/>
      <c r="I74" s="193"/>
    </row>
    <row r="75" spans="1:9">
      <c r="A75" s="923"/>
      <c r="B75" s="925"/>
      <c r="C75" s="130" t="s">
        <v>26</v>
      </c>
      <c r="D75" s="337" t="str">
        <f>IF(E75='Parametre - Agendové IS'!BM87,"OK","Chyba počtu FTE")</f>
        <v>OK</v>
      </c>
      <c r="E75" s="338">
        <f t="shared" si="2"/>
        <v>0</v>
      </c>
      <c r="F75" s="194"/>
      <c r="G75" s="194"/>
      <c r="H75" s="194"/>
      <c r="I75" s="194"/>
    </row>
    <row r="76" spans="1:9">
      <c r="A76" s="923"/>
      <c r="B76" s="925"/>
      <c r="C76" s="130" t="s">
        <v>27</v>
      </c>
      <c r="D76" s="337" t="str">
        <f>IF(E76='Parametre - Agendové IS'!BM88,"OK","Chyba počtu FTE")</f>
        <v>OK</v>
      </c>
      <c r="E76" s="338">
        <f t="shared" si="2"/>
        <v>0</v>
      </c>
      <c r="F76" s="194"/>
      <c r="G76" s="194"/>
      <c r="H76" s="194"/>
      <c r="I76" s="194"/>
    </row>
    <row r="77" spans="1:9">
      <c r="A77" s="923"/>
      <c r="B77" s="925"/>
      <c r="C77" s="130" t="s">
        <v>28</v>
      </c>
      <c r="D77" s="337" t="str">
        <f>IF(E77='Parametre - Agendové IS'!BM89,"OK","Chyba počtu FTE")</f>
        <v>OK</v>
      </c>
      <c r="E77" s="338">
        <f t="shared" si="2"/>
        <v>0</v>
      </c>
      <c r="F77" s="194"/>
      <c r="G77" s="194"/>
      <c r="H77" s="194"/>
      <c r="I77" s="194"/>
    </row>
    <row r="78" spans="1:9">
      <c r="A78" s="923"/>
      <c r="B78" s="925"/>
      <c r="C78" s="130" t="s">
        <v>29</v>
      </c>
      <c r="D78" s="337" t="str">
        <f>IF(E78='Parametre - Agendové IS'!BM90,"OK","Chyba počtu FTE")</f>
        <v>OK</v>
      </c>
      <c r="E78" s="338">
        <f t="shared" si="2"/>
        <v>0</v>
      </c>
      <c r="F78" s="194"/>
      <c r="G78" s="194"/>
      <c r="H78" s="194"/>
      <c r="I78" s="194"/>
    </row>
    <row r="79" spans="1:9">
      <c r="A79" s="923"/>
      <c r="B79" s="925"/>
      <c r="C79" s="130" t="s">
        <v>30</v>
      </c>
      <c r="D79" s="337" t="str">
        <f>IF(E79='Parametre - Agendové IS'!BM91,"OK","Chyba počtu FTE")</f>
        <v>OK</v>
      </c>
      <c r="E79" s="338">
        <f t="shared" si="2"/>
        <v>0</v>
      </c>
      <c r="F79" s="194"/>
      <c r="G79" s="194"/>
      <c r="H79" s="194"/>
      <c r="I79" s="194"/>
    </row>
    <row r="80" spans="1:9">
      <c r="A80" s="923"/>
      <c r="B80" s="925"/>
      <c r="C80" s="130" t="s">
        <v>31</v>
      </c>
      <c r="D80" s="337" t="str">
        <f>IF(E80='Parametre - Agendové IS'!BM92,"OK","Chyba počtu FTE")</f>
        <v>OK</v>
      </c>
      <c r="E80" s="338">
        <f t="shared" si="2"/>
        <v>0</v>
      </c>
      <c r="F80" s="194"/>
      <c r="G80" s="194"/>
      <c r="H80" s="194"/>
      <c r="I80" s="194"/>
    </row>
    <row r="81" spans="1:9">
      <c r="A81" s="923"/>
      <c r="B81" s="925"/>
      <c r="C81" s="130" t="s">
        <v>32</v>
      </c>
      <c r="D81" s="337" t="str">
        <f>IF(E81='Parametre - Agendové IS'!BM93,"OK","Chyba počtu FTE")</f>
        <v>OK</v>
      </c>
      <c r="E81" s="338">
        <f t="shared" si="2"/>
        <v>0</v>
      </c>
      <c r="F81" s="194"/>
      <c r="G81" s="194"/>
      <c r="H81" s="194"/>
      <c r="I81" s="194"/>
    </row>
    <row r="82" spans="1:9">
      <c r="A82" s="923"/>
      <c r="B82" s="925"/>
      <c r="C82" s="130" t="s">
        <v>33</v>
      </c>
      <c r="D82" s="337" t="str">
        <f>IF(E82='Parametre - Agendové IS'!BM94,"OK","Chyba počtu FTE")</f>
        <v>OK</v>
      </c>
      <c r="E82" s="338">
        <f t="shared" si="2"/>
        <v>0</v>
      </c>
      <c r="F82" s="194"/>
      <c r="G82" s="194"/>
      <c r="H82" s="194"/>
      <c r="I82" s="194"/>
    </row>
    <row r="83" spans="1:9" ht="15.75" thickBot="1">
      <c r="A83" s="923"/>
      <c r="B83" s="925"/>
      <c r="C83" s="130" t="s">
        <v>34</v>
      </c>
      <c r="D83" s="339" t="str">
        <f>IF(E83='Parametre - Agendové IS'!BM95,"OK","Chyba počtu FTE")</f>
        <v>OK</v>
      </c>
      <c r="E83" s="340">
        <f t="shared" si="2"/>
        <v>0</v>
      </c>
      <c r="F83" s="195"/>
      <c r="G83" s="195"/>
      <c r="H83" s="195"/>
      <c r="I83" s="195"/>
    </row>
    <row r="84" spans="1:9">
      <c r="A84" s="811" t="s">
        <v>41</v>
      </c>
      <c r="B84" s="924" t="s">
        <v>37</v>
      </c>
      <c r="C84" s="133" t="s">
        <v>25</v>
      </c>
      <c r="D84" s="336" t="str">
        <f>IF(E84='Parametre - Agendové IS'!BM5,"OK","Chyba počtu podaní")</f>
        <v>OK</v>
      </c>
      <c r="E84" s="341">
        <f t="shared" si="2"/>
        <v>0</v>
      </c>
      <c r="F84" s="193"/>
      <c r="G84" s="193"/>
      <c r="H84" s="193"/>
      <c r="I84" s="193"/>
    </row>
    <row r="85" spans="1:9">
      <c r="A85" s="923"/>
      <c r="B85" s="925"/>
      <c r="C85" s="130" t="s">
        <v>26</v>
      </c>
      <c r="D85" s="337" t="str">
        <f>IF(E85='Parametre - Agendové IS'!BM6,"OK","Chyba počtu podaní")</f>
        <v>OK</v>
      </c>
      <c r="E85" s="338">
        <f t="shared" si="2"/>
        <v>0</v>
      </c>
      <c r="F85" s="194"/>
      <c r="G85" s="194"/>
      <c r="H85" s="194"/>
      <c r="I85" s="194"/>
    </row>
    <row r="86" spans="1:9">
      <c r="A86" s="923"/>
      <c r="B86" s="925"/>
      <c r="C86" s="130" t="s">
        <v>27</v>
      </c>
      <c r="D86" s="337" t="str">
        <f>IF(E86='Parametre - Agendové IS'!BM7,"OK","Chyba počtu podaní")</f>
        <v>OK</v>
      </c>
      <c r="E86" s="338">
        <f t="shared" si="2"/>
        <v>0</v>
      </c>
      <c r="F86" s="194"/>
      <c r="G86" s="194"/>
      <c r="H86" s="194"/>
      <c r="I86" s="194"/>
    </row>
    <row r="87" spans="1:9">
      <c r="A87" s="923"/>
      <c r="B87" s="925"/>
      <c r="C87" s="130" t="s">
        <v>28</v>
      </c>
      <c r="D87" s="337" t="str">
        <f>IF(E87='Parametre - Agendové IS'!BM8,"OK","Chyba počtu podaní")</f>
        <v>OK</v>
      </c>
      <c r="E87" s="338">
        <f t="shared" si="2"/>
        <v>0</v>
      </c>
      <c r="F87" s="194"/>
      <c r="G87" s="194"/>
      <c r="H87" s="194"/>
      <c r="I87" s="194"/>
    </row>
    <row r="88" spans="1:9">
      <c r="A88" s="923"/>
      <c r="B88" s="925"/>
      <c r="C88" s="130" t="s">
        <v>29</v>
      </c>
      <c r="D88" s="337" t="str">
        <f>IF(E88='Parametre - Agendové IS'!BM9,"OK","Chyba počtu podaní")</f>
        <v>OK</v>
      </c>
      <c r="E88" s="338">
        <f t="shared" si="2"/>
        <v>0</v>
      </c>
      <c r="F88" s="194"/>
      <c r="G88" s="194"/>
      <c r="H88" s="194"/>
      <c r="I88" s="194"/>
    </row>
    <row r="89" spans="1:9">
      <c r="A89" s="923"/>
      <c r="B89" s="925"/>
      <c r="C89" s="130" t="s">
        <v>30</v>
      </c>
      <c r="D89" s="337" t="str">
        <f>IF(E89='Parametre - Agendové IS'!BM10,"OK","Chyba počtu podaní")</f>
        <v>OK</v>
      </c>
      <c r="E89" s="338">
        <f t="shared" si="2"/>
        <v>0</v>
      </c>
      <c r="F89" s="194"/>
      <c r="G89" s="194"/>
      <c r="H89" s="194"/>
      <c r="I89" s="194"/>
    </row>
    <row r="90" spans="1:9">
      <c r="A90" s="923"/>
      <c r="B90" s="925"/>
      <c r="C90" s="130" t="s">
        <v>31</v>
      </c>
      <c r="D90" s="337" t="str">
        <f>IF(E90='Parametre - Agendové IS'!BM11,"OK","Chyba počtu podaní")</f>
        <v>OK</v>
      </c>
      <c r="E90" s="338">
        <f t="shared" si="2"/>
        <v>0</v>
      </c>
      <c r="F90" s="194"/>
      <c r="G90" s="194"/>
      <c r="H90" s="194"/>
      <c r="I90" s="194"/>
    </row>
    <row r="91" spans="1:9">
      <c r="A91" s="923"/>
      <c r="B91" s="925"/>
      <c r="C91" s="130" t="s">
        <v>32</v>
      </c>
      <c r="D91" s="337" t="str">
        <f>IF(E91='Parametre - Agendové IS'!BM12,"OK","Chyba počtu podaní")</f>
        <v>OK</v>
      </c>
      <c r="E91" s="338">
        <f t="shared" si="2"/>
        <v>0</v>
      </c>
      <c r="F91" s="194"/>
      <c r="G91" s="194"/>
      <c r="H91" s="194"/>
      <c r="I91" s="194"/>
    </row>
    <row r="92" spans="1:9">
      <c r="A92" s="923"/>
      <c r="B92" s="925"/>
      <c r="C92" s="130" t="s">
        <v>33</v>
      </c>
      <c r="D92" s="337" t="str">
        <f>IF(E92='Parametre - Agendové IS'!BM13,"OK","Chyba počtu podaní")</f>
        <v>OK</v>
      </c>
      <c r="E92" s="338">
        <f t="shared" si="2"/>
        <v>0</v>
      </c>
      <c r="F92" s="194"/>
      <c r="G92" s="194"/>
      <c r="H92" s="194"/>
      <c r="I92" s="194"/>
    </row>
    <row r="93" spans="1:9" ht="15.75" thickBot="1">
      <c r="A93" s="813"/>
      <c r="B93" s="926"/>
      <c r="C93" s="131" t="s">
        <v>34</v>
      </c>
      <c r="D93" s="337" t="str">
        <f>IF(E93='Parametre - Agendové IS'!BM14,"OK","Chyba počtu podaní")</f>
        <v>OK</v>
      </c>
      <c r="E93" s="338">
        <f t="shared" si="2"/>
        <v>0</v>
      </c>
      <c r="F93" s="194"/>
      <c r="G93" s="194"/>
      <c r="H93" s="194"/>
      <c r="I93" s="194"/>
    </row>
    <row r="94" spans="1:9">
      <c r="A94" s="811" t="s">
        <v>39</v>
      </c>
      <c r="B94" s="924" t="s">
        <v>13</v>
      </c>
      <c r="C94" s="133" t="s">
        <v>25</v>
      </c>
      <c r="D94" s="336" t="str">
        <f>IF(E94='Parametre - Agendové IS'!BM126,"OK","Chyba")</f>
        <v>OK</v>
      </c>
      <c r="E94" s="341">
        <f t="shared" si="2"/>
        <v>0</v>
      </c>
      <c r="F94" s="193"/>
      <c r="G94" s="193"/>
      <c r="H94" s="193"/>
      <c r="I94" s="193"/>
    </row>
    <row r="95" spans="1:9">
      <c r="A95" s="923"/>
      <c r="B95" s="925"/>
      <c r="C95" s="130" t="s">
        <v>26</v>
      </c>
      <c r="D95" s="337" t="str">
        <f>IF(E95='Parametre - Agendové IS'!BM127,"OK","Chyba")</f>
        <v>OK</v>
      </c>
      <c r="E95" s="338">
        <f t="shared" si="2"/>
        <v>0</v>
      </c>
      <c r="F95" s="194"/>
      <c r="G95" s="194"/>
      <c r="H95" s="194"/>
      <c r="I95" s="194"/>
    </row>
    <row r="96" spans="1:9">
      <c r="A96" s="923"/>
      <c r="B96" s="925"/>
      <c r="C96" s="130" t="s">
        <v>27</v>
      </c>
      <c r="D96" s="337" t="str">
        <f>IF(E96='Parametre - Agendové IS'!BM128,"OK","Chyba")</f>
        <v>OK</v>
      </c>
      <c r="E96" s="338">
        <f t="shared" si="2"/>
        <v>0</v>
      </c>
      <c r="F96" s="194"/>
      <c r="G96" s="194"/>
      <c r="H96" s="194"/>
      <c r="I96" s="194"/>
    </row>
    <row r="97" spans="1:9">
      <c r="A97" s="923"/>
      <c r="B97" s="925"/>
      <c r="C97" s="130" t="s">
        <v>28</v>
      </c>
      <c r="D97" s="337" t="str">
        <f>IF(E97='Parametre - Agendové IS'!BM129,"OK","Chyba")</f>
        <v>OK</v>
      </c>
      <c r="E97" s="338">
        <f t="shared" si="2"/>
        <v>0</v>
      </c>
      <c r="F97" s="194"/>
      <c r="G97" s="194"/>
      <c r="H97" s="194"/>
      <c r="I97" s="194"/>
    </row>
    <row r="98" spans="1:9">
      <c r="A98" s="923"/>
      <c r="B98" s="925"/>
      <c r="C98" s="130" t="s">
        <v>29</v>
      </c>
      <c r="D98" s="337" t="str">
        <f>IF(E98='Parametre - Agendové IS'!BM130,"OK","Chyba")</f>
        <v>OK</v>
      </c>
      <c r="E98" s="338">
        <f t="shared" si="2"/>
        <v>0</v>
      </c>
      <c r="F98" s="194"/>
      <c r="G98" s="194"/>
      <c r="H98" s="194"/>
      <c r="I98" s="194"/>
    </row>
    <row r="99" spans="1:9">
      <c r="A99" s="923"/>
      <c r="B99" s="925"/>
      <c r="C99" s="130" t="s">
        <v>30</v>
      </c>
      <c r="D99" s="337" t="str">
        <f>IF(E99='Parametre - Agendové IS'!BM131,"OK","Chyba")</f>
        <v>OK</v>
      </c>
      <c r="E99" s="338">
        <f t="shared" si="2"/>
        <v>0</v>
      </c>
      <c r="F99" s="194"/>
      <c r="G99" s="194"/>
      <c r="H99" s="194"/>
      <c r="I99" s="194"/>
    </row>
    <row r="100" spans="1:9">
      <c r="A100" s="923"/>
      <c r="B100" s="925"/>
      <c r="C100" s="130" t="s">
        <v>31</v>
      </c>
      <c r="D100" s="337" t="str">
        <f>IF(E100='Parametre - Agendové IS'!BM132,"OK","Chyba")</f>
        <v>OK</v>
      </c>
      <c r="E100" s="338">
        <f t="shared" si="2"/>
        <v>0</v>
      </c>
      <c r="F100" s="194"/>
      <c r="G100" s="194"/>
      <c r="H100" s="194"/>
      <c r="I100" s="194"/>
    </row>
    <row r="101" spans="1:9">
      <c r="A101" s="923"/>
      <c r="B101" s="925"/>
      <c r="C101" s="130" t="s">
        <v>32</v>
      </c>
      <c r="D101" s="337" t="str">
        <f>IF(E101='Parametre - Agendové IS'!BM133,"OK","Chyba")</f>
        <v>OK</v>
      </c>
      <c r="E101" s="338">
        <f t="shared" si="2"/>
        <v>0</v>
      </c>
      <c r="F101" s="194"/>
      <c r="G101" s="194"/>
      <c r="H101" s="194"/>
      <c r="I101" s="194"/>
    </row>
    <row r="102" spans="1:9">
      <c r="A102" s="923"/>
      <c r="B102" s="925"/>
      <c r="C102" s="130" t="s">
        <v>33</v>
      </c>
      <c r="D102" s="337" t="str">
        <f>IF(E102='Parametre - Agendové IS'!BM134,"OK","Chyba")</f>
        <v>OK</v>
      </c>
      <c r="E102" s="338">
        <f t="shared" si="2"/>
        <v>0</v>
      </c>
      <c r="F102" s="194"/>
      <c r="G102" s="194"/>
      <c r="H102" s="194"/>
      <c r="I102" s="194"/>
    </row>
    <row r="103" spans="1:9" ht="15.75" thickBot="1">
      <c r="A103" s="813"/>
      <c r="B103" s="926"/>
      <c r="C103" s="131" t="s">
        <v>34</v>
      </c>
      <c r="D103" s="337" t="str">
        <f>IF(E103='Parametre - Agendové IS'!BM135,"OK","Chyba")</f>
        <v>OK</v>
      </c>
      <c r="E103" s="338">
        <f t="shared" si="2"/>
        <v>0</v>
      </c>
      <c r="F103" s="194"/>
      <c r="G103" s="194"/>
      <c r="H103" s="194"/>
      <c r="I103" s="194"/>
    </row>
    <row r="106" spans="1:9" ht="15.75" thickBot="1"/>
    <row r="107" spans="1:9">
      <c r="A107" s="927">
        <f>'Parametre - Agendové IS'!BO2</f>
        <v>0</v>
      </c>
      <c r="B107" s="928"/>
      <c r="C107" s="929"/>
      <c r="D107" s="933" t="s">
        <v>102</v>
      </c>
      <c r="E107" s="934"/>
      <c r="F107" s="235" t="s">
        <v>122</v>
      </c>
      <c r="G107" s="235" t="s">
        <v>123</v>
      </c>
      <c r="H107" s="235" t="s">
        <v>124</v>
      </c>
      <c r="I107" s="235" t="s">
        <v>126</v>
      </c>
    </row>
    <row r="108" spans="1:9" ht="15.75" thickBot="1">
      <c r="A108" s="930"/>
      <c r="B108" s="931"/>
      <c r="C108" s="932"/>
      <c r="D108" s="333" t="s">
        <v>254</v>
      </c>
      <c r="E108" s="334" t="s">
        <v>125</v>
      </c>
      <c r="F108" s="132" t="s">
        <v>125</v>
      </c>
      <c r="G108" s="132" t="s">
        <v>125</v>
      </c>
      <c r="H108" s="132" t="s">
        <v>125</v>
      </c>
      <c r="I108" s="132" t="s">
        <v>125</v>
      </c>
    </row>
    <row r="109" spans="1:9">
      <c r="A109" s="811" t="s">
        <v>43</v>
      </c>
      <c r="B109" s="924" t="s">
        <v>143</v>
      </c>
      <c r="C109" s="133" t="s">
        <v>25</v>
      </c>
      <c r="D109" s="335" t="str">
        <f>IF(E109='Parametre - Agendové IS'!BP86,"OK","Chyba počtu FTE")</f>
        <v>OK</v>
      </c>
      <c r="E109" s="336">
        <f t="shared" ref="E109:E138" si="3">F109+G109+H109+I109</f>
        <v>0</v>
      </c>
      <c r="F109" s="193"/>
      <c r="G109" s="193"/>
      <c r="H109" s="193"/>
      <c r="I109" s="193"/>
    </row>
    <row r="110" spans="1:9">
      <c r="A110" s="923"/>
      <c r="B110" s="925"/>
      <c r="C110" s="130" t="s">
        <v>26</v>
      </c>
      <c r="D110" s="337" t="str">
        <f>IF(E110='Parametre - Agendové IS'!BP87,"OK","Chyba počtu FTE")</f>
        <v>OK</v>
      </c>
      <c r="E110" s="338">
        <f t="shared" si="3"/>
        <v>0</v>
      </c>
      <c r="F110" s="194"/>
      <c r="G110" s="194"/>
      <c r="H110" s="194"/>
      <c r="I110" s="194"/>
    </row>
    <row r="111" spans="1:9">
      <c r="A111" s="923"/>
      <c r="B111" s="925"/>
      <c r="C111" s="130" t="s">
        <v>27</v>
      </c>
      <c r="D111" s="337" t="str">
        <f>IF(E111='Parametre - Agendové IS'!BP88,"OK","Chyba počtu FTE")</f>
        <v>OK</v>
      </c>
      <c r="E111" s="338">
        <f t="shared" si="3"/>
        <v>0</v>
      </c>
      <c r="F111" s="194"/>
      <c r="G111" s="194"/>
      <c r="H111" s="194"/>
      <c r="I111" s="194"/>
    </row>
    <row r="112" spans="1:9">
      <c r="A112" s="923"/>
      <c r="B112" s="925"/>
      <c r="C112" s="130" t="s">
        <v>28</v>
      </c>
      <c r="D112" s="337" t="str">
        <f>IF(E112='Parametre - Agendové IS'!BP89,"OK","Chyba počtu FTE")</f>
        <v>OK</v>
      </c>
      <c r="E112" s="338">
        <f t="shared" si="3"/>
        <v>0</v>
      </c>
      <c r="F112" s="194"/>
      <c r="G112" s="194"/>
      <c r="H112" s="194"/>
      <c r="I112" s="194"/>
    </row>
    <row r="113" spans="1:9">
      <c r="A113" s="923"/>
      <c r="B113" s="925"/>
      <c r="C113" s="130" t="s">
        <v>29</v>
      </c>
      <c r="D113" s="337" t="str">
        <f>IF(E113='Parametre - Agendové IS'!BP90,"OK","Chyba počtu FTE")</f>
        <v>OK</v>
      </c>
      <c r="E113" s="338">
        <f t="shared" si="3"/>
        <v>0</v>
      </c>
      <c r="F113" s="194"/>
      <c r="G113" s="194"/>
      <c r="H113" s="194"/>
      <c r="I113" s="194"/>
    </row>
    <row r="114" spans="1:9">
      <c r="A114" s="923"/>
      <c r="B114" s="925"/>
      <c r="C114" s="130" t="s">
        <v>30</v>
      </c>
      <c r="D114" s="337" t="str">
        <f>IF(E114='Parametre - Agendové IS'!BP91,"OK","Chyba počtu FTE")</f>
        <v>OK</v>
      </c>
      <c r="E114" s="338">
        <f t="shared" si="3"/>
        <v>0</v>
      </c>
      <c r="F114" s="194"/>
      <c r="G114" s="194"/>
      <c r="H114" s="194"/>
      <c r="I114" s="194"/>
    </row>
    <row r="115" spans="1:9">
      <c r="A115" s="923"/>
      <c r="B115" s="925"/>
      <c r="C115" s="130" t="s">
        <v>31</v>
      </c>
      <c r="D115" s="337" t="str">
        <f>IF(E115='Parametre - Agendové IS'!BP92,"OK","Chyba počtu FTE")</f>
        <v>OK</v>
      </c>
      <c r="E115" s="338">
        <f t="shared" si="3"/>
        <v>0</v>
      </c>
      <c r="F115" s="194"/>
      <c r="G115" s="194"/>
      <c r="H115" s="194"/>
      <c r="I115" s="194"/>
    </row>
    <row r="116" spans="1:9">
      <c r="A116" s="923"/>
      <c r="B116" s="925"/>
      <c r="C116" s="130" t="s">
        <v>32</v>
      </c>
      <c r="D116" s="337" t="str">
        <f>IF(E116='Parametre - Agendové IS'!BP93,"OK","Chyba počtu FTE")</f>
        <v>OK</v>
      </c>
      <c r="E116" s="338">
        <f t="shared" si="3"/>
        <v>0</v>
      </c>
      <c r="F116" s="194"/>
      <c r="G116" s="194"/>
      <c r="H116" s="194"/>
      <c r="I116" s="194"/>
    </row>
    <row r="117" spans="1:9">
      <c r="A117" s="923"/>
      <c r="B117" s="925"/>
      <c r="C117" s="130" t="s">
        <v>33</v>
      </c>
      <c r="D117" s="337" t="str">
        <f>IF(E117='Parametre - Agendové IS'!BP94,"OK","Chyba počtu FTE")</f>
        <v>OK</v>
      </c>
      <c r="E117" s="338">
        <f t="shared" si="3"/>
        <v>0</v>
      </c>
      <c r="F117" s="194"/>
      <c r="G117" s="194"/>
      <c r="H117" s="194"/>
      <c r="I117" s="194"/>
    </row>
    <row r="118" spans="1:9" ht="15.75" thickBot="1">
      <c r="A118" s="923"/>
      <c r="B118" s="925"/>
      <c r="C118" s="130" t="s">
        <v>34</v>
      </c>
      <c r="D118" s="339" t="str">
        <f>IF(E118='Parametre - Agendové IS'!BP95,"OK","Chyba počtu FTE")</f>
        <v>OK</v>
      </c>
      <c r="E118" s="340">
        <f t="shared" si="3"/>
        <v>0</v>
      </c>
      <c r="F118" s="195"/>
      <c r="G118" s="195"/>
      <c r="H118" s="195"/>
      <c r="I118" s="195"/>
    </row>
    <row r="119" spans="1:9">
      <c r="A119" s="811" t="s">
        <v>41</v>
      </c>
      <c r="B119" s="924" t="s">
        <v>37</v>
      </c>
      <c r="C119" s="133" t="s">
        <v>25</v>
      </c>
      <c r="D119" s="336" t="str">
        <f>IF(E119='Parametre - Agendové IS'!BP5,"OK","Chyba počtu podaní")</f>
        <v>OK</v>
      </c>
      <c r="E119" s="341">
        <f t="shared" si="3"/>
        <v>0</v>
      </c>
      <c r="F119" s="193"/>
      <c r="G119" s="193"/>
      <c r="H119" s="193"/>
      <c r="I119" s="193"/>
    </row>
    <row r="120" spans="1:9">
      <c r="A120" s="923"/>
      <c r="B120" s="925"/>
      <c r="C120" s="130" t="s">
        <v>26</v>
      </c>
      <c r="D120" s="337" t="str">
        <f>IF(E120='Parametre - Agendové IS'!BP6,"OK","Chyba počtu podaní")</f>
        <v>OK</v>
      </c>
      <c r="E120" s="338">
        <f t="shared" si="3"/>
        <v>0</v>
      </c>
      <c r="F120" s="194"/>
      <c r="G120" s="194"/>
      <c r="H120" s="194"/>
      <c r="I120" s="194"/>
    </row>
    <row r="121" spans="1:9">
      <c r="A121" s="923"/>
      <c r="B121" s="925"/>
      <c r="C121" s="130" t="s">
        <v>27</v>
      </c>
      <c r="D121" s="337" t="str">
        <f>IF(E121='Parametre - Agendové IS'!BP7,"OK","Chyba počtu podaní")</f>
        <v>OK</v>
      </c>
      <c r="E121" s="338">
        <f t="shared" si="3"/>
        <v>0</v>
      </c>
      <c r="F121" s="194"/>
      <c r="G121" s="194"/>
      <c r="H121" s="194"/>
      <c r="I121" s="194"/>
    </row>
    <row r="122" spans="1:9">
      <c r="A122" s="923"/>
      <c r="B122" s="925"/>
      <c r="C122" s="130" t="s">
        <v>28</v>
      </c>
      <c r="D122" s="337" t="str">
        <f>IF(E122='Parametre - Agendové IS'!BP8,"OK","Chyba počtu podaní")</f>
        <v>OK</v>
      </c>
      <c r="E122" s="338">
        <f t="shared" si="3"/>
        <v>0</v>
      </c>
      <c r="F122" s="194"/>
      <c r="G122" s="194"/>
      <c r="H122" s="194"/>
      <c r="I122" s="194"/>
    </row>
    <row r="123" spans="1:9">
      <c r="A123" s="923"/>
      <c r="B123" s="925"/>
      <c r="C123" s="130" t="s">
        <v>29</v>
      </c>
      <c r="D123" s="337" t="str">
        <f>IF(E123='Parametre - Agendové IS'!BP9,"OK","Chyba počtu podaní")</f>
        <v>OK</v>
      </c>
      <c r="E123" s="338">
        <f t="shared" si="3"/>
        <v>0</v>
      </c>
      <c r="F123" s="194"/>
      <c r="G123" s="194"/>
      <c r="H123" s="194"/>
      <c r="I123" s="194"/>
    </row>
    <row r="124" spans="1:9">
      <c r="A124" s="923"/>
      <c r="B124" s="925"/>
      <c r="C124" s="130" t="s">
        <v>30</v>
      </c>
      <c r="D124" s="337" t="str">
        <f>IF(E124='Parametre - Agendové IS'!BP10,"OK","Chyba počtu podaní")</f>
        <v>OK</v>
      </c>
      <c r="E124" s="338">
        <f t="shared" si="3"/>
        <v>0</v>
      </c>
      <c r="F124" s="194"/>
      <c r="G124" s="194"/>
      <c r="H124" s="194"/>
      <c r="I124" s="194"/>
    </row>
    <row r="125" spans="1:9">
      <c r="A125" s="923"/>
      <c r="B125" s="925"/>
      <c r="C125" s="130" t="s">
        <v>31</v>
      </c>
      <c r="D125" s="337" t="str">
        <f>IF(E125='Parametre - Agendové IS'!BP11,"OK","Chyba počtu podaní")</f>
        <v>OK</v>
      </c>
      <c r="E125" s="338">
        <f t="shared" si="3"/>
        <v>0</v>
      </c>
      <c r="F125" s="194"/>
      <c r="G125" s="194"/>
      <c r="H125" s="194"/>
      <c r="I125" s="194"/>
    </row>
    <row r="126" spans="1:9">
      <c r="A126" s="923"/>
      <c r="B126" s="925"/>
      <c r="C126" s="130" t="s">
        <v>32</v>
      </c>
      <c r="D126" s="337" t="str">
        <f>IF(E126='Parametre - Agendové IS'!BP12,"OK","Chyba počtu podaní")</f>
        <v>OK</v>
      </c>
      <c r="E126" s="338">
        <f t="shared" si="3"/>
        <v>0</v>
      </c>
      <c r="F126" s="194"/>
      <c r="G126" s="194"/>
      <c r="H126" s="194"/>
      <c r="I126" s="194"/>
    </row>
    <row r="127" spans="1:9">
      <c r="A127" s="923"/>
      <c r="B127" s="925"/>
      <c r="C127" s="130" t="s">
        <v>33</v>
      </c>
      <c r="D127" s="337" t="str">
        <f>IF(E127='Parametre - Agendové IS'!BP13,"OK","Chyba počtu podaní")</f>
        <v>OK</v>
      </c>
      <c r="E127" s="338">
        <f t="shared" si="3"/>
        <v>0</v>
      </c>
      <c r="F127" s="194"/>
      <c r="G127" s="194"/>
      <c r="H127" s="194"/>
      <c r="I127" s="194"/>
    </row>
    <row r="128" spans="1:9" ht="15.75" thickBot="1">
      <c r="A128" s="813"/>
      <c r="B128" s="926"/>
      <c r="C128" s="131" t="s">
        <v>34</v>
      </c>
      <c r="D128" s="337" t="str">
        <f>IF(E128='Parametre - Agendové IS'!BP14,"OK","Chyba počtu podaní")</f>
        <v>OK</v>
      </c>
      <c r="E128" s="338">
        <f t="shared" si="3"/>
        <v>0</v>
      </c>
      <c r="F128" s="194"/>
      <c r="G128" s="194"/>
      <c r="H128" s="194"/>
      <c r="I128" s="194"/>
    </row>
    <row r="129" spans="1:9">
      <c r="A129" s="811" t="s">
        <v>39</v>
      </c>
      <c r="B129" s="924" t="s">
        <v>13</v>
      </c>
      <c r="C129" s="133" t="s">
        <v>25</v>
      </c>
      <c r="D129" s="336" t="str">
        <f>IF(E129='Parametre - Agendové IS'!BP126,"OK","Chyba")</f>
        <v>OK</v>
      </c>
      <c r="E129" s="341">
        <f t="shared" si="3"/>
        <v>0</v>
      </c>
      <c r="F129" s="193"/>
      <c r="G129" s="193"/>
      <c r="H129" s="193"/>
      <c r="I129" s="193"/>
    </row>
    <row r="130" spans="1:9">
      <c r="A130" s="923"/>
      <c r="B130" s="925"/>
      <c r="C130" s="130" t="s">
        <v>26</v>
      </c>
      <c r="D130" s="337" t="str">
        <f>IF(E130='Parametre - Agendové IS'!BP127,"OK","Chyba")</f>
        <v>OK</v>
      </c>
      <c r="E130" s="338">
        <f t="shared" si="3"/>
        <v>0</v>
      </c>
      <c r="F130" s="194"/>
      <c r="G130" s="194"/>
      <c r="H130" s="194"/>
      <c r="I130" s="194"/>
    </row>
    <row r="131" spans="1:9">
      <c r="A131" s="923"/>
      <c r="B131" s="925"/>
      <c r="C131" s="130" t="s">
        <v>27</v>
      </c>
      <c r="D131" s="337" t="str">
        <f>IF(E131='Parametre - Agendové IS'!BP128,"OK","Chyba")</f>
        <v>OK</v>
      </c>
      <c r="E131" s="338">
        <f t="shared" si="3"/>
        <v>0</v>
      </c>
      <c r="F131" s="194"/>
      <c r="G131" s="194"/>
      <c r="H131" s="194"/>
      <c r="I131" s="194"/>
    </row>
    <row r="132" spans="1:9">
      <c r="A132" s="923"/>
      <c r="B132" s="925"/>
      <c r="C132" s="130" t="s">
        <v>28</v>
      </c>
      <c r="D132" s="337" t="str">
        <f>IF(E132='Parametre - Agendové IS'!BP129,"OK","Chyba")</f>
        <v>OK</v>
      </c>
      <c r="E132" s="338">
        <f t="shared" si="3"/>
        <v>0</v>
      </c>
      <c r="F132" s="194"/>
      <c r="G132" s="194"/>
      <c r="H132" s="194"/>
      <c r="I132" s="194"/>
    </row>
    <row r="133" spans="1:9">
      <c r="A133" s="923"/>
      <c r="B133" s="925"/>
      <c r="C133" s="130" t="s">
        <v>29</v>
      </c>
      <c r="D133" s="337" t="str">
        <f>IF(E133='Parametre - Agendové IS'!BP130,"OK","Chyba")</f>
        <v>OK</v>
      </c>
      <c r="E133" s="338">
        <f t="shared" si="3"/>
        <v>0</v>
      </c>
      <c r="F133" s="194"/>
      <c r="G133" s="194"/>
      <c r="H133" s="194"/>
      <c r="I133" s="194"/>
    </row>
    <row r="134" spans="1:9">
      <c r="A134" s="923"/>
      <c r="B134" s="925"/>
      <c r="C134" s="130" t="s">
        <v>30</v>
      </c>
      <c r="D134" s="337" t="str">
        <f>IF(E134='Parametre - Agendové IS'!BP131,"OK","Chyba")</f>
        <v>OK</v>
      </c>
      <c r="E134" s="338">
        <f t="shared" si="3"/>
        <v>0</v>
      </c>
      <c r="F134" s="194"/>
      <c r="G134" s="194"/>
      <c r="H134" s="194"/>
      <c r="I134" s="194"/>
    </row>
    <row r="135" spans="1:9">
      <c r="A135" s="923"/>
      <c r="B135" s="925"/>
      <c r="C135" s="130" t="s">
        <v>31</v>
      </c>
      <c r="D135" s="337" t="str">
        <f>IF(E135='Parametre - Agendové IS'!BP132,"OK","Chyba")</f>
        <v>OK</v>
      </c>
      <c r="E135" s="338">
        <f t="shared" si="3"/>
        <v>0</v>
      </c>
      <c r="F135" s="194"/>
      <c r="G135" s="194"/>
      <c r="H135" s="194"/>
      <c r="I135" s="194"/>
    </row>
    <row r="136" spans="1:9">
      <c r="A136" s="923"/>
      <c r="B136" s="925"/>
      <c r="C136" s="130" t="s">
        <v>32</v>
      </c>
      <c r="D136" s="337" t="str">
        <f>IF(E136='Parametre - Agendové IS'!BP133,"OK","Chyba")</f>
        <v>OK</v>
      </c>
      <c r="E136" s="338">
        <f t="shared" si="3"/>
        <v>0</v>
      </c>
      <c r="F136" s="194"/>
      <c r="G136" s="194"/>
      <c r="H136" s="194"/>
      <c r="I136" s="194"/>
    </row>
    <row r="137" spans="1:9">
      <c r="A137" s="923"/>
      <c r="B137" s="925"/>
      <c r="C137" s="130" t="s">
        <v>33</v>
      </c>
      <c r="D137" s="337" t="str">
        <f>IF(E137='Parametre - Agendové IS'!BP134,"OK","Chyba")</f>
        <v>OK</v>
      </c>
      <c r="E137" s="338">
        <f t="shared" si="3"/>
        <v>0</v>
      </c>
      <c r="F137" s="194"/>
      <c r="G137" s="194"/>
      <c r="H137" s="194"/>
      <c r="I137" s="194"/>
    </row>
    <row r="138" spans="1:9" ht="15.75" thickBot="1">
      <c r="A138" s="813"/>
      <c r="B138" s="926"/>
      <c r="C138" s="131" t="s">
        <v>34</v>
      </c>
      <c r="D138" s="337" t="str">
        <f>IF(E138='Parametre - Agendové IS'!BP135,"OK","Chyba")</f>
        <v>OK</v>
      </c>
      <c r="E138" s="338">
        <f t="shared" si="3"/>
        <v>0</v>
      </c>
      <c r="F138" s="194"/>
      <c r="G138" s="194"/>
      <c r="H138" s="194"/>
      <c r="I138" s="194"/>
    </row>
  </sheetData>
  <mergeCells count="32">
    <mergeCell ref="A119:A128"/>
    <mergeCell ref="B119:B128"/>
    <mergeCell ref="A109:A118"/>
    <mergeCell ref="B109:B118"/>
    <mergeCell ref="A84:A93"/>
    <mergeCell ref="B84:B93"/>
    <mergeCell ref="A107:C108"/>
    <mergeCell ref="D107:E107"/>
    <mergeCell ref="D72:E72"/>
    <mergeCell ref="D37:E37"/>
    <mergeCell ref="D2:E2"/>
    <mergeCell ref="A2:C3"/>
    <mergeCell ref="B4:B13"/>
    <mergeCell ref="A14:A23"/>
    <mergeCell ref="B14:B23"/>
    <mergeCell ref="A4:A13"/>
    <mergeCell ref="A129:A138"/>
    <mergeCell ref="B129:B138"/>
    <mergeCell ref="A24:A33"/>
    <mergeCell ref="B24:B33"/>
    <mergeCell ref="A59:A68"/>
    <mergeCell ref="B59:B68"/>
    <mergeCell ref="A94:A103"/>
    <mergeCell ref="B94:B103"/>
    <mergeCell ref="A37:C38"/>
    <mergeCell ref="A39:A48"/>
    <mergeCell ref="B39:B48"/>
    <mergeCell ref="A49:A58"/>
    <mergeCell ref="B49:B58"/>
    <mergeCell ref="A72:C73"/>
    <mergeCell ref="A74:A83"/>
    <mergeCell ref="B74:B83"/>
  </mergeCells>
  <pageMargins left="0.7" right="0.7" top="0.75" bottom="0.75" header="0.3" footer="0.3"/>
  <pageSetup paperSize="9" scale="3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33</vt:i4>
      </vt:variant>
      <vt:variant>
        <vt:lpstr>Pomenované rozsahy</vt:lpstr>
      </vt:variant>
      <vt:variant>
        <vt:i4>23</vt:i4>
      </vt:variant>
    </vt:vector>
  </HeadingPairs>
  <TitlesOfParts>
    <vt:vector size="56" baseType="lpstr">
      <vt:lpstr>Úvod</vt:lpstr>
      <vt:lpstr>Zoznam_Harkov</vt:lpstr>
      <vt:lpstr>Sumarizácia</vt:lpstr>
      <vt:lpstr>Zdroje Financovania</vt:lpstr>
      <vt:lpstr>CBA - Agendové IS</vt:lpstr>
      <vt:lpstr>Výdavky - Agendové IS</vt:lpstr>
      <vt:lpstr>Prínosy - Agendové IS</vt:lpstr>
      <vt:lpstr>Parametre - Agendové IS</vt:lpstr>
      <vt:lpstr>MODULY_CBA</vt:lpstr>
      <vt:lpstr>Parametre_ECF_TCF</vt:lpstr>
      <vt:lpstr>INKREMENTY</vt:lpstr>
      <vt:lpstr>KATALOG_POZIADAVKY</vt:lpstr>
      <vt:lpstr>TCF_v02</vt:lpstr>
      <vt:lpstr>ECF_v02</vt:lpstr>
      <vt:lpstr>UAW_v02</vt:lpstr>
      <vt:lpstr>Rozpocet - Vyvoj aplikacii</vt:lpstr>
      <vt:lpstr>AKTIVITY_POZICIE</vt:lpstr>
      <vt:lpstr>POZICIE_INTERNE</vt:lpstr>
      <vt:lpstr>ISCO_Prevodnik</vt:lpstr>
      <vt:lpstr>Rozpočet - HW a licencie</vt:lpstr>
      <vt:lpstr>Harmonogram</vt:lpstr>
      <vt:lpstr>TCO</vt:lpstr>
      <vt:lpstr>TCO AS IS - SW</vt:lpstr>
      <vt:lpstr>TCO AS IS - HW</vt:lpstr>
      <vt:lpstr>TCO TO BE- SW</vt:lpstr>
      <vt:lpstr>TCO TO BE - HW</vt:lpstr>
      <vt:lpstr>Faktory</vt:lpstr>
      <vt:lpstr>Ciselnik</vt:lpstr>
      <vt:lpstr>Procesné mapy</vt:lpstr>
      <vt:lpstr>Procesy - AS IS</vt:lpstr>
      <vt:lpstr>Procesy - TO BE</vt:lpstr>
      <vt:lpstr>Analyza citlivosti - AgendovéIS</vt:lpstr>
      <vt:lpstr>Rozdelenie prínosov</vt:lpstr>
      <vt:lpstr>'TCO TO BE - HW'!_ftn1</vt:lpstr>
      <vt:lpstr>'TCO TO BE - HW'!_ftnref1</vt:lpstr>
      <vt:lpstr>Bezpecnost</vt:lpstr>
      <vt:lpstr>Databazy</vt:lpstr>
      <vt:lpstr>POZICIE_INTERNE!Faza</vt:lpstr>
      <vt:lpstr>Faza</vt:lpstr>
      <vt:lpstr>Ine</vt:lpstr>
      <vt:lpstr>Infrastrutkura</vt:lpstr>
      <vt:lpstr>Inkrement</vt:lpstr>
      <vt:lpstr>IT_analytik</vt:lpstr>
      <vt:lpstr>IT_architekt</vt:lpstr>
      <vt:lpstr>IT_konzultant</vt:lpstr>
      <vt:lpstr>IT_programator</vt:lpstr>
      <vt:lpstr>IT_tester</vt:lpstr>
      <vt:lpstr>Kvalita</vt:lpstr>
      <vt:lpstr>MODULY</vt:lpstr>
      <vt:lpstr>Moduly_2</vt:lpstr>
      <vt:lpstr>POZICIE_INTERNE!Pozicia</vt:lpstr>
      <vt:lpstr>Pozicia</vt:lpstr>
      <vt:lpstr>PozicieKomplet</vt:lpstr>
      <vt:lpstr>Projektovy_manazer</vt:lpstr>
      <vt:lpstr>Projektový_manažér</vt:lpstr>
      <vt:lpstr>Subjekt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2024-05-06T09:48:35Z</dcterms:created>
  <dcterms:modified xsi:type="dcterms:W3CDTF">2024-08-28T10:05:01Z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2024-08-19T07:45:05Z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8e9b86cd-3ff9-4412-b358-62fa272e1859</vt:lpwstr>
  </property>
  <property fmtid="{D5CDD505-2E9C-101B-9397-08002B2CF9AE}" pid="7" name="MSIP_Label_defa4170-0d19-0005-0004-bc88714345d2_ActionId">
    <vt:lpwstr>61cd01d1-5125-4e1e-af80-cae79b29f786</vt:lpwstr>
  </property>
  <property fmtid="{D5CDD505-2E9C-101B-9397-08002B2CF9AE}" pid="8" name="MSIP_Label_defa4170-0d19-0005-0004-bc88714345d2_ContentBits">
    <vt:lpwstr>0</vt:lpwstr>
  </property>
</Properties>
</file>