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rmo\Desktop\HMG_železničný\"/>
    </mc:Choice>
  </mc:AlternateContent>
  <bookViews>
    <workbookView xWindow="-120" yWindow="-120" windowWidth="38640" windowHeight="21240" tabRatio="873"/>
  </bookViews>
  <sheets>
    <sheet name="Prehľad" sheetId="35" r:id="rId1"/>
    <sheet name="Harmonogram" sheetId="27" r:id="rId2"/>
    <sheet name="Malé projekty vo výstavbe" sheetId="29" r:id="rId3"/>
    <sheet name="Proj. prípr. (prebieh.), štúdie" sheetId="30" r:id="rId4"/>
    <sheet name="TIOP" sheetId="32" r:id="rId5"/>
    <sheet name="IT, Budovy, iné projekty" sheetId="33" r:id="rId6"/>
    <sheet name="Súhrn_Prehľad" sheetId="31" r:id="rId7"/>
    <sheet name="Poznámky" sheetId="20" r:id="rId8"/>
    <sheet name="1a Sanácia havarijných stav" sheetId="5" r:id="rId9"/>
    <sheet name="1b Revitalizácie tratí" sheetId="9" r:id="rId10"/>
    <sheet name="2a Úzke miesta" sheetId="2" r:id="rId11"/>
    <sheet name="2b DOZZ" sheetId="13" r:id="rId12"/>
    <sheet name="3a TENT ETCS" sheetId="12" r:id="rId13"/>
    <sheet name="3b TENT modernizácie" sheetId="3" r:id="rId14"/>
    <sheet name="4a Elektrifikácie" sheetId="10" r:id="rId15"/>
    <sheet name="4b Ostatné" sheetId="7" r:id="rId16"/>
    <sheet name="HDP" sheetId="28" r:id="rId17"/>
  </sheets>
  <definedNames>
    <definedName name="_xlnm._FilterDatabase" localSheetId="9" hidden="1">'1b Revitalizácie tratí'!$A$2:$J$176</definedName>
    <definedName name="_xlnm._FilterDatabase" localSheetId="10" hidden="1">'2a Úzke miesta'!$A$2:$K$32</definedName>
    <definedName name="_xlnm._FilterDatabase" localSheetId="11" hidden="1">'2b DOZZ'!$A$2:$L$154</definedName>
    <definedName name="_xlnm._FilterDatabase" localSheetId="12" hidden="1">'3a TENT ETCS'!$A$2:$K$40</definedName>
    <definedName name="_xlnm._FilterDatabase" localSheetId="13" hidden="1">'3b TENT modernizácie'!$A$2:$J$2</definedName>
    <definedName name="_xlnm._FilterDatabase" localSheetId="14" hidden="1">'4a Elektrifikácie'!$A$2:$I$2</definedName>
    <definedName name="_xlnm._FilterDatabase" localSheetId="15" hidden="1">'4b Ostatné'!$A$2:$J$22</definedName>
    <definedName name="_xlnm._FilterDatabase" localSheetId="1" hidden="1">Harmonogram!$A$2:$EN$94</definedName>
    <definedName name="_xlnm._FilterDatabase" localSheetId="5" hidden="1">'IT, Budovy, iné projekty'!$A$2:$EK$2</definedName>
    <definedName name="_xlnm._FilterDatabase" localSheetId="2" hidden="1">'Malé projekty vo výstavbe'!$B$2:$EK$16</definedName>
    <definedName name="_xlnm._FilterDatabase" localSheetId="0" hidden="1">Prehľad!$A$2:$T$90</definedName>
    <definedName name="_xlnm._FilterDatabase" localSheetId="3" hidden="1">'Proj. prípr. (prebieh.), štúdie'!$A$2:$EK$24</definedName>
    <definedName name="_xlnm._FilterDatabase" localSheetId="4" hidden="1">TIOP!$A$2:$EK$11</definedName>
    <definedName name="_xlnm.Print_Titles" localSheetId="1">Harmonogram!$1:$2</definedName>
    <definedName name="_xlnm.Print_Titles" localSheetId="0">Prehľad!$1:$2</definedName>
    <definedName name="_xlnm.Print_Area" localSheetId="12">'3a TENT ETCS'!$A$1:$K$40</definedName>
    <definedName name="_xlnm.Print_Area" localSheetId="13">'3b TENT modernizácie'!$A$1:$J$25</definedName>
    <definedName name="_xlnm.Print_Area" localSheetId="14">'4a Elektrifikácie'!$A$1:$I$80</definedName>
    <definedName name="_xlnm.Print_Area" localSheetId="15">'4b Ostatné'!$A$1:$J$85</definedName>
    <definedName name="_xlnm.Print_Area" localSheetId="1">Harmonogram!$A$1:$EO$97</definedName>
    <definedName name="_xlnm.Print_Area" localSheetId="0">Prehľad!$A$1:$T$97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1" l="1"/>
  <c r="BJ92" i="27" l="1"/>
  <c r="BK92" i="27"/>
  <c r="BL92" i="27"/>
  <c r="BM92" i="27"/>
  <c r="BN92" i="27"/>
  <c r="BO92" i="27"/>
  <c r="BP92" i="27"/>
  <c r="BQ92" i="27"/>
  <c r="BR92" i="27"/>
  <c r="BS92" i="27"/>
  <c r="F94" i="35" l="1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F3" i="35"/>
  <c r="T94" i="35"/>
  <c r="S94" i="35"/>
  <c r="R94" i="35"/>
  <c r="Q94" i="35"/>
  <c r="P94" i="35"/>
  <c r="O94" i="35"/>
  <c r="M94" i="35"/>
  <c r="L94" i="35"/>
  <c r="K94" i="35"/>
  <c r="J94" i="35"/>
  <c r="T93" i="35"/>
  <c r="S93" i="35"/>
  <c r="R93" i="35"/>
  <c r="Q93" i="35"/>
  <c r="P93" i="35"/>
  <c r="O93" i="35"/>
  <c r="M93" i="35"/>
  <c r="L93" i="35"/>
  <c r="K93" i="35"/>
  <c r="J93" i="35"/>
  <c r="T92" i="35"/>
  <c r="S92" i="35"/>
  <c r="R92" i="35"/>
  <c r="Q92" i="35"/>
  <c r="P92" i="35"/>
  <c r="O92" i="35"/>
  <c r="M92" i="35"/>
  <c r="L92" i="35"/>
  <c r="K92" i="35"/>
  <c r="J92" i="35"/>
  <c r="T91" i="35"/>
  <c r="S91" i="35"/>
  <c r="R91" i="35"/>
  <c r="Q91" i="35"/>
  <c r="P91" i="35"/>
  <c r="O91" i="35"/>
  <c r="N91" i="35"/>
  <c r="M91" i="35"/>
  <c r="L91" i="35"/>
  <c r="K91" i="35"/>
  <c r="J91" i="35"/>
  <c r="T90" i="35"/>
  <c r="S90" i="35"/>
  <c r="R90" i="35"/>
  <c r="Q90" i="35"/>
  <c r="P90" i="35"/>
  <c r="O90" i="35"/>
  <c r="N90" i="35"/>
  <c r="M90" i="35"/>
  <c r="L90" i="35"/>
  <c r="K90" i="35"/>
  <c r="J90" i="35"/>
  <c r="T89" i="35"/>
  <c r="S89" i="35"/>
  <c r="R89" i="35"/>
  <c r="Q89" i="35"/>
  <c r="P89" i="35"/>
  <c r="O89" i="35"/>
  <c r="N89" i="35"/>
  <c r="M89" i="35"/>
  <c r="L89" i="35"/>
  <c r="K89" i="35"/>
  <c r="J89" i="35"/>
  <c r="T88" i="35"/>
  <c r="S88" i="35"/>
  <c r="R88" i="35"/>
  <c r="Q88" i="35"/>
  <c r="P88" i="35"/>
  <c r="O88" i="35"/>
  <c r="N88" i="35"/>
  <c r="M88" i="35"/>
  <c r="L88" i="35"/>
  <c r="K88" i="35"/>
  <c r="J88" i="35"/>
  <c r="T87" i="35"/>
  <c r="S87" i="35"/>
  <c r="R87" i="35"/>
  <c r="Q87" i="35"/>
  <c r="P87" i="35"/>
  <c r="O87" i="35"/>
  <c r="N87" i="35"/>
  <c r="M87" i="35"/>
  <c r="L87" i="35"/>
  <c r="K87" i="35"/>
  <c r="J87" i="35"/>
  <c r="T86" i="35"/>
  <c r="S86" i="35"/>
  <c r="R86" i="35"/>
  <c r="Q86" i="35"/>
  <c r="P86" i="35"/>
  <c r="O86" i="35"/>
  <c r="N86" i="35"/>
  <c r="M86" i="35"/>
  <c r="L86" i="35"/>
  <c r="K86" i="35"/>
  <c r="J86" i="35"/>
  <c r="T85" i="35"/>
  <c r="S85" i="35"/>
  <c r="R85" i="35"/>
  <c r="Q85" i="35"/>
  <c r="P85" i="35"/>
  <c r="O85" i="35"/>
  <c r="N85" i="35"/>
  <c r="M85" i="35"/>
  <c r="L85" i="35"/>
  <c r="K85" i="35"/>
  <c r="J85" i="35"/>
  <c r="T84" i="35"/>
  <c r="S84" i="35"/>
  <c r="R84" i="35"/>
  <c r="Q84" i="35"/>
  <c r="P84" i="35"/>
  <c r="O84" i="35"/>
  <c r="N84" i="35"/>
  <c r="M84" i="35"/>
  <c r="L84" i="35"/>
  <c r="K84" i="35"/>
  <c r="J84" i="35"/>
  <c r="T83" i="35"/>
  <c r="S83" i="35"/>
  <c r="R83" i="35"/>
  <c r="Q83" i="35"/>
  <c r="P83" i="35"/>
  <c r="O83" i="35"/>
  <c r="N83" i="35"/>
  <c r="M83" i="35"/>
  <c r="L83" i="35"/>
  <c r="K83" i="35"/>
  <c r="J83" i="35"/>
  <c r="T82" i="35"/>
  <c r="S82" i="35"/>
  <c r="R82" i="35"/>
  <c r="Q82" i="35"/>
  <c r="P82" i="35"/>
  <c r="O82" i="35"/>
  <c r="N82" i="35"/>
  <c r="M82" i="35"/>
  <c r="L82" i="35"/>
  <c r="K82" i="35"/>
  <c r="J82" i="35"/>
  <c r="T81" i="35"/>
  <c r="S81" i="35"/>
  <c r="R81" i="35"/>
  <c r="Q81" i="35"/>
  <c r="P81" i="35"/>
  <c r="O81" i="35"/>
  <c r="N81" i="35"/>
  <c r="M81" i="35"/>
  <c r="L81" i="35"/>
  <c r="K81" i="35"/>
  <c r="J81" i="35"/>
  <c r="T80" i="35"/>
  <c r="S80" i="35"/>
  <c r="R80" i="35"/>
  <c r="Q80" i="35"/>
  <c r="P80" i="35"/>
  <c r="O80" i="35"/>
  <c r="N80" i="35"/>
  <c r="M80" i="35"/>
  <c r="L80" i="35"/>
  <c r="K80" i="35"/>
  <c r="J80" i="35"/>
  <c r="T79" i="35"/>
  <c r="S79" i="35"/>
  <c r="R79" i="35"/>
  <c r="Q79" i="35"/>
  <c r="P79" i="35"/>
  <c r="O79" i="35"/>
  <c r="N79" i="35"/>
  <c r="M79" i="35"/>
  <c r="L79" i="35"/>
  <c r="K79" i="35"/>
  <c r="J79" i="35"/>
  <c r="T78" i="35"/>
  <c r="S78" i="35"/>
  <c r="R78" i="35"/>
  <c r="Q78" i="35"/>
  <c r="P78" i="35"/>
  <c r="O78" i="35"/>
  <c r="N78" i="35"/>
  <c r="M78" i="35"/>
  <c r="L78" i="35"/>
  <c r="K78" i="35"/>
  <c r="J78" i="35"/>
  <c r="T77" i="35"/>
  <c r="S77" i="35"/>
  <c r="R77" i="35"/>
  <c r="Q77" i="35"/>
  <c r="P77" i="35"/>
  <c r="O77" i="35"/>
  <c r="N77" i="35"/>
  <c r="M77" i="35"/>
  <c r="L77" i="35"/>
  <c r="K77" i="35"/>
  <c r="J77" i="35"/>
  <c r="T76" i="35"/>
  <c r="S76" i="35"/>
  <c r="R76" i="35"/>
  <c r="Q76" i="35"/>
  <c r="P76" i="35"/>
  <c r="O76" i="35"/>
  <c r="N76" i="35"/>
  <c r="M76" i="35"/>
  <c r="L76" i="35"/>
  <c r="K76" i="35"/>
  <c r="J76" i="35"/>
  <c r="T75" i="35"/>
  <c r="S75" i="35"/>
  <c r="R75" i="35"/>
  <c r="Q75" i="35"/>
  <c r="P75" i="35"/>
  <c r="O75" i="35"/>
  <c r="N75" i="35"/>
  <c r="M75" i="35"/>
  <c r="L75" i="35"/>
  <c r="K75" i="35"/>
  <c r="J75" i="35"/>
  <c r="T74" i="35"/>
  <c r="S74" i="35"/>
  <c r="R74" i="35"/>
  <c r="Q74" i="35"/>
  <c r="P74" i="35"/>
  <c r="O74" i="35"/>
  <c r="N74" i="35"/>
  <c r="M74" i="35"/>
  <c r="L74" i="35"/>
  <c r="K74" i="35"/>
  <c r="J74" i="35"/>
  <c r="T73" i="35"/>
  <c r="S73" i="35"/>
  <c r="R73" i="35"/>
  <c r="Q73" i="35"/>
  <c r="P73" i="35"/>
  <c r="O73" i="35"/>
  <c r="N73" i="35"/>
  <c r="M73" i="35"/>
  <c r="L73" i="35"/>
  <c r="K73" i="35"/>
  <c r="J73" i="35"/>
  <c r="T72" i="35"/>
  <c r="S72" i="35"/>
  <c r="R72" i="35"/>
  <c r="Q72" i="35"/>
  <c r="P72" i="35"/>
  <c r="O72" i="35"/>
  <c r="N72" i="35"/>
  <c r="M72" i="35"/>
  <c r="L72" i="35"/>
  <c r="K72" i="35"/>
  <c r="J72" i="35"/>
  <c r="T71" i="35"/>
  <c r="S71" i="35"/>
  <c r="R71" i="35"/>
  <c r="Q71" i="35"/>
  <c r="P71" i="35"/>
  <c r="O71" i="35"/>
  <c r="N71" i="35"/>
  <c r="M71" i="35"/>
  <c r="L71" i="35"/>
  <c r="K71" i="35"/>
  <c r="J71" i="35"/>
  <c r="T70" i="35"/>
  <c r="S70" i="35"/>
  <c r="R70" i="35"/>
  <c r="Q70" i="35"/>
  <c r="P70" i="35"/>
  <c r="O70" i="35"/>
  <c r="N70" i="35"/>
  <c r="M70" i="35"/>
  <c r="L70" i="35"/>
  <c r="K70" i="35"/>
  <c r="J70" i="35"/>
  <c r="T69" i="35"/>
  <c r="S69" i="35"/>
  <c r="R69" i="35"/>
  <c r="Q69" i="35"/>
  <c r="P69" i="35"/>
  <c r="O69" i="35"/>
  <c r="N69" i="35"/>
  <c r="M69" i="35"/>
  <c r="L69" i="35"/>
  <c r="K69" i="35"/>
  <c r="J69" i="35"/>
  <c r="T68" i="35"/>
  <c r="S68" i="35"/>
  <c r="R68" i="35"/>
  <c r="Q68" i="35"/>
  <c r="P68" i="35"/>
  <c r="O68" i="35"/>
  <c r="N68" i="35"/>
  <c r="M68" i="35"/>
  <c r="L68" i="35"/>
  <c r="K68" i="35"/>
  <c r="J68" i="35"/>
  <c r="T67" i="35"/>
  <c r="S67" i="35"/>
  <c r="R67" i="35"/>
  <c r="Q67" i="35"/>
  <c r="P67" i="35"/>
  <c r="O67" i="35"/>
  <c r="N67" i="35"/>
  <c r="M67" i="35"/>
  <c r="L67" i="35"/>
  <c r="K67" i="35"/>
  <c r="J67" i="35"/>
  <c r="T66" i="35"/>
  <c r="S66" i="35"/>
  <c r="R66" i="35"/>
  <c r="Q66" i="35"/>
  <c r="P66" i="35"/>
  <c r="O66" i="35"/>
  <c r="N66" i="35"/>
  <c r="M66" i="35"/>
  <c r="L66" i="35"/>
  <c r="K66" i="35"/>
  <c r="J66" i="35"/>
  <c r="T65" i="35"/>
  <c r="S65" i="35"/>
  <c r="R65" i="35"/>
  <c r="Q65" i="35"/>
  <c r="P65" i="35"/>
  <c r="O65" i="35"/>
  <c r="N65" i="35"/>
  <c r="M65" i="35"/>
  <c r="L65" i="35"/>
  <c r="K65" i="35"/>
  <c r="J65" i="35"/>
  <c r="T64" i="35"/>
  <c r="S64" i="35"/>
  <c r="R64" i="35"/>
  <c r="Q64" i="35"/>
  <c r="P64" i="35"/>
  <c r="O64" i="35"/>
  <c r="N64" i="35"/>
  <c r="M64" i="35"/>
  <c r="L64" i="35"/>
  <c r="K64" i="35"/>
  <c r="J64" i="35"/>
  <c r="T63" i="35"/>
  <c r="S63" i="35"/>
  <c r="R63" i="35"/>
  <c r="Q63" i="35"/>
  <c r="P63" i="35"/>
  <c r="O63" i="35"/>
  <c r="N63" i="35"/>
  <c r="M63" i="35"/>
  <c r="L63" i="35"/>
  <c r="K63" i="35"/>
  <c r="J63" i="35"/>
  <c r="T62" i="35"/>
  <c r="S62" i="35"/>
  <c r="R62" i="35"/>
  <c r="Q62" i="35"/>
  <c r="P62" i="35"/>
  <c r="O62" i="35"/>
  <c r="N62" i="35"/>
  <c r="M62" i="35"/>
  <c r="L62" i="35"/>
  <c r="K62" i="35"/>
  <c r="J62" i="35"/>
  <c r="T61" i="35"/>
  <c r="S61" i="35"/>
  <c r="R61" i="35"/>
  <c r="Q61" i="35"/>
  <c r="P61" i="35"/>
  <c r="O61" i="35"/>
  <c r="N61" i="35"/>
  <c r="M61" i="35"/>
  <c r="L61" i="35"/>
  <c r="K61" i="35"/>
  <c r="J61" i="35"/>
  <c r="T60" i="35"/>
  <c r="S60" i="35"/>
  <c r="R60" i="35"/>
  <c r="Q60" i="35"/>
  <c r="P60" i="35"/>
  <c r="O60" i="35"/>
  <c r="N60" i="35"/>
  <c r="M60" i="35"/>
  <c r="L60" i="35"/>
  <c r="K60" i="35"/>
  <c r="J60" i="35"/>
  <c r="T59" i="35"/>
  <c r="S59" i="35"/>
  <c r="R59" i="35"/>
  <c r="Q59" i="35"/>
  <c r="P59" i="35"/>
  <c r="O59" i="35"/>
  <c r="N59" i="35"/>
  <c r="M59" i="35"/>
  <c r="L59" i="35"/>
  <c r="K59" i="35"/>
  <c r="J59" i="35"/>
  <c r="T58" i="35"/>
  <c r="S58" i="35"/>
  <c r="R58" i="35"/>
  <c r="Q58" i="35"/>
  <c r="P58" i="35"/>
  <c r="O58" i="35"/>
  <c r="N58" i="35"/>
  <c r="M58" i="35"/>
  <c r="L58" i="35"/>
  <c r="K58" i="35"/>
  <c r="J58" i="35"/>
  <c r="T57" i="35"/>
  <c r="S57" i="35"/>
  <c r="R57" i="35"/>
  <c r="Q57" i="35"/>
  <c r="P57" i="35"/>
  <c r="O57" i="35"/>
  <c r="N57" i="35"/>
  <c r="M57" i="35"/>
  <c r="L57" i="35"/>
  <c r="K57" i="35"/>
  <c r="J57" i="35"/>
  <c r="T56" i="35"/>
  <c r="S56" i="35"/>
  <c r="R56" i="35"/>
  <c r="Q56" i="35"/>
  <c r="P56" i="35"/>
  <c r="O56" i="35"/>
  <c r="N56" i="35"/>
  <c r="M56" i="35"/>
  <c r="L56" i="35"/>
  <c r="K56" i="35"/>
  <c r="J56" i="35"/>
  <c r="T55" i="35"/>
  <c r="S55" i="35"/>
  <c r="R55" i="35"/>
  <c r="Q55" i="35"/>
  <c r="P55" i="35"/>
  <c r="O55" i="35"/>
  <c r="N55" i="35"/>
  <c r="M55" i="35"/>
  <c r="L55" i="35"/>
  <c r="K55" i="35"/>
  <c r="J55" i="35"/>
  <c r="T54" i="35"/>
  <c r="S54" i="35"/>
  <c r="R54" i="35"/>
  <c r="Q54" i="35"/>
  <c r="P54" i="35"/>
  <c r="O54" i="35"/>
  <c r="N54" i="35"/>
  <c r="M54" i="35"/>
  <c r="L54" i="35"/>
  <c r="K54" i="35"/>
  <c r="J54" i="35"/>
  <c r="T53" i="35"/>
  <c r="S53" i="35"/>
  <c r="R53" i="35"/>
  <c r="Q53" i="35"/>
  <c r="P53" i="35"/>
  <c r="O53" i="35"/>
  <c r="N53" i="35"/>
  <c r="M53" i="35"/>
  <c r="L53" i="35"/>
  <c r="K53" i="35"/>
  <c r="J53" i="35"/>
  <c r="T52" i="35"/>
  <c r="S52" i="35"/>
  <c r="R52" i="35"/>
  <c r="Q52" i="35"/>
  <c r="P52" i="35"/>
  <c r="O52" i="35"/>
  <c r="N52" i="35"/>
  <c r="M52" i="35"/>
  <c r="L52" i="35"/>
  <c r="K52" i="35"/>
  <c r="J52" i="35"/>
  <c r="T51" i="35"/>
  <c r="S51" i="35"/>
  <c r="R51" i="35"/>
  <c r="Q51" i="35"/>
  <c r="P51" i="35"/>
  <c r="O51" i="35"/>
  <c r="N51" i="35"/>
  <c r="M51" i="35"/>
  <c r="L51" i="35"/>
  <c r="K51" i="35"/>
  <c r="J51" i="35"/>
  <c r="T50" i="35"/>
  <c r="S50" i="35"/>
  <c r="R50" i="35"/>
  <c r="Q50" i="35"/>
  <c r="P50" i="35"/>
  <c r="O50" i="35"/>
  <c r="N50" i="35"/>
  <c r="M50" i="35"/>
  <c r="L50" i="35"/>
  <c r="K50" i="35"/>
  <c r="J50" i="35"/>
  <c r="T49" i="35"/>
  <c r="S49" i="35"/>
  <c r="R49" i="35"/>
  <c r="Q49" i="35"/>
  <c r="P49" i="35"/>
  <c r="O49" i="35"/>
  <c r="N49" i="35"/>
  <c r="M49" i="35"/>
  <c r="L49" i="35"/>
  <c r="K49" i="35"/>
  <c r="J49" i="35"/>
  <c r="T48" i="35"/>
  <c r="S48" i="35"/>
  <c r="R48" i="35"/>
  <c r="Q48" i="35"/>
  <c r="P48" i="35"/>
  <c r="O48" i="35"/>
  <c r="N48" i="35"/>
  <c r="M48" i="35"/>
  <c r="L48" i="35"/>
  <c r="K48" i="35"/>
  <c r="J48" i="35"/>
  <c r="T47" i="35"/>
  <c r="S47" i="35"/>
  <c r="R47" i="35"/>
  <c r="Q47" i="35"/>
  <c r="P47" i="35"/>
  <c r="O47" i="35"/>
  <c r="N47" i="35"/>
  <c r="M47" i="35"/>
  <c r="L47" i="35"/>
  <c r="K47" i="35"/>
  <c r="J47" i="35"/>
  <c r="T46" i="35"/>
  <c r="S46" i="35"/>
  <c r="R46" i="35"/>
  <c r="Q46" i="35"/>
  <c r="P46" i="35"/>
  <c r="O46" i="35"/>
  <c r="N46" i="35"/>
  <c r="M46" i="35"/>
  <c r="L46" i="35"/>
  <c r="K46" i="35"/>
  <c r="J46" i="35"/>
  <c r="T45" i="35"/>
  <c r="S45" i="35"/>
  <c r="R45" i="35"/>
  <c r="Q45" i="35"/>
  <c r="P45" i="35"/>
  <c r="O45" i="35"/>
  <c r="N45" i="35"/>
  <c r="M45" i="35"/>
  <c r="L45" i="35"/>
  <c r="K45" i="35"/>
  <c r="J45" i="35"/>
  <c r="T44" i="35"/>
  <c r="S44" i="35"/>
  <c r="R44" i="35"/>
  <c r="Q44" i="35"/>
  <c r="P44" i="35"/>
  <c r="O44" i="35"/>
  <c r="N44" i="35"/>
  <c r="M44" i="35"/>
  <c r="L44" i="35"/>
  <c r="K44" i="35"/>
  <c r="J44" i="35"/>
  <c r="T43" i="35"/>
  <c r="S43" i="35"/>
  <c r="R43" i="35"/>
  <c r="Q43" i="35"/>
  <c r="P43" i="35"/>
  <c r="O43" i="35"/>
  <c r="N43" i="35"/>
  <c r="M43" i="35"/>
  <c r="L43" i="35"/>
  <c r="K43" i="35"/>
  <c r="J43" i="35"/>
  <c r="T42" i="35"/>
  <c r="S42" i="35"/>
  <c r="R42" i="35"/>
  <c r="Q42" i="35"/>
  <c r="P42" i="35"/>
  <c r="O42" i="35"/>
  <c r="N42" i="35"/>
  <c r="M42" i="35"/>
  <c r="L42" i="35"/>
  <c r="K42" i="35"/>
  <c r="J42" i="35"/>
  <c r="T41" i="35"/>
  <c r="S41" i="35"/>
  <c r="R41" i="35"/>
  <c r="Q41" i="35"/>
  <c r="P41" i="35"/>
  <c r="O41" i="35"/>
  <c r="N41" i="35"/>
  <c r="M41" i="35"/>
  <c r="L41" i="35"/>
  <c r="K41" i="35"/>
  <c r="J41" i="35"/>
  <c r="T40" i="35"/>
  <c r="S40" i="35"/>
  <c r="R40" i="35"/>
  <c r="Q40" i="35"/>
  <c r="P40" i="35"/>
  <c r="O40" i="35"/>
  <c r="N40" i="35"/>
  <c r="M40" i="35"/>
  <c r="L40" i="35"/>
  <c r="K40" i="35"/>
  <c r="J40" i="35"/>
  <c r="T39" i="35"/>
  <c r="S39" i="35"/>
  <c r="R39" i="35"/>
  <c r="Q39" i="35"/>
  <c r="P39" i="35"/>
  <c r="O39" i="35"/>
  <c r="N39" i="35"/>
  <c r="M39" i="35"/>
  <c r="L39" i="35"/>
  <c r="K39" i="35"/>
  <c r="J39" i="35"/>
  <c r="T38" i="35"/>
  <c r="S38" i="35"/>
  <c r="R38" i="35"/>
  <c r="Q38" i="35"/>
  <c r="P38" i="35"/>
  <c r="O38" i="35"/>
  <c r="N38" i="35"/>
  <c r="M38" i="35"/>
  <c r="L38" i="35"/>
  <c r="K38" i="35"/>
  <c r="J38" i="35"/>
  <c r="T37" i="35"/>
  <c r="S37" i="35"/>
  <c r="R37" i="35"/>
  <c r="Q37" i="35"/>
  <c r="P37" i="35"/>
  <c r="O37" i="35"/>
  <c r="N37" i="35"/>
  <c r="M37" i="35"/>
  <c r="L37" i="35"/>
  <c r="K37" i="35"/>
  <c r="J37" i="35"/>
  <c r="T36" i="35"/>
  <c r="S36" i="35"/>
  <c r="R36" i="35"/>
  <c r="Q36" i="35"/>
  <c r="P36" i="35"/>
  <c r="O36" i="35"/>
  <c r="N36" i="35"/>
  <c r="M36" i="35"/>
  <c r="L36" i="35"/>
  <c r="K36" i="35"/>
  <c r="J36" i="35"/>
  <c r="T35" i="35"/>
  <c r="S35" i="35"/>
  <c r="R35" i="35"/>
  <c r="Q35" i="35"/>
  <c r="P35" i="35"/>
  <c r="O35" i="35"/>
  <c r="N35" i="35"/>
  <c r="M35" i="35"/>
  <c r="L35" i="35"/>
  <c r="K35" i="35"/>
  <c r="J35" i="35"/>
  <c r="T34" i="35"/>
  <c r="S34" i="35"/>
  <c r="R34" i="35"/>
  <c r="Q34" i="35"/>
  <c r="P34" i="35"/>
  <c r="O34" i="35"/>
  <c r="N34" i="35"/>
  <c r="M34" i="35"/>
  <c r="L34" i="35"/>
  <c r="K34" i="35"/>
  <c r="J34" i="35"/>
  <c r="T33" i="35"/>
  <c r="S33" i="35"/>
  <c r="R33" i="35"/>
  <c r="Q33" i="35"/>
  <c r="P33" i="35"/>
  <c r="O33" i="35"/>
  <c r="N33" i="35"/>
  <c r="M33" i="35"/>
  <c r="L33" i="35"/>
  <c r="K33" i="35"/>
  <c r="J33" i="35"/>
  <c r="T32" i="35"/>
  <c r="S32" i="35"/>
  <c r="R32" i="35"/>
  <c r="Q32" i="35"/>
  <c r="P32" i="35"/>
  <c r="O32" i="35"/>
  <c r="N32" i="35"/>
  <c r="M32" i="35"/>
  <c r="L32" i="35"/>
  <c r="K32" i="35"/>
  <c r="J32" i="35"/>
  <c r="T31" i="35"/>
  <c r="S31" i="35"/>
  <c r="R31" i="35"/>
  <c r="Q31" i="35"/>
  <c r="P31" i="35"/>
  <c r="O31" i="35"/>
  <c r="N31" i="35"/>
  <c r="M31" i="35"/>
  <c r="L31" i="35"/>
  <c r="K31" i="35"/>
  <c r="J31" i="35"/>
  <c r="T30" i="35"/>
  <c r="S30" i="35"/>
  <c r="R30" i="35"/>
  <c r="Q30" i="35"/>
  <c r="P30" i="35"/>
  <c r="O30" i="35"/>
  <c r="N30" i="35"/>
  <c r="M30" i="35"/>
  <c r="L30" i="35"/>
  <c r="K30" i="35"/>
  <c r="J30" i="35"/>
  <c r="T29" i="35"/>
  <c r="S29" i="35"/>
  <c r="R29" i="35"/>
  <c r="Q29" i="35"/>
  <c r="P29" i="35"/>
  <c r="O29" i="35"/>
  <c r="N29" i="35"/>
  <c r="M29" i="35"/>
  <c r="L29" i="35"/>
  <c r="K29" i="35"/>
  <c r="J29" i="35"/>
  <c r="T28" i="35"/>
  <c r="S28" i="35"/>
  <c r="R28" i="35"/>
  <c r="Q28" i="35"/>
  <c r="P28" i="35"/>
  <c r="O28" i="35"/>
  <c r="N28" i="35"/>
  <c r="M28" i="35"/>
  <c r="L28" i="35"/>
  <c r="K28" i="35"/>
  <c r="J28" i="35"/>
  <c r="T27" i="35"/>
  <c r="S27" i="35"/>
  <c r="R27" i="35"/>
  <c r="Q27" i="35"/>
  <c r="P27" i="35"/>
  <c r="O27" i="35"/>
  <c r="N27" i="35"/>
  <c r="M27" i="35"/>
  <c r="L27" i="35"/>
  <c r="K27" i="35"/>
  <c r="J27" i="35"/>
  <c r="T26" i="35"/>
  <c r="S26" i="35"/>
  <c r="R26" i="35"/>
  <c r="Q26" i="35"/>
  <c r="P26" i="35"/>
  <c r="O26" i="35"/>
  <c r="N26" i="35"/>
  <c r="M26" i="35"/>
  <c r="L26" i="35"/>
  <c r="K26" i="35"/>
  <c r="J26" i="35"/>
  <c r="T25" i="35"/>
  <c r="S25" i="35"/>
  <c r="R25" i="35"/>
  <c r="Q25" i="35"/>
  <c r="P25" i="35"/>
  <c r="O25" i="35"/>
  <c r="N25" i="35"/>
  <c r="M25" i="35"/>
  <c r="L25" i="35"/>
  <c r="K25" i="35"/>
  <c r="J25" i="35"/>
  <c r="T24" i="35"/>
  <c r="S24" i="35"/>
  <c r="R24" i="35"/>
  <c r="Q24" i="35"/>
  <c r="P24" i="35"/>
  <c r="O24" i="35"/>
  <c r="N24" i="35"/>
  <c r="M24" i="35"/>
  <c r="L24" i="35"/>
  <c r="K24" i="35"/>
  <c r="J24" i="35"/>
  <c r="T23" i="35"/>
  <c r="S23" i="35"/>
  <c r="R23" i="35"/>
  <c r="Q23" i="35"/>
  <c r="P23" i="35"/>
  <c r="O23" i="35"/>
  <c r="N23" i="35"/>
  <c r="M23" i="35"/>
  <c r="L23" i="35"/>
  <c r="K23" i="35"/>
  <c r="J23" i="35"/>
  <c r="T22" i="35"/>
  <c r="S22" i="35"/>
  <c r="R22" i="35"/>
  <c r="Q22" i="35"/>
  <c r="P22" i="35"/>
  <c r="O22" i="35"/>
  <c r="N22" i="35"/>
  <c r="M22" i="35"/>
  <c r="L22" i="35"/>
  <c r="K22" i="35"/>
  <c r="J22" i="35"/>
  <c r="T21" i="35"/>
  <c r="S21" i="35"/>
  <c r="R21" i="35"/>
  <c r="Q21" i="35"/>
  <c r="P21" i="35"/>
  <c r="O21" i="35"/>
  <c r="N21" i="35"/>
  <c r="M21" i="35"/>
  <c r="L21" i="35"/>
  <c r="K21" i="35"/>
  <c r="J21" i="35"/>
  <c r="T20" i="35"/>
  <c r="S20" i="35"/>
  <c r="R20" i="35"/>
  <c r="Q20" i="35"/>
  <c r="P20" i="35"/>
  <c r="O20" i="35"/>
  <c r="N20" i="35"/>
  <c r="M20" i="35"/>
  <c r="L20" i="35"/>
  <c r="K20" i="35"/>
  <c r="J20" i="35"/>
  <c r="T19" i="35"/>
  <c r="S19" i="35"/>
  <c r="R19" i="35"/>
  <c r="Q19" i="35"/>
  <c r="P19" i="35"/>
  <c r="O19" i="35"/>
  <c r="N19" i="35"/>
  <c r="M19" i="35"/>
  <c r="L19" i="35"/>
  <c r="K19" i="35"/>
  <c r="J19" i="35"/>
  <c r="T18" i="35"/>
  <c r="S18" i="35"/>
  <c r="R18" i="35"/>
  <c r="Q18" i="35"/>
  <c r="P18" i="35"/>
  <c r="O18" i="35"/>
  <c r="N18" i="35"/>
  <c r="M18" i="35"/>
  <c r="L18" i="35"/>
  <c r="K18" i="35"/>
  <c r="J18" i="35"/>
  <c r="T17" i="35"/>
  <c r="S17" i="35"/>
  <c r="R17" i="35"/>
  <c r="Q17" i="35"/>
  <c r="P17" i="35"/>
  <c r="O17" i="35"/>
  <c r="N17" i="35"/>
  <c r="M17" i="35"/>
  <c r="L17" i="35"/>
  <c r="K17" i="35"/>
  <c r="J17" i="35"/>
  <c r="T16" i="35"/>
  <c r="S16" i="35"/>
  <c r="R16" i="35"/>
  <c r="Q16" i="35"/>
  <c r="P16" i="35"/>
  <c r="O16" i="35"/>
  <c r="N16" i="35"/>
  <c r="M16" i="35"/>
  <c r="L16" i="35"/>
  <c r="K16" i="35"/>
  <c r="J16" i="35"/>
  <c r="T15" i="35"/>
  <c r="S15" i="35"/>
  <c r="R15" i="35"/>
  <c r="Q15" i="35"/>
  <c r="P15" i="35"/>
  <c r="O15" i="35"/>
  <c r="N15" i="35"/>
  <c r="M15" i="35"/>
  <c r="L15" i="35"/>
  <c r="K15" i="35"/>
  <c r="J15" i="35"/>
  <c r="T14" i="35"/>
  <c r="S14" i="35"/>
  <c r="R14" i="35"/>
  <c r="Q14" i="35"/>
  <c r="P14" i="35"/>
  <c r="O14" i="35"/>
  <c r="N14" i="35"/>
  <c r="M14" i="35"/>
  <c r="L14" i="35"/>
  <c r="K14" i="35"/>
  <c r="J14" i="35"/>
  <c r="T13" i="35"/>
  <c r="S13" i="35"/>
  <c r="R13" i="35"/>
  <c r="Q13" i="35"/>
  <c r="P13" i="35"/>
  <c r="O13" i="35"/>
  <c r="N13" i="35"/>
  <c r="M13" i="35"/>
  <c r="L13" i="35"/>
  <c r="K13" i="35"/>
  <c r="J13" i="35"/>
  <c r="T12" i="35"/>
  <c r="S12" i="35"/>
  <c r="R12" i="35"/>
  <c r="Q12" i="35"/>
  <c r="P12" i="35"/>
  <c r="O12" i="35"/>
  <c r="N12" i="35"/>
  <c r="M12" i="35"/>
  <c r="L12" i="35"/>
  <c r="K12" i="35"/>
  <c r="J12" i="35"/>
  <c r="T11" i="35"/>
  <c r="S11" i="35"/>
  <c r="R11" i="35"/>
  <c r="Q11" i="35"/>
  <c r="P11" i="35"/>
  <c r="O11" i="35"/>
  <c r="N11" i="35"/>
  <c r="M11" i="35"/>
  <c r="L11" i="35"/>
  <c r="K11" i="35"/>
  <c r="J11" i="35"/>
  <c r="T10" i="35"/>
  <c r="S10" i="35"/>
  <c r="R10" i="35"/>
  <c r="Q10" i="35"/>
  <c r="P10" i="35"/>
  <c r="O10" i="35"/>
  <c r="N10" i="35"/>
  <c r="M10" i="35"/>
  <c r="L10" i="35"/>
  <c r="K10" i="35"/>
  <c r="J10" i="35"/>
  <c r="T9" i="35"/>
  <c r="S9" i="35"/>
  <c r="R9" i="35"/>
  <c r="Q9" i="35"/>
  <c r="P9" i="35"/>
  <c r="O9" i="35"/>
  <c r="N9" i="35"/>
  <c r="M9" i="35"/>
  <c r="L9" i="35"/>
  <c r="K9" i="35"/>
  <c r="J9" i="35"/>
  <c r="T8" i="35"/>
  <c r="S8" i="35"/>
  <c r="R8" i="35"/>
  <c r="Q8" i="35"/>
  <c r="P8" i="35"/>
  <c r="O8" i="35"/>
  <c r="N8" i="35"/>
  <c r="M8" i="35"/>
  <c r="L8" i="35"/>
  <c r="K8" i="35"/>
  <c r="J8" i="35"/>
  <c r="T7" i="35"/>
  <c r="S7" i="35"/>
  <c r="R7" i="35"/>
  <c r="Q7" i="35"/>
  <c r="P7" i="35"/>
  <c r="O7" i="35"/>
  <c r="N7" i="35"/>
  <c r="M7" i="35"/>
  <c r="L7" i="35"/>
  <c r="K7" i="35"/>
  <c r="J7" i="35"/>
  <c r="T6" i="35"/>
  <c r="S6" i="35"/>
  <c r="R6" i="35"/>
  <c r="Q6" i="35"/>
  <c r="P6" i="35"/>
  <c r="O6" i="35"/>
  <c r="N6" i="35"/>
  <c r="M6" i="35"/>
  <c r="L6" i="35"/>
  <c r="K6" i="35"/>
  <c r="J6" i="35"/>
  <c r="T5" i="35"/>
  <c r="S5" i="35"/>
  <c r="R5" i="35"/>
  <c r="Q5" i="35"/>
  <c r="P5" i="35"/>
  <c r="O5" i="35"/>
  <c r="N5" i="35"/>
  <c r="M5" i="35"/>
  <c r="L5" i="35"/>
  <c r="K5" i="35"/>
  <c r="J5" i="35"/>
  <c r="T4" i="35"/>
  <c r="S4" i="35"/>
  <c r="R4" i="35"/>
  <c r="Q4" i="35"/>
  <c r="P4" i="35"/>
  <c r="O4" i="35"/>
  <c r="N4" i="35"/>
  <c r="M4" i="35"/>
  <c r="L4" i="35"/>
  <c r="K4" i="35"/>
  <c r="J4" i="35"/>
  <c r="T3" i="35"/>
  <c r="S3" i="35"/>
  <c r="R3" i="35"/>
  <c r="Q3" i="35"/>
  <c r="P3" i="35"/>
  <c r="O3" i="35"/>
  <c r="N3" i="35"/>
  <c r="M3" i="35"/>
  <c r="L3" i="35"/>
  <c r="K3" i="35"/>
  <c r="G3" i="35"/>
  <c r="G4" i="35" l="1"/>
  <c r="G5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80" i="35"/>
  <c r="G81" i="35"/>
  <c r="G82" i="35"/>
  <c r="G83" i="35"/>
  <c r="G84" i="35"/>
  <c r="G85" i="35"/>
  <c r="G86" i="35"/>
  <c r="G87" i="35"/>
  <c r="G88" i="35"/>
  <c r="G89" i="35"/>
  <c r="G90" i="35"/>
  <c r="G91" i="35"/>
  <c r="G92" i="35"/>
  <c r="G93" i="35"/>
  <c r="G94" i="35"/>
  <c r="E86" i="35"/>
  <c r="D86" i="35"/>
  <c r="C86" i="35"/>
  <c r="E85" i="35"/>
  <c r="D85" i="35"/>
  <c r="C85" i="35"/>
  <c r="E84" i="35"/>
  <c r="D84" i="35"/>
  <c r="C84" i="35"/>
  <c r="E83" i="35"/>
  <c r="D83" i="35"/>
  <c r="C83" i="35"/>
  <c r="E81" i="35"/>
  <c r="D81" i="35"/>
  <c r="C81" i="35"/>
  <c r="E80" i="35"/>
  <c r="D80" i="35"/>
  <c r="C80" i="35"/>
  <c r="E79" i="35"/>
  <c r="D79" i="35"/>
  <c r="C79" i="35"/>
  <c r="E78" i="35"/>
  <c r="D78" i="35"/>
  <c r="C78" i="35"/>
  <c r="E77" i="35"/>
  <c r="D77" i="35"/>
  <c r="C77" i="35"/>
  <c r="E76" i="35"/>
  <c r="D76" i="35"/>
  <c r="C76" i="35"/>
  <c r="E75" i="35"/>
  <c r="D75" i="35"/>
  <c r="C75" i="35"/>
  <c r="E74" i="35"/>
  <c r="D74" i="35"/>
  <c r="C74" i="35"/>
  <c r="E73" i="35"/>
  <c r="D73" i="35"/>
  <c r="C73" i="35"/>
  <c r="E72" i="35"/>
  <c r="D72" i="35"/>
  <c r="C72" i="35"/>
  <c r="E71" i="35"/>
  <c r="D71" i="35"/>
  <c r="C71" i="35"/>
  <c r="E70" i="35"/>
  <c r="D70" i="35"/>
  <c r="C70" i="35"/>
  <c r="E69" i="35"/>
  <c r="D69" i="35"/>
  <c r="C69" i="35"/>
  <c r="E68" i="35"/>
  <c r="D68" i="35"/>
  <c r="C68" i="35"/>
  <c r="E67" i="35"/>
  <c r="D67" i="35"/>
  <c r="C67" i="35"/>
  <c r="E66" i="35"/>
  <c r="D66" i="35"/>
  <c r="C66" i="35"/>
  <c r="E65" i="35"/>
  <c r="D65" i="35"/>
  <c r="C65" i="35"/>
  <c r="E64" i="35"/>
  <c r="D64" i="35"/>
  <c r="C64" i="35"/>
  <c r="E63" i="35"/>
  <c r="D63" i="35"/>
  <c r="C63" i="35"/>
  <c r="E62" i="35"/>
  <c r="D62" i="35"/>
  <c r="C62" i="35"/>
  <c r="E61" i="35"/>
  <c r="D61" i="35"/>
  <c r="C61" i="35"/>
  <c r="E60" i="35"/>
  <c r="D60" i="35"/>
  <c r="C60" i="35"/>
  <c r="E59" i="35"/>
  <c r="D59" i="35"/>
  <c r="C59" i="35"/>
  <c r="E55" i="35"/>
  <c r="D55" i="35"/>
  <c r="C55" i="35"/>
  <c r="E54" i="35"/>
  <c r="D54" i="35"/>
  <c r="C54" i="35"/>
  <c r="E53" i="35"/>
  <c r="D53" i="35"/>
  <c r="C53" i="35"/>
  <c r="E52" i="35"/>
  <c r="D52" i="35"/>
  <c r="C52" i="35"/>
  <c r="E51" i="35"/>
  <c r="D51" i="35"/>
  <c r="C51" i="35"/>
  <c r="E50" i="35"/>
  <c r="D50" i="35"/>
  <c r="C50" i="35"/>
  <c r="E49" i="35"/>
  <c r="D49" i="35"/>
  <c r="C49" i="35"/>
  <c r="E48" i="35"/>
  <c r="D48" i="35"/>
  <c r="C48" i="35"/>
  <c r="E47" i="35"/>
  <c r="D47" i="35"/>
  <c r="C47" i="35"/>
  <c r="E46" i="35"/>
  <c r="D46" i="35"/>
  <c r="C46" i="35"/>
  <c r="E45" i="35"/>
  <c r="D45" i="35"/>
  <c r="C45" i="35"/>
  <c r="E44" i="35"/>
  <c r="D44" i="35"/>
  <c r="C44" i="35"/>
  <c r="E43" i="35"/>
  <c r="D43" i="35"/>
  <c r="C43" i="35"/>
  <c r="E42" i="35"/>
  <c r="D42" i="35"/>
  <c r="C42" i="35"/>
  <c r="E41" i="35"/>
  <c r="D41" i="35"/>
  <c r="C41" i="35"/>
  <c r="E40" i="35"/>
  <c r="D40" i="35"/>
  <c r="C40" i="35"/>
  <c r="E39" i="35"/>
  <c r="D39" i="35"/>
  <c r="C39" i="35"/>
  <c r="E38" i="35"/>
  <c r="D38" i="35"/>
  <c r="C38" i="35"/>
  <c r="E37" i="35"/>
  <c r="D37" i="35"/>
  <c r="C37" i="35"/>
  <c r="E36" i="35"/>
  <c r="D36" i="35"/>
  <c r="C36" i="35"/>
  <c r="E35" i="35"/>
  <c r="D35" i="35"/>
  <c r="C35" i="35"/>
  <c r="E34" i="35"/>
  <c r="D34" i="35"/>
  <c r="C34" i="35"/>
  <c r="E33" i="35"/>
  <c r="D33" i="35"/>
  <c r="C33" i="35"/>
  <c r="E32" i="35"/>
  <c r="D32" i="35"/>
  <c r="C32" i="35"/>
  <c r="E31" i="35"/>
  <c r="D31" i="35"/>
  <c r="C31" i="35"/>
  <c r="E30" i="35"/>
  <c r="D30" i="35"/>
  <c r="C30" i="35"/>
  <c r="E29" i="35"/>
  <c r="D29" i="35"/>
  <c r="C29" i="35"/>
  <c r="E28" i="35"/>
  <c r="D28" i="35"/>
  <c r="C28" i="35"/>
  <c r="E27" i="35"/>
  <c r="D27" i="35"/>
  <c r="C27" i="35"/>
  <c r="E26" i="35"/>
  <c r="D26" i="35"/>
  <c r="C26" i="35"/>
  <c r="E25" i="35"/>
  <c r="D25" i="35"/>
  <c r="C25" i="35"/>
  <c r="E24" i="35"/>
  <c r="D24" i="35"/>
  <c r="C24" i="35"/>
  <c r="E23" i="35"/>
  <c r="D23" i="35"/>
  <c r="C23" i="35"/>
  <c r="E22" i="35"/>
  <c r="D22" i="35"/>
  <c r="C22" i="35"/>
  <c r="E21" i="35"/>
  <c r="D21" i="35"/>
  <c r="C21" i="35"/>
  <c r="E20" i="35"/>
  <c r="D20" i="35"/>
  <c r="C20" i="35"/>
  <c r="E19" i="35"/>
  <c r="D19" i="35"/>
  <c r="C19" i="35"/>
  <c r="E18" i="35"/>
  <c r="D18" i="35"/>
  <c r="C18" i="35"/>
  <c r="E14" i="35"/>
  <c r="D14" i="35"/>
  <c r="C14" i="35"/>
  <c r="E13" i="35"/>
  <c r="D13" i="35"/>
  <c r="C13" i="35"/>
  <c r="E12" i="35"/>
  <c r="D12" i="35"/>
  <c r="C12" i="35"/>
  <c r="E11" i="35"/>
  <c r="D11" i="35"/>
  <c r="C11" i="35"/>
  <c r="E10" i="35"/>
  <c r="D10" i="35"/>
  <c r="C10" i="35"/>
  <c r="E9" i="35"/>
  <c r="D9" i="35"/>
  <c r="C9" i="35"/>
  <c r="E8" i="35"/>
  <c r="D8" i="35"/>
  <c r="C8" i="35"/>
  <c r="E7" i="35"/>
  <c r="D7" i="35"/>
  <c r="C7" i="35"/>
  <c r="E6" i="35"/>
  <c r="D6" i="35"/>
  <c r="C6" i="35"/>
  <c r="E5" i="35"/>
  <c r="D5" i="35"/>
  <c r="C5" i="35"/>
  <c r="E4" i="35"/>
  <c r="D4" i="35"/>
  <c r="C4" i="35"/>
  <c r="E3" i="35"/>
  <c r="D3" i="35"/>
  <c r="H3" i="35"/>
  <c r="C3" i="35"/>
  <c r="D2" i="35"/>
  <c r="E2" i="35"/>
  <c r="C2" i="35"/>
  <c r="H4" i="35" l="1"/>
  <c r="H5" i="35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5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I62" i="35"/>
  <c r="I63" i="35"/>
  <c r="I64" i="35"/>
  <c r="I65" i="35"/>
  <c r="I66" i="35"/>
  <c r="I67" i="35"/>
  <c r="I68" i="35"/>
  <c r="I69" i="35"/>
  <c r="I71" i="35"/>
  <c r="I72" i="35"/>
  <c r="I73" i="35"/>
  <c r="I74" i="35"/>
  <c r="I75" i="35"/>
  <c r="I76" i="35"/>
  <c r="I77" i="35"/>
  <c r="I78" i="35"/>
  <c r="I79" i="35"/>
  <c r="I80" i="35"/>
  <c r="I81" i="35"/>
  <c r="I83" i="35"/>
  <c r="I84" i="35"/>
  <c r="I85" i="35"/>
  <c r="I90" i="35"/>
  <c r="I91" i="35"/>
  <c r="I92" i="35"/>
  <c r="I93" i="35"/>
  <c r="I94" i="35"/>
  <c r="BT63" i="27" l="1"/>
  <c r="AL9" i="27" l="1"/>
  <c r="BJ7" i="27" l="1"/>
  <c r="AX7" i="27"/>
  <c r="AL7" i="27"/>
  <c r="AX9" i="27" l="1"/>
  <c r="AL6" i="27"/>
  <c r="X63" i="27" l="1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55" i="27"/>
  <c r="X44" i="27"/>
  <c r="X45" i="27"/>
  <c r="X46" i="27"/>
  <c r="X47" i="27"/>
  <c r="X48" i="27"/>
  <c r="X49" i="27"/>
  <c r="X50" i="27"/>
  <c r="X51" i="27"/>
  <c r="X52" i="27"/>
  <c r="X53" i="27"/>
  <c r="X29" i="27"/>
  <c r="X30" i="27"/>
  <c r="X31" i="27"/>
  <c r="X32" i="27"/>
  <c r="X33" i="27"/>
  <c r="X34" i="27"/>
  <c r="X36" i="27"/>
  <c r="X37" i="27"/>
  <c r="X38" i="27"/>
  <c r="X39" i="27"/>
  <c r="X40" i="27"/>
  <c r="X41" i="27"/>
  <c r="X42" i="27"/>
  <c r="X43" i="27"/>
  <c r="X19" i="27"/>
  <c r="X20" i="27"/>
  <c r="X21" i="27"/>
  <c r="X23" i="27"/>
  <c r="X24" i="27"/>
  <c r="X25" i="27"/>
  <c r="X27" i="27"/>
  <c r="X28" i="27"/>
  <c r="X4" i="27"/>
  <c r="X7" i="27"/>
  <c r="X9" i="27"/>
  <c r="X10" i="27"/>
  <c r="X11" i="27"/>
  <c r="X12" i="27"/>
  <c r="X13" i="27"/>
  <c r="X89" i="27"/>
  <c r="X88" i="27"/>
  <c r="X87" i="27"/>
  <c r="X86" i="27"/>
  <c r="X62" i="27"/>
  <c r="AJ52" i="27"/>
  <c r="BP7" i="27" l="1"/>
  <c r="BO7" i="27"/>
  <c r="BD7" i="27"/>
  <c r="BC7" i="27"/>
  <c r="AR7" i="27"/>
  <c r="AQ7" i="27"/>
  <c r="BC18" i="27" l="1"/>
  <c r="AQ18" i="27"/>
  <c r="BC9" i="27"/>
  <c r="AQ9" i="27"/>
  <c r="BJ6" i="27"/>
  <c r="AQ6" i="27"/>
  <c r="AQ8" i="27"/>
  <c r="AL8" i="27"/>
  <c r="BJ18" i="27" l="1"/>
  <c r="AX18" i="27"/>
  <c r="AL18" i="27"/>
  <c r="AO7" i="27"/>
  <c r="AN7" i="27"/>
  <c r="BJ12" i="27"/>
  <c r="BT12" i="27" s="1"/>
  <c r="AX12" i="27"/>
  <c r="AO12" i="27"/>
  <c r="AN12" i="27"/>
  <c r="AL12" i="27"/>
  <c r="AX6" i="27"/>
  <c r="AO6" i="27"/>
  <c r="AN6" i="27"/>
  <c r="AO5" i="27"/>
  <c r="AN5" i="27"/>
  <c r="AL5" i="27"/>
  <c r="W8" i="27" l="1"/>
  <c r="O8" i="27"/>
  <c r="U8" i="27"/>
  <c r="T8" i="27"/>
  <c r="W6" i="27"/>
  <c r="P6" i="27"/>
  <c r="O6" i="27"/>
  <c r="R6" i="27"/>
  <c r="Q6" i="27"/>
  <c r="W5" i="27"/>
  <c r="AI5" i="27"/>
  <c r="R5" i="27"/>
  <c r="Q5" i="27"/>
  <c r="O5" i="27"/>
  <c r="AI8" i="27"/>
  <c r="AI6" i="27"/>
  <c r="W26" i="27"/>
  <c r="X26" i="27" s="1"/>
  <c r="AI4" i="27"/>
  <c r="AI3" i="27"/>
  <c r="AI53" i="27"/>
  <c r="AI14" i="27"/>
  <c r="N54" i="27"/>
  <c r="X54" i="27" s="1"/>
  <c r="W35" i="27"/>
  <c r="X35" i="27" s="1"/>
  <c r="W22" i="27"/>
  <c r="X22" i="27" s="1"/>
  <c r="W14" i="27"/>
  <c r="X14" i="27" s="1"/>
  <c r="X8" i="27" l="1"/>
  <c r="X6" i="27"/>
  <c r="X5" i="27"/>
  <c r="V8" i="29"/>
  <c r="AF7" i="29"/>
  <c r="V7" i="29"/>
  <c r="V5" i="29" l="1"/>
  <c r="V13" i="30"/>
  <c r="S11" i="30" l="1"/>
  <c r="O11" i="30"/>
  <c r="N11" i="30"/>
  <c r="T5" i="30" l="1"/>
  <c r="AG6" i="30"/>
  <c r="AJ6" i="27" l="1"/>
  <c r="AJ18" i="27"/>
  <c r="AJ40" i="27"/>
  <c r="AJ42" i="27"/>
  <c r="AJ41" i="27"/>
  <c r="AJ43" i="27"/>
  <c r="AJ63" i="27"/>
  <c r="AJ55" i="27"/>
  <c r="X18" i="27"/>
  <c r="AJ53" i="27"/>
  <c r="AJ35" i="27"/>
  <c r="AJ13" i="27"/>
  <c r="AJ12" i="27"/>
  <c r="AJ54" i="27"/>
  <c r="AJ22" i="27"/>
  <c r="AJ46" i="27"/>
  <c r="AJ7" i="27"/>
  <c r="AJ49" i="27"/>
  <c r="AJ31" i="27"/>
  <c r="AJ9" i="27"/>
  <c r="AJ48" i="27"/>
  <c r="AJ28" i="27"/>
  <c r="AJ24" i="27"/>
  <c r="AJ32" i="27"/>
  <c r="AJ26" i="27"/>
  <c r="AJ21" i="27"/>
  <c r="AJ33" i="27"/>
  <c r="AJ4" i="27"/>
  <c r="AJ27" i="27"/>
  <c r="AJ25" i="27"/>
  <c r="AJ29" i="27"/>
  <c r="AJ3" i="27"/>
  <c r="X3" i="27"/>
  <c r="J3" i="35" s="1"/>
  <c r="AJ11" i="27"/>
  <c r="AJ30" i="27"/>
  <c r="AJ23" i="27"/>
  <c r="AJ50" i="27"/>
  <c r="AJ44" i="27"/>
  <c r="AJ20" i="27"/>
  <c r="AJ19" i="27"/>
  <c r="AA15" i="27" l="1"/>
  <c r="AA56" i="27"/>
  <c r="AA85" i="27"/>
  <c r="AA90" i="27"/>
  <c r="EK4" i="32" l="1"/>
  <c r="EK5" i="32"/>
  <c r="EK6" i="32"/>
  <c r="EK7" i="32"/>
  <c r="EK8" i="32"/>
  <c r="EK9" i="32"/>
  <c r="EK10" i="32"/>
  <c r="EK3" i="32"/>
  <c r="CR78" i="27" l="1"/>
  <c r="AJ5" i="27" l="1"/>
  <c r="AJ66" i="27" l="1"/>
  <c r="AV66" i="27"/>
  <c r="BH66" i="27"/>
  <c r="BT66" i="27"/>
  <c r="CF66" i="27"/>
  <c r="CR66" i="27"/>
  <c r="DD66" i="27"/>
  <c r="DP66" i="27"/>
  <c r="EB66" i="27"/>
  <c r="EN66" i="27"/>
  <c r="AJ67" i="27"/>
  <c r="AV67" i="27"/>
  <c r="BH67" i="27"/>
  <c r="BT67" i="27"/>
  <c r="CF67" i="27"/>
  <c r="CR67" i="27"/>
  <c r="DD67" i="27"/>
  <c r="DP67" i="27"/>
  <c r="EB67" i="27"/>
  <c r="EN67" i="27"/>
  <c r="AJ68" i="27"/>
  <c r="AV68" i="27"/>
  <c r="BH68" i="27"/>
  <c r="BT68" i="27"/>
  <c r="CF68" i="27"/>
  <c r="CR68" i="27"/>
  <c r="DD68" i="27"/>
  <c r="DP68" i="27"/>
  <c r="EB68" i="27"/>
  <c r="EN68" i="27"/>
  <c r="AJ69" i="27"/>
  <c r="AV69" i="27"/>
  <c r="BH69" i="27"/>
  <c r="BT69" i="27"/>
  <c r="CF69" i="27"/>
  <c r="CR69" i="27"/>
  <c r="DD69" i="27"/>
  <c r="DP69" i="27"/>
  <c r="EB69" i="27"/>
  <c r="EN69" i="27"/>
  <c r="T2" i="35" l="1"/>
  <c r="T1" i="35"/>
  <c r="S2" i="35"/>
  <c r="S1" i="35"/>
  <c r="R2" i="35"/>
  <c r="R1" i="35"/>
  <c r="Q2" i="35"/>
  <c r="Q1" i="35"/>
  <c r="P2" i="35"/>
  <c r="P1" i="35"/>
  <c r="O2" i="35"/>
  <c r="O1" i="35"/>
  <c r="N2" i="35"/>
  <c r="N1" i="35"/>
  <c r="M2" i="35"/>
  <c r="M1" i="35"/>
  <c r="L2" i="35"/>
  <c r="L1" i="35"/>
  <c r="K2" i="35"/>
  <c r="K1" i="35"/>
  <c r="J2" i="35"/>
  <c r="J1" i="35"/>
  <c r="I2" i="35"/>
  <c r="I1" i="35"/>
  <c r="H2" i="35"/>
  <c r="G2" i="35"/>
  <c r="G1" i="35"/>
  <c r="H1" i="35"/>
  <c r="AJ14" i="27" l="1"/>
  <c r="N15" i="27"/>
  <c r="O15" i="27"/>
  <c r="P15" i="27"/>
  <c r="Q15" i="27"/>
  <c r="R15" i="27"/>
  <c r="S15" i="27"/>
  <c r="T15" i="27"/>
  <c r="U15" i="27"/>
  <c r="V15" i="27"/>
  <c r="W15" i="27"/>
  <c r="Y15" i="27"/>
  <c r="Z15" i="27"/>
  <c r="AB15" i="27"/>
  <c r="AC15" i="27"/>
  <c r="AD15" i="27"/>
  <c r="AE15" i="27"/>
  <c r="AF15" i="27"/>
  <c r="AG15" i="27"/>
  <c r="AH15" i="27"/>
  <c r="AI15" i="27"/>
  <c r="AK15" i="27"/>
  <c r="AL15" i="27"/>
  <c r="AM15" i="27"/>
  <c r="AN15" i="27"/>
  <c r="AO15" i="27"/>
  <c r="AP15" i="27"/>
  <c r="AQ15" i="27"/>
  <c r="AR15" i="27"/>
  <c r="AS15" i="27"/>
  <c r="AT15" i="27"/>
  <c r="AU15" i="27"/>
  <c r="AW15" i="27"/>
  <c r="AX15" i="27"/>
  <c r="AY15" i="27"/>
  <c r="AZ15" i="27"/>
  <c r="BA15" i="27"/>
  <c r="BB15" i="27"/>
  <c r="BC15" i="27"/>
  <c r="BD15" i="27"/>
  <c r="BE15" i="27"/>
  <c r="BF15" i="27"/>
  <c r="BG15" i="27"/>
  <c r="BI15" i="27"/>
  <c r="BJ15" i="27"/>
  <c r="BK15" i="27"/>
  <c r="BL15" i="27"/>
  <c r="BM15" i="27"/>
  <c r="BN15" i="27"/>
  <c r="BO15" i="27"/>
  <c r="BP15" i="27"/>
  <c r="BQ15" i="27"/>
  <c r="BR15" i="27"/>
  <c r="BS15" i="27"/>
  <c r="BU15" i="27"/>
  <c r="BV15" i="27"/>
  <c r="BW15" i="27"/>
  <c r="BX15" i="27"/>
  <c r="BY15" i="27"/>
  <c r="BZ15" i="27"/>
  <c r="CA15" i="27"/>
  <c r="CB15" i="27"/>
  <c r="CC15" i="27"/>
  <c r="CD15" i="27"/>
  <c r="CE15" i="27"/>
  <c r="CG15" i="27"/>
  <c r="CH15" i="27"/>
  <c r="CI15" i="27"/>
  <c r="CJ15" i="27"/>
  <c r="CK15" i="27"/>
  <c r="CL15" i="27"/>
  <c r="CM15" i="27"/>
  <c r="CN15" i="27"/>
  <c r="CO15" i="27"/>
  <c r="CP15" i="27"/>
  <c r="CQ15" i="27"/>
  <c r="CS15" i="27"/>
  <c r="CT15" i="27"/>
  <c r="CU15" i="27"/>
  <c r="CV15" i="27"/>
  <c r="CW15" i="27"/>
  <c r="CX15" i="27"/>
  <c r="CY15" i="27"/>
  <c r="CZ15" i="27"/>
  <c r="DA15" i="27"/>
  <c r="DB15" i="27"/>
  <c r="DC15" i="27"/>
  <c r="DE15" i="27"/>
  <c r="DF15" i="27"/>
  <c r="DG15" i="27"/>
  <c r="DH15" i="27"/>
  <c r="DI15" i="27"/>
  <c r="DJ15" i="27"/>
  <c r="DK15" i="27"/>
  <c r="DL15" i="27"/>
  <c r="DM15" i="27"/>
  <c r="DN15" i="27"/>
  <c r="DO15" i="27"/>
  <c r="DQ15" i="27"/>
  <c r="DR15" i="27"/>
  <c r="DS15" i="27"/>
  <c r="DT15" i="27"/>
  <c r="DU15" i="27"/>
  <c r="DV15" i="27"/>
  <c r="DW15" i="27"/>
  <c r="DX15" i="27"/>
  <c r="DY15" i="27"/>
  <c r="DZ15" i="27"/>
  <c r="EA15" i="27"/>
  <c r="EC15" i="27"/>
  <c r="ED15" i="27"/>
  <c r="EE15" i="27"/>
  <c r="EF15" i="27"/>
  <c r="EG15" i="27"/>
  <c r="EH15" i="27"/>
  <c r="EI15" i="27"/>
  <c r="EJ15" i="27"/>
  <c r="EK15" i="27"/>
  <c r="EL15" i="27"/>
  <c r="EM15" i="27"/>
  <c r="AV14" i="27"/>
  <c r="BH14" i="27"/>
  <c r="BT14" i="27"/>
  <c r="CF14" i="27"/>
  <c r="CR14" i="27"/>
  <c r="DD14" i="27"/>
  <c r="DP14" i="27"/>
  <c r="EB14" i="27"/>
  <c r="EN14" i="27"/>
  <c r="M14" i="27" l="1"/>
  <c r="I14" i="35" s="1"/>
  <c r="N56" i="27" l="1"/>
  <c r="O56" i="27"/>
  <c r="P56" i="27"/>
  <c r="Q56" i="27"/>
  <c r="R56" i="27"/>
  <c r="S56" i="27"/>
  <c r="T56" i="27"/>
  <c r="U56" i="27"/>
  <c r="V56" i="27"/>
  <c r="W56" i="27"/>
  <c r="Y56" i="27"/>
  <c r="Z56" i="27"/>
  <c r="AB56" i="27"/>
  <c r="AC56" i="27"/>
  <c r="AD56" i="27"/>
  <c r="AE56" i="27"/>
  <c r="AF56" i="27"/>
  <c r="AG56" i="27"/>
  <c r="AH56" i="27"/>
  <c r="AI56" i="27"/>
  <c r="AK56" i="27"/>
  <c r="AL56" i="27"/>
  <c r="AM56" i="27"/>
  <c r="AN56" i="27"/>
  <c r="AO56" i="27"/>
  <c r="AP56" i="27"/>
  <c r="AQ56" i="27"/>
  <c r="AR56" i="27"/>
  <c r="AS56" i="27"/>
  <c r="AT56" i="27"/>
  <c r="AU56" i="27"/>
  <c r="AW56" i="27"/>
  <c r="AX56" i="27"/>
  <c r="AY56" i="27"/>
  <c r="AZ56" i="27"/>
  <c r="BA56" i="27"/>
  <c r="BB56" i="27"/>
  <c r="BC56" i="27"/>
  <c r="BD56" i="27"/>
  <c r="BE56" i="27"/>
  <c r="BF56" i="27"/>
  <c r="BG56" i="27"/>
  <c r="BI56" i="27"/>
  <c r="BJ56" i="27"/>
  <c r="BK56" i="27"/>
  <c r="BL56" i="27"/>
  <c r="BM56" i="27"/>
  <c r="BN56" i="27"/>
  <c r="BO56" i="27"/>
  <c r="BP56" i="27"/>
  <c r="BQ56" i="27"/>
  <c r="BR56" i="27"/>
  <c r="BS56" i="27"/>
  <c r="BU56" i="27"/>
  <c r="BV56" i="27"/>
  <c r="BW56" i="27"/>
  <c r="BX56" i="27"/>
  <c r="BY56" i="27"/>
  <c r="BZ56" i="27"/>
  <c r="CA56" i="27"/>
  <c r="CB56" i="27"/>
  <c r="CC56" i="27"/>
  <c r="CD56" i="27"/>
  <c r="CE56" i="27"/>
  <c r="CG56" i="27"/>
  <c r="CH56" i="27"/>
  <c r="CI56" i="27"/>
  <c r="CJ56" i="27"/>
  <c r="CK56" i="27"/>
  <c r="CL56" i="27"/>
  <c r="CM56" i="27"/>
  <c r="CN56" i="27"/>
  <c r="CO56" i="27"/>
  <c r="CP56" i="27"/>
  <c r="CQ56" i="27"/>
  <c r="CS56" i="27"/>
  <c r="CT56" i="27"/>
  <c r="CU56" i="27"/>
  <c r="CV56" i="27"/>
  <c r="CW56" i="27"/>
  <c r="CX56" i="27"/>
  <c r="CY56" i="27"/>
  <c r="CZ56" i="27"/>
  <c r="DA56" i="27"/>
  <c r="DB56" i="27"/>
  <c r="DC56" i="27"/>
  <c r="DF56" i="27"/>
  <c r="DG56" i="27"/>
  <c r="DH56" i="27"/>
  <c r="DI56" i="27"/>
  <c r="DJ56" i="27"/>
  <c r="DK56" i="27"/>
  <c r="DL56" i="27"/>
  <c r="DM56" i="27"/>
  <c r="DN56" i="27"/>
  <c r="DO56" i="27"/>
  <c r="DR56" i="27"/>
  <c r="DS56" i="27"/>
  <c r="DT56" i="27"/>
  <c r="DU56" i="27"/>
  <c r="DV56" i="27"/>
  <c r="DW56" i="27"/>
  <c r="DX56" i="27"/>
  <c r="DY56" i="27"/>
  <c r="DZ56" i="27"/>
  <c r="EA56" i="27"/>
  <c r="EC56" i="27"/>
  <c r="ED56" i="27"/>
  <c r="EE56" i="27"/>
  <c r="EF56" i="27"/>
  <c r="EG56" i="27"/>
  <c r="EH56" i="27"/>
  <c r="EI56" i="27"/>
  <c r="EJ56" i="27"/>
  <c r="EK56" i="27"/>
  <c r="EL56" i="27"/>
  <c r="EM56" i="27"/>
  <c r="N90" i="27"/>
  <c r="O90" i="27"/>
  <c r="P90" i="27"/>
  <c r="Q90" i="27"/>
  <c r="R90" i="27"/>
  <c r="S90" i="27"/>
  <c r="T90" i="27"/>
  <c r="U90" i="27"/>
  <c r="V90" i="27"/>
  <c r="W90" i="27"/>
  <c r="Y90" i="27"/>
  <c r="Z90" i="27"/>
  <c r="AB90" i="27"/>
  <c r="AC90" i="27"/>
  <c r="AD90" i="27"/>
  <c r="AE90" i="27"/>
  <c r="AF90" i="27"/>
  <c r="AG90" i="27"/>
  <c r="AH90" i="27"/>
  <c r="AI90" i="27"/>
  <c r="AK90" i="27"/>
  <c r="AL90" i="27"/>
  <c r="AM90" i="27"/>
  <c r="AN90" i="27"/>
  <c r="AO90" i="27"/>
  <c r="AP90" i="27"/>
  <c r="AQ90" i="27"/>
  <c r="AR90" i="27"/>
  <c r="AS90" i="27"/>
  <c r="AT90" i="27"/>
  <c r="AU90" i="27"/>
  <c r="AW90" i="27"/>
  <c r="AX90" i="27"/>
  <c r="AY90" i="27"/>
  <c r="AZ90" i="27"/>
  <c r="BA90" i="27"/>
  <c r="BB90" i="27"/>
  <c r="BC90" i="27"/>
  <c r="BD90" i="27"/>
  <c r="BE90" i="27"/>
  <c r="BF90" i="27"/>
  <c r="BG90" i="27"/>
  <c r="BI90" i="27"/>
  <c r="BJ90" i="27"/>
  <c r="BK90" i="27"/>
  <c r="BL90" i="27"/>
  <c r="BM90" i="27"/>
  <c r="BN90" i="27"/>
  <c r="BO90" i="27"/>
  <c r="BP90" i="27"/>
  <c r="BQ90" i="27"/>
  <c r="BR90" i="27"/>
  <c r="BS90" i="27"/>
  <c r="BU90" i="27"/>
  <c r="BV90" i="27"/>
  <c r="BW90" i="27"/>
  <c r="BX90" i="27"/>
  <c r="BY90" i="27"/>
  <c r="BZ90" i="27"/>
  <c r="CA90" i="27"/>
  <c r="CB90" i="27"/>
  <c r="CC90" i="27"/>
  <c r="CD90" i="27"/>
  <c r="CE90" i="27"/>
  <c r="CG90" i="27"/>
  <c r="CH90" i="27"/>
  <c r="CI90" i="27"/>
  <c r="CJ90" i="27"/>
  <c r="CK90" i="27"/>
  <c r="CL90" i="27"/>
  <c r="CM90" i="27"/>
  <c r="CN90" i="27"/>
  <c r="CO90" i="27"/>
  <c r="CP90" i="27"/>
  <c r="CQ90" i="27"/>
  <c r="CS90" i="27"/>
  <c r="CT90" i="27"/>
  <c r="CU90" i="27"/>
  <c r="CV90" i="27"/>
  <c r="CW90" i="27"/>
  <c r="CX90" i="27"/>
  <c r="CY90" i="27"/>
  <c r="CZ90" i="27"/>
  <c r="DA90" i="27"/>
  <c r="DB90" i="27"/>
  <c r="DC90" i="27"/>
  <c r="DE90" i="27"/>
  <c r="DF90" i="27"/>
  <c r="DG90" i="27"/>
  <c r="DH90" i="27"/>
  <c r="DI90" i="27"/>
  <c r="DJ90" i="27"/>
  <c r="DK90" i="27"/>
  <c r="DL90" i="27"/>
  <c r="DM90" i="27"/>
  <c r="DN90" i="27"/>
  <c r="DO90" i="27"/>
  <c r="DQ90" i="27"/>
  <c r="DR90" i="27"/>
  <c r="DS90" i="27"/>
  <c r="DT90" i="27"/>
  <c r="DU90" i="27"/>
  <c r="DV90" i="27"/>
  <c r="DW90" i="27"/>
  <c r="DX90" i="27"/>
  <c r="DY90" i="27"/>
  <c r="DZ90" i="27"/>
  <c r="EA90" i="27"/>
  <c r="EC90" i="27"/>
  <c r="ED90" i="27"/>
  <c r="EE90" i="27"/>
  <c r="EF90" i="27"/>
  <c r="EG90" i="27"/>
  <c r="EH90" i="27"/>
  <c r="EI90" i="27"/>
  <c r="EJ90" i="27"/>
  <c r="EK90" i="27"/>
  <c r="EL90" i="27"/>
  <c r="EM90" i="27"/>
  <c r="EN88" i="27"/>
  <c r="EB88" i="27"/>
  <c r="DP88" i="27"/>
  <c r="DD88" i="27"/>
  <c r="CR88" i="27"/>
  <c r="CF88" i="27"/>
  <c r="BT88" i="27"/>
  <c r="BH88" i="27"/>
  <c r="AV88" i="27"/>
  <c r="AJ88" i="27"/>
  <c r="EN87" i="27"/>
  <c r="EB87" i="27"/>
  <c r="DP87" i="27"/>
  <c r="DD87" i="27"/>
  <c r="CR87" i="27"/>
  <c r="CF87" i="27"/>
  <c r="BT87" i="27"/>
  <c r="BH87" i="27"/>
  <c r="AV87" i="27"/>
  <c r="AJ87" i="27"/>
  <c r="EN86" i="27"/>
  <c r="EB86" i="27"/>
  <c r="DP86" i="27"/>
  <c r="DD86" i="27"/>
  <c r="CR86" i="27"/>
  <c r="CF86" i="27"/>
  <c r="BT86" i="27"/>
  <c r="BH86" i="27"/>
  <c r="AV86" i="27"/>
  <c r="AJ86" i="27"/>
  <c r="U21" i="30" l="1"/>
  <c r="AG21" i="30"/>
  <c r="AS21" i="30"/>
  <c r="BE21" i="30"/>
  <c r="BQ21" i="30"/>
  <c r="CC21" i="30"/>
  <c r="CO21" i="30"/>
  <c r="DA21" i="30"/>
  <c r="DM21" i="30"/>
  <c r="DY21" i="30"/>
  <c r="EK21" i="30"/>
  <c r="J21" i="30" l="1"/>
  <c r="D3" i="28"/>
  <c r="E3" i="28"/>
  <c r="F3" i="28"/>
  <c r="G3" i="28"/>
  <c r="H3" i="28"/>
  <c r="I3" i="28"/>
  <c r="J3" i="28"/>
  <c r="K3" i="28"/>
  <c r="L3" i="28"/>
  <c r="C3" i="28"/>
  <c r="EN84" i="27" l="1"/>
  <c r="DP84" i="27"/>
  <c r="DD84" i="27"/>
  <c r="CR84" i="27"/>
  <c r="CF84" i="27"/>
  <c r="BT84" i="27"/>
  <c r="BH84" i="27"/>
  <c r="AV84" i="27"/>
  <c r="AJ84" i="27"/>
  <c r="BH83" i="27"/>
  <c r="EN74" i="27"/>
  <c r="AV74" i="27"/>
  <c r="EN62" i="27"/>
  <c r="AJ62" i="27"/>
  <c r="DP82" i="27"/>
  <c r="EN82" i="27"/>
  <c r="EB82" i="27"/>
  <c r="DD82" i="27"/>
  <c r="CR82" i="27"/>
  <c r="CF82" i="27"/>
  <c r="BT82" i="27"/>
  <c r="BH82" i="27"/>
  <c r="AV82" i="27"/>
  <c r="AJ82" i="27"/>
  <c r="EN81" i="27"/>
  <c r="EB81" i="27"/>
  <c r="DP81" i="27"/>
  <c r="DD81" i="27"/>
  <c r="CR81" i="27"/>
  <c r="CF81" i="27"/>
  <c r="BT81" i="27"/>
  <c r="BH81" i="27"/>
  <c r="AV81" i="27"/>
  <c r="AJ81" i="27"/>
  <c r="EN80" i="27"/>
  <c r="AJ80" i="27"/>
  <c r="AV80" i="27"/>
  <c r="BH80" i="27"/>
  <c r="BT80" i="27"/>
  <c r="CF80" i="27"/>
  <c r="CR80" i="27"/>
  <c r="DD80" i="27"/>
  <c r="DP80" i="27"/>
  <c r="EB80" i="27"/>
  <c r="EB84" i="27" l="1"/>
  <c r="K14" i="30"/>
  <c r="L14" i="30"/>
  <c r="M14" i="30"/>
  <c r="N14" i="30"/>
  <c r="O14" i="30"/>
  <c r="P14" i="30"/>
  <c r="Q14" i="30"/>
  <c r="R14" i="30"/>
  <c r="S14" i="30"/>
  <c r="T14" i="30"/>
  <c r="V14" i="30"/>
  <c r="W14" i="30"/>
  <c r="X14" i="30"/>
  <c r="Y14" i="30"/>
  <c r="Z14" i="30"/>
  <c r="AA14" i="30"/>
  <c r="AB14" i="30"/>
  <c r="AC14" i="30"/>
  <c r="AD14" i="30"/>
  <c r="AE14" i="30"/>
  <c r="AF14" i="30"/>
  <c r="AH14" i="30"/>
  <c r="AI14" i="30"/>
  <c r="AJ14" i="30"/>
  <c r="AK14" i="30"/>
  <c r="AL14" i="30"/>
  <c r="AM14" i="30"/>
  <c r="AN14" i="30"/>
  <c r="AO14" i="30"/>
  <c r="AP14" i="30"/>
  <c r="AQ14" i="30"/>
  <c r="AR14" i="30"/>
  <c r="AT14" i="30"/>
  <c r="AU14" i="30"/>
  <c r="AV14" i="30"/>
  <c r="AW14" i="30"/>
  <c r="AX14" i="30"/>
  <c r="AY14" i="30"/>
  <c r="AZ14" i="30"/>
  <c r="BA14" i="30"/>
  <c r="BB14" i="30"/>
  <c r="BC14" i="30"/>
  <c r="BD14" i="30"/>
  <c r="BF14" i="30"/>
  <c r="BG14" i="30"/>
  <c r="BH14" i="30"/>
  <c r="BI14" i="30"/>
  <c r="BJ14" i="30"/>
  <c r="BK14" i="30"/>
  <c r="BL14" i="30"/>
  <c r="BM14" i="30"/>
  <c r="BN14" i="30"/>
  <c r="BO14" i="30"/>
  <c r="BP14" i="30"/>
  <c r="BR14" i="30"/>
  <c r="BS14" i="30"/>
  <c r="BT14" i="30"/>
  <c r="BU14" i="30"/>
  <c r="BV14" i="30"/>
  <c r="BW14" i="30"/>
  <c r="BX14" i="30"/>
  <c r="BY14" i="30"/>
  <c r="BZ14" i="30"/>
  <c r="CA14" i="30"/>
  <c r="CB14" i="30"/>
  <c r="CD14" i="30"/>
  <c r="CE14" i="30"/>
  <c r="CF14" i="30"/>
  <c r="CG14" i="30"/>
  <c r="CH14" i="30"/>
  <c r="CI14" i="30"/>
  <c r="CJ14" i="30"/>
  <c r="CK14" i="30"/>
  <c r="CL14" i="30"/>
  <c r="CM14" i="30"/>
  <c r="CN14" i="30"/>
  <c r="CP14" i="30"/>
  <c r="CQ14" i="30"/>
  <c r="CR14" i="30"/>
  <c r="CS14" i="30"/>
  <c r="CT14" i="30"/>
  <c r="CU14" i="30"/>
  <c r="CV14" i="30"/>
  <c r="CW14" i="30"/>
  <c r="CX14" i="30"/>
  <c r="CY14" i="30"/>
  <c r="CZ14" i="30"/>
  <c r="DB14" i="30"/>
  <c r="DC14" i="30"/>
  <c r="DD14" i="30"/>
  <c r="DE14" i="30"/>
  <c r="DF14" i="30"/>
  <c r="DG14" i="30"/>
  <c r="DH14" i="30"/>
  <c r="DI14" i="30"/>
  <c r="DJ14" i="30"/>
  <c r="DK14" i="30"/>
  <c r="DL14" i="30"/>
  <c r="DN14" i="30"/>
  <c r="DO14" i="30"/>
  <c r="DP14" i="30"/>
  <c r="DQ14" i="30"/>
  <c r="DR14" i="30"/>
  <c r="DS14" i="30"/>
  <c r="DT14" i="30"/>
  <c r="DU14" i="30"/>
  <c r="DV14" i="30"/>
  <c r="DW14" i="30"/>
  <c r="DX14" i="30"/>
  <c r="DZ14" i="30"/>
  <c r="EA14" i="30"/>
  <c r="EB14" i="30"/>
  <c r="EC14" i="30"/>
  <c r="ED14" i="30"/>
  <c r="EE14" i="30"/>
  <c r="EF14" i="30"/>
  <c r="EG14" i="30"/>
  <c r="EH14" i="30"/>
  <c r="EI14" i="30"/>
  <c r="EJ14" i="30"/>
  <c r="K23" i="30"/>
  <c r="L23" i="30"/>
  <c r="M23" i="30"/>
  <c r="N23" i="30"/>
  <c r="O23" i="30"/>
  <c r="P23" i="30"/>
  <c r="Q23" i="30"/>
  <c r="R23" i="30"/>
  <c r="S23" i="30"/>
  <c r="T23" i="30"/>
  <c r="V23" i="30"/>
  <c r="W23" i="30"/>
  <c r="X23" i="30"/>
  <c r="Y23" i="30"/>
  <c r="Z23" i="30"/>
  <c r="AA23" i="30"/>
  <c r="AB23" i="30"/>
  <c r="AC23" i="30"/>
  <c r="AD23" i="30"/>
  <c r="AE23" i="30"/>
  <c r="AF23" i="30"/>
  <c r="AH23" i="30"/>
  <c r="AI23" i="30"/>
  <c r="AJ23" i="30"/>
  <c r="AK23" i="30"/>
  <c r="AL23" i="30"/>
  <c r="AM23" i="30"/>
  <c r="AN23" i="30"/>
  <c r="AO23" i="30"/>
  <c r="AP23" i="30"/>
  <c r="AQ23" i="30"/>
  <c r="AR23" i="30"/>
  <c r="AT23" i="30"/>
  <c r="AU23" i="30"/>
  <c r="AV23" i="30"/>
  <c r="AW23" i="30"/>
  <c r="AX23" i="30"/>
  <c r="AY23" i="30"/>
  <c r="AZ23" i="30"/>
  <c r="BA23" i="30"/>
  <c r="BB23" i="30"/>
  <c r="BC23" i="30"/>
  <c r="BD23" i="30"/>
  <c r="BF23" i="30"/>
  <c r="BG23" i="30"/>
  <c r="BH23" i="30"/>
  <c r="BI23" i="30"/>
  <c r="BJ23" i="30"/>
  <c r="BK23" i="30"/>
  <c r="BL23" i="30"/>
  <c r="BM23" i="30"/>
  <c r="BN23" i="30"/>
  <c r="BO23" i="30"/>
  <c r="BP23" i="30"/>
  <c r="BR23" i="30"/>
  <c r="BS23" i="30"/>
  <c r="BT23" i="30"/>
  <c r="BU23" i="30"/>
  <c r="BV23" i="30"/>
  <c r="BW23" i="30"/>
  <c r="BX23" i="30"/>
  <c r="BY23" i="30"/>
  <c r="BZ23" i="30"/>
  <c r="CA23" i="30"/>
  <c r="CB23" i="30"/>
  <c r="CD23" i="30"/>
  <c r="CE23" i="30"/>
  <c r="CF23" i="30"/>
  <c r="CG23" i="30"/>
  <c r="CH23" i="30"/>
  <c r="CI23" i="30"/>
  <c r="CJ23" i="30"/>
  <c r="CK23" i="30"/>
  <c r="CL23" i="30"/>
  <c r="CM23" i="30"/>
  <c r="CN23" i="30"/>
  <c r="CP23" i="30"/>
  <c r="CQ23" i="30"/>
  <c r="CR23" i="30"/>
  <c r="CS23" i="30"/>
  <c r="CT23" i="30"/>
  <c r="CU23" i="30"/>
  <c r="CV23" i="30"/>
  <c r="CW23" i="30"/>
  <c r="CX23" i="30"/>
  <c r="CY23" i="30"/>
  <c r="CZ23" i="30"/>
  <c r="DB23" i="30"/>
  <c r="DC23" i="30"/>
  <c r="DD23" i="30"/>
  <c r="DE23" i="30"/>
  <c r="DF23" i="30"/>
  <c r="DG23" i="30"/>
  <c r="DH23" i="30"/>
  <c r="DI23" i="30"/>
  <c r="DJ23" i="30"/>
  <c r="DK23" i="30"/>
  <c r="DL23" i="30"/>
  <c r="DN23" i="30"/>
  <c r="DO23" i="30"/>
  <c r="DP23" i="30"/>
  <c r="DQ23" i="30"/>
  <c r="DR23" i="30"/>
  <c r="DS23" i="30"/>
  <c r="DT23" i="30"/>
  <c r="DU23" i="30"/>
  <c r="DV23" i="30"/>
  <c r="DW23" i="30"/>
  <c r="DX23" i="30"/>
  <c r="DZ23" i="30"/>
  <c r="EA23" i="30"/>
  <c r="EB23" i="30"/>
  <c r="EC23" i="30"/>
  <c r="ED23" i="30"/>
  <c r="EE23" i="30"/>
  <c r="EF23" i="30"/>
  <c r="EG23" i="30"/>
  <c r="EH23" i="30"/>
  <c r="EI23" i="30"/>
  <c r="EJ23" i="30"/>
  <c r="AJ79" i="27"/>
  <c r="AV79" i="27"/>
  <c r="BH79" i="27"/>
  <c r="BT79" i="27"/>
  <c r="CF79" i="27"/>
  <c r="CR79" i="27"/>
  <c r="DD79" i="27"/>
  <c r="DP79" i="27"/>
  <c r="EB79" i="27"/>
  <c r="EN79" i="27"/>
  <c r="CF71" i="27"/>
  <c r="AV35" i="27" l="1"/>
  <c r="AV36" i="27"/>
  <c r="AV37" i="27"/>
  <c r="AV38" i="27"/>
  <c r="AV39" i="27"/>
  <c r="AV40" i="27"/>
  <c r="AV41" i="27"/>
  <c r="AV42" i="27"/>
  <c r="AV43" i="27"/>
  <c r="AV44" i="27"/>
  <c r="AV45" i="27"/>
  <c r="AV46" i="27"/>
  <c r="AV47" i="27"/>
  <c r="AV48" i="27"/>
  <c r="AV49" i="27"/>
  <c r="AV34" i="27"/>
  <c r="EN20" i="27"/>
  <c r="EN21" i="27"/>
  <c r="EN22" i="27"/>
  <c r="EN23" i="27"/>
  <c r="EN24" i="27"/>
  <c r="EN25" i="27"/>
  <c r="EN26" i="27"/>
  <c r="EN27" i="27"/>
  <c r="EN28" i="27"/>
  <c r="EN29" i="27"/>
  <c r="EN30" i="27"/>
  <c r="EN31" i="27"/>
  <c r="EN32" i="27"/>
  <c r="EN33" i="27"/>
  <c r="DD12" i="27"/>
  <c r="DD13" i="27"/>
  <c r="DD11" i="27"/>
  <c r="DD89" i="27"/>
  <c r="DD55" i="27"/>
  <c r="DD71" i="27"/>
  <c r="AV71" i="27"/>
  <c r="EN63" i="27"/>
  <c r="DD50" i="27"/>
  <c r="DP35" i="27"/>
  <c r="DP36" i="27"/>
  <c r="DP37" i="27"/>
  <c r="DP38" i="27"/>
  <c r="DP39" i="27"/>
  <c r="DP40" i="27"/>
  <c r="DP41" i="27"/>
  <c r="DP42" i="27"/>
  <c r="DP43" i="27"/>
  <c r="DP44" i="27"/>
  <c r="DP45" i="27"/>
  <c r="DP46" i="27"/>
  <c r="DP47" i="27"/>
  <c r="DP48" i="27"/>
  <c r="DP49" i="27"/>
  <c r="DP34" i="27"/>
  <c r="DD33" i="27"/>
  <c r="DD25" i="27"/>
  <c r="DD26" i="27"/>
  <c r="DD27" i="27"/>
  <c r="DD28" i="27"/>
  <c r="DD29" i="27"/>
  <c r="DD30" i="27"/>
  <c r="DD31" i="27"/>
  <c r="DD32" i="27"/>
  <c r="DD24" i="27"/>
  <c r="DD90" i="27" l="1"/>
  <c r="EN78" i="27"/>
  <c r="AV78" i="27"/>
  <c r="BH78" i="27"/>
  <c r="EB78" i="27"/>
  <c r="DP78" i="27"/>
  <c r="DD78" i="27"/>
  <c r="CF78" i="27"/>
  <c r="BT78" i="27"/>
  <c r="AJ78" i="27"/>
  <c r="EN83" i="27"/>
  <c r="EN71" i="27"/>
  <c r="EB71" i="27"/>
  <c r="DP71" i="27"/>
  <c r="CR71" i="27"/>
  <c r="BT71" i="27"/>
  <c r="BH71" i="27"/>
  <c r="AJ71" i="27"/>
  <c r="AJ70" i="27"/>
  <c r="AJ72" i="27"/>
  <c r="AJ73" i="27"/>
  <c r="AJ74" i="27"/>
  <c r="AJ75" i="27"/>
  <c r="AJ76" i="27"/>
  <c r="AJ77" i="27"/>
  <c r="AJ65" i="27"/>
  <c r="AV83" i="27"/>
  <c r="AJ83" i="27"/>
  <c r="H7" i="31" l="1"/>
  <c r="EN91" i="27"/>
  <c r="EB91" i="27"/>
  <c r="DP91" i="27"/>
  <c r="DD91" i="27"/>
  <c r="CR91" i="27"/>
  <c r="CF91" i="27"/>
  <c r="BT91" i="27"/>
  <c r="BH91" i="27"/>
  <c r="AV91" i="27"/>
  <c r="AJ91" i="27"/>
  <c r="X91" i="27"/>
  <c r="CC22" i="30"/>
  <c r="CC20" i="30"/>
  <c r="CC19" i="30"/>
  <c r="CC18" i="30"/>
  <c r="CC17" i="30"/>
  <c r="CC16" i="30"/>
  <c r="BQ22" i="30"/>
  <c r="BQ20" i="30"/>
  <c r="BQ19" i="30"/>
  <c r="BQ18" i="30"/>
  <c r="BQ17" i="30"/>
  <c r="BQ16" i="30"/>
  <c r="BE22" i="30"/>
  <c r="BE20" i="30"/>
  <c r="BE19" i="30"/>
  <c r="BE18" i="30"/>
  <c r="BE17" i="30"/>
  <c r="BE16" i="30"/>
  <c r="AS22" i="30"/>
  <c r="AS20" i="30"/>
  <c r="AS19" i="30"/>
  <c r="AS18" i="30"/>
  <c r="AS17" i="30"/>
  <c r="AS16" i="30"/>
  <c r="AG17" i="30"/>
  <c r="AG18" i="30"/>
  <c r="AG19" i="30"/>
  <c r="AG20" i="30"/>
  <c r="AG22" i="30"/>
  <c r="AG16" i="30"/>
  <c r="U17" i="30"/>
  <c r="U18" i="30"/>
  <c r="U19" i="30"/>
  <c r="U20" i="30"/>
  <c r="U22" i="30"/>
  <c r="U16" i="30"/>
  <c r="CO22" i="30"/>
  <c r="DA22" i="30"/>
  <c r="DM22" i="30"/>
  <c r="DY22" i="30"/>
  <c r="EK22" i="30"/>
  <c r="EK20" i="30"/>
  <c r="DY20" i="30"/>
  <c r="DM20" i="30"/>
  <c r="DA20" i="30"/>
  <c r="CO20" i="30"/>
  <c r="EK19" i="30"/>
  <c r="DY19" i="30"/>
  <c r="DM19" i="30"/>
  <c r="DA19" i="30"/>
  <c r="CO19" i="30"/>
  <c r="EK18" i="30"/>
  <c r="DY18" i="30"/>
  <c r="DM18" i="30"/>
  <c r="DA18" i="30"/>
  <c r="CO18" i="30"/>
  <c r="EK17" i="30"/>
  <c r="DY17" i="30"/>
  <c r="DM17" i="30"/>
  <c r="DA17" i="30"/>
  <c r="CO17" i="30"/>
  <c r="EK16" i="30"/>
  <c r="DY16" i="30"/>
  <c r="DM16" i="30"/>
  <c r="DA16" i="30"/>
  <c r="CO16" i="30"/>
  <c r="CO15" i="30"/>
  <c r="DA15" i="30"/>
  <c r="DM15" i="30"/>
  <c r="DY15" i="30"/>
  <c r="EK15" i="30"/>
  <c r="I8" i="31" l="1"/>
  <c r="J8" i="31"/>
  <c r="C8" i="31"/>
  <c r="K8" i="31"/>
  <c r="E8" i="31"/>
  <c r="H8" i="31"/>
  <c r="D8" i="31"/>
  <c r="F8" i="31"/>
  <c r="B8" i="31"/>
  <c r="EK23" i="30"/>
  <c r="DM23" i="30"/>
  <c r="DA23" i="30"/>
  <c r="CO23" i="30"/>
  <c r="DY23" i="30"/>
  <c r="J19" i="30"/>
  <c r="J20" i="30"/>
  <c r="J16" i="30"/>
  <c r="J22" i="30"/>
  <c r="J17" i="30"/>
  <c r="J18" i="30"/>
  <c r="CR89" i="27" l="1"/>
  <c r="DP89" i="27"/>
  <c r="EB89" i="27"/>
  <c r="EN89" i="27"/>
  <c r="K9" i="33"/>
  <c r="L9" i="33"/>
  <c r="M9" i="33"/>
  <c r="N9" i="33"/>
  <c r="O9" i="33"/>
  <c r="P9" i="33"/>
  <c r="Q9" i="33"/>
  <c r="R9" i="33"/>
  <c r="S9" i="33"/>
  <c r="T9" i="33"/>
  <c r="V9" i="33"/>
  <c r="W9" i="33"/>
  <c r="X9" i="33"/>
  <c r="Y9" i="33"/>
  <c r="Z9" i="33"/>
  <c r="AA9" i="33"/>
  <c r="AB9" i="33"/>
  <c r="AC9" i="33"/>
  <c r="AD9" i="33"/>
  <c r="AE9" i="33"/>
  <c r="AF9" i="33"/>
  <c r="AH9" i="33"/>
  <c r="AI9" i="33"/>
  <c r="AJ9" i="33"/>
  <c r="AK9" i="33"/>
  <c r="AL9" i="33"/>
  <c r="AM9" i="33"/>
  <c r="AN9" i="33"/>
  <c r="AO9" i="33"/>
  <c r="AP9" i="33"/>
  <c r="AQ9" i="33"/>
  <c r="AR9" i="33"/>
  <c r="AT9" i="33"/>
  <c r="AU9" i="33"/>
  <c r="AV9" i="33"/>
  <c r="AW9" i="33"/>
  <c r="AX9" i="33"/>
  <c r="AY9" i="33"/>
  <c r="AZ9" i="33"/>
  <c r="BA9" i="33"/>
  <c r="BB9" i="33"/>
  <c r="BC9" i="33"/>
  <c r="BD9" i="33"/>
  <c r="BF9" i="33"/>
  <c r="BG9" i="33"/>
  <c r="BH9" i="33"/>
  <c r="BI9" i="33"/>
  <c r="BJ9" i="33"/>
  <c r="BK9" i="33"/>
  <c r="BL9" i="33"/>
  <c r="BM9" i="33"/>
  <c r="BN9" i="33"/>
  <c r="BO9" i="33"/>
  <c r="BP9" i="33"/>
  <c r="BR9" i="33"/>
  <c r="BS9" i="33"/>
  <c r="BT9" i="33"/>
  <c r="BU9" i="33"/>
  <c r="BV9" i="33"/>
  <c r="BW9" i="33"/>
  <c r="BX9" i="33"/>
  <c r="BY9" i="33"/>
  <c r="BZ9" i="33"/>
  <c r="CA9" i="33"/>
  <c r="CB9" i="33"/>
  <c r="CD9" i="33"/>
  <c r="CE9" i="33"/>
  <c r="CF9" i="33"/>
  <c r="CG9" i="33"/>
  <c r="CH9" i="33"/>
  <c r="CI9" i="33"/>
  <c r="CJ9" i="33"/>
  <c r="CK9" i="33"/>
  <c r="CL9" i="33"/>
  <c r="CM9" i="33"/>
  <c r="CN9" i="33"/>
  <c r="CP9" i="33"/>
  <c r="CQ9" i="33"/>
  <c r="CR9" i="33"/>
  <c r="CS9" i="33"/>
  <c r="CT9" i="33"/>
  <c r="CU9" i="33"/>
  <c r="CV9" i="33"/>
  <c r="CW9" i="33"/>
  <c r="CX9" i="33"/>
  <c r="CY9" i="33"/>
  <c r="CZ9" i="33"/>
  <c r="DB9" i="33"/>
  <c r="DC9" i="33"/>
  <c r="DD9" i="33"/>
  <c r="DE9" i="33"/>
  <c r="DF9" i="33"/>
  <c r="DG9" i="33"/>
  <c r="DH9" i="33"/>
  <c r="DI9" i="33"/>
  <c r="DJ9" i="33"/>
  <c r="DK9" i="33"/>
  <c r="DL9" i="33"/>
  <c r="DN9" i="33"/>
  <c r="DO9" i="33"/>
  <c r="DP9" i="33"/>
  <c r="DQ9" i="33"/>
  <c r="DR9" i="33"/>
  <c r="DS9" i="33"/>
  <c r="DT9" i="33"/>
  <c r="DU9" i="33"/>
  <c r="DV9" i="33"/>
  <c r="DW9" i="33"/>
  <c r="DX9" i="33"/>
  <c r="DZ9" i="33"/>
  <c r="EA9" i="33"/>
  <c r="EB9" i="33"/>
  <c r="EC9" i="33"/>
  <c r="ED9" i="33"/>
  <c r="EE9" i="33"/>
  <c r="EF9" i="33"/>
  <c r="EG9" i="33"/>
  <c r="EH9" i="33"/>
  <c r="EI9" i="33"/>
  <c r="EJ9" i="33"/>
  <c r="CO6" i="33"/>
  <c r="DA6" i="33"/>
  <c r="DM6" i="33"/>
  <c r="DY6" i="33"/>
  <c r="EK6" i="33"/>
  <c r="CO7" i="33"/>
  <c r="DA7" i="33"/>
  <c r="DM7" i="33"/>
  <c r="DY7" i="33"/>
  <c r="EK7" i="33"/>
  <c r="EK5" i="33"/>
  <c r="EK4" i="33"/>
  <c r="EK3" i="33"/>
  <c r="DY5" i="33"/>
  <c r="DY4" i="33"/>
  <c r="DY3" i="33"/>
  <c r="DM5" i="33"/>
  <c r="DM4" i="33"/>
  <c r="DM3" i="33"/>
  <c r="DA5" i="33"/>
  <c r="DA4" i="33"/>
  <c r="DA3" i="33"/>
  <c r="CO5" i="33"/>
  <c r="CO4" i="33"/>
  <c r="CO3" i="33"/>
  <c r="K11" i="32"/>
  <c r="L11" i="32"/>
  <c r="M11" i="32"/>
  <c r="N11" i="32"/>
  <c r="O11" i="32"/>
  <c r="P11" i="32"/>
  <c r="Q11" i="32"/>
  <c r="R11" i="32"/>
  <c r="S11" i="32"/>
  <c r="T11" i="32"/>
  <c r="V11" i="32"/>
  <c r="W11" i="32"/>
  <c r="X11" i="32"/>
  <c r="Y11" i="32"/>
  <c r="Z11" i="32"/>
  <c r="AA11" i="32"/>
  <c r="AB11" i="32"/>
  <c r="AC11" i="32"/>
  <c r="AD11" i="32"/>
  <c r="AE11" i="32"/>
  <c r="AF11" i="32"/>
  <c r="AH11" i="32"/>
  <c r="AI11" i="32"/>
  <c r="AJ11" i="32"/>
  <c r="AK11" i="32"/>
  <c r="AL11" i="32"/>
  <c r="AM11" i="32"/>
  <c r="AN11" i="32"/>
  <c r="AO11" i="32"/>
  <c r="AP11" i="32"/>
  <c r="AQ11" i="32"/>
  <c r="AR11" i="32"/>
  <c r="AT11" i="32"/>
  <c r="AU11" i="32"/>
  <c r="AV11" i="32"/>
  <c r="AW11" i="32"/>
  <c r="AX11" i="32"/>
  <c r="AY11" i="32"/>
  <c r="AZ11" i="32"/>
  <c r="BA11" i="32"/>
  <c r="BB11" i="32"/>
  <c r="BC11" i="32"/>
  <c r="BD11" i="32"/>
  <c r="BF11" i="32"/>
  <c r="BG11" i="32"/>
  <c r="BH11" i="32"/>
  <c r="BI11" i="32"/>
  <c r="BJ11" i="32"/>
  <c r="BK11" i="32"/>
  <c r="BL11" i="32"/>
  <c r="BM11" i="32"/>
  <c r="BN11" i="32"/>
  <c r="BO11" i="32"/>
  <c r="BP11" i="32"/>
  <c r="BR11" i="32"/>
  <c r="BS11" i="32"/>
  <c r="BT11" i="32"/>
  <c r="BU11" i="32"/>
  <c r="BV11" i="32"/>
  <c r="BW11" i="32"/>
  <c r="BX11" i="32"/>
  <c r="BY11" i="32"/>
  <c r="BZ11" i="32"/>
  <c r="CA11" i="32"/>
  <c r="CB11" i="32"/>
  <c r="CD11" i="32"/>
  <c r="CE11" i="32"/>
  <c r="CF11" i="32"/>
  <c r="CG11" i="32"/>
  <c r="CH11" i="32"/>
  <c r="CI11" i="32"/>
  <c r="CJ11" i="32"/>
  <c r="CK11" i="32"/>
  <c r="CL11" i="32"/>
  <c r="CM11" i="32"/>
  <c r="CN11" i="32"/>
  <c r="CP11" i="32"/>
  <c r="CQ11" i="32"/>
  <c r="CR11" i="32"/>
  <c r="CS11" i="32"/>
  <c r="CT11" i="32"/>
  <c r="CU11" i="32"/>
  <c r="CV11" i="32"/>
  <c r="CW11" i="32"/>
  <c r="CX11" i="32"/>
  <c r="CY11" i="32"/>
  <c r="CZ11" i="32"/>
  <c r="DC11" i="32"/>
  <c r="DD11" i="32"/>
  <c r="DE11" i="32"/>
  <c r="DF11" i="32"/>
  <c r="DG11" i="32"/>
  <c r="DH11" i="32"/>
  <c r="DI11" i="32"/>
  <c r="DJ11" i="32"/>
  <c r="DK11" i="32"/>
  <c r="DL11" i="32"/>
  <c r="DN11" i="32"/>
  <c r="DO11" i="32"/>
  <c r="DP11" i="32"/>
  <c r="DQ11" i="32"/>
  <c r="DR11" i="32"/>
  <c r="DS11" i="32"/>
  <c r="DT11" i="32"/>
  <c r="DU11" i="32"/>
  <c r="DV11" i="32"/>
  <c r="DW11" i="32"/>
  <c r="DX11" i="32"/>
  <c r="DZ11" i="32"/>
  <c r="EA11" i="32"/>
  <c r="EB11" i="32"/>
  <c r="EC11" i="32"/>
  <c r="ED11" i="32"/>
  <c r="EE11" i="32"/>
  <c r="EF11" i="32"/>
  <c r="EG11" i="32"/>
  <c r="EH11" i="32"/>
  <c r="EI11" i="32"/>
  <c r="EJ11" i="32"/>
  <c r="CO6" i="32"/>
  <c r="DA6" i="32"/>
  <c r="DM6" i="32"/>
  <c r="DY6" i="32"/>
  <c r="CO7" i="32"/>
  <c r="DA7" i="32"/>
  <c r="DM7" i="32"/>
  <c r="DY7" i="32"/>
  <c r="CO8" i="32"/>
  <c r="DA8" i="32"/>
  <c r="DM8" i="32"/>
  <c r="DY8" i="32"/>
  <c r="CO9" i="32"/>
  <c r="DA9" i="32"/>
  <c r="DM9" i="32"/>
  <c r="DY9" i="32"/>
  <c r="CO10" i="32"/>
  <c r="DA10" i="32"/>
  <c r="DM10" i="32"/>
  <c r="DY10" i="32"/>
  <c r="EN90" i="27" l="1"/>
  <c r="EB90" i="27"/>
  <c r="DP90" i="27"/>
  <c r="CR90" i="27"/>
  <c r="BQ15" i="30"/>
  <c r="BQ23" i="30" s="1"/>
  <c r="CC15" i="30"/>
  <c r="CC23" i="30" s="1"/>
  <c r="BE15" i="30"/>
  <c r="BE23" i="30" s="1"/>
  <c r="AS15" i="30"/>
  <c r="AS23" i="30" s="1"/>
  <c r="AG15" i="30"/>
  <c r="AG23" i="30" s="1"/>
  <c r="U15" i="30"/>
  <c r="G7" i="31" l="1"/>
  <c r="I7" i="31"/>
  <c r="J7" i="31"/>
  <c r="K7" i="31"/>
  <c r="J15" i="30"/>
  <c r="J23" i="30" s="1"/>
  <c r="U23" i="30"/>
  <c r="EN73" i="27" l="1"/>
  <c r="EB73" i="27"/>
  <c r="DP73" i="27"/>
  <c r="DD73" i="27"/>
  <c r="EK8" i="33" l="1"/>
  <c r="EK9" i="33" s="1"/>
  <c r="DY8" i="33"/>
  <c r="DY9" i="33" s="1"/>
  <c r="DM8" i="33"/>
  <c r="DM9" i="33" s="1"/>
  <c r="DA8" i="33"/>
  <c r="DA9" i="33" s="1"/>
  <c r="CO8" i="33"/>
  <c r="CO9" i="33" s="1"/>
  <c r="BQ8" i="33"/>
  <c r="BE8" i="33"/>
  <c r="AS8" i="33"/>
  <c r="AG8" i="33"/>
  <c r="U8" i="33"/>
  <c r="J8" i="33" l="1"/>
  <c r="CR63" i="27" l="1"/>
  <c r="CR53" i="27"/>
  <c r="DD62" i="27"/>
  <c r="DP64" i="27" l="1"/>
  <c r="EB64" i="27"/>
  <c r="EN64" i="27"/>
  <c r="DD64" i="27"/>
  <c r="CR64" i="27"/>
  <c r="EN35" i="27" l="1"/>
  <c r="EN37" i="27"/>
  <c r="EN38" i="27"/>
  <c r="EN39" i="27"/>
  <c r="EN40" i="27"/>
  <c r="EN41" i="27"/>
  <c r="EN42" i="27"/>
  <c r="EN43" i="27"/>
  <c r="EN44" i="27"/>
  <c r="EB27" i="27"/>
  <c r="EB28" i="27"/>
  <c r="EB29" i="27"/>
  <c r="EN45" i="27"/>
  <c r="EB30" i="27"/>
  <c r="EB31" i="27"/>
  <c r="EN46" i="27"/>
  <c r="EN47" i="27"/>
  <c r="EN48" i="27"/>
  <c r="EN49" i="27"/>
  <c r="EB37" i="27"/>
  <c r="EB38" i="27"/>
  <c r="EB39" i="27"/>
  <c r="EB40" i="27"/>
  <c r="EB41" i="27"/>
  <c r="EB42" i="27"/>
  <c r="EB43" i="27"/>
  <c r="EB44" i="27"/>
  <c r="DP27" i="27"/>
  <c r="DP28" i="27"/>
  <c r="DP29" i="27"/>
  <c r="EB45" i="27"/>
  <c r="DP30" i="27"/>
  <c r="DP31" i="27"/>
  <c r="EB46" i="27"/>
  <c r="EB47" i="27"/>
  <c r="EB48" i="27"/>
  <c r="EB49" i="27"/>
  <c r="EB35" i="27"/>
  <c r="DD39" i="27"/>
  <c r="DD40" i="27"/>
  <c r="DD41" i="27"/>
  <c r="DD42" i="27"/>
  <c r="DD43" i="27"/>
  <c r="DD44" i="27"/>
  <c r="CR27" i="27"/>
  <c r="CR28" i="27"/>
  <c r="CR29" i="27"/>
  <c r="DD45" i="27"/>
  <c r="CR30" i="27"/>
  <c r="CR31" i="27"/>
  <c r="DD46" i="27"/>
  <c r="DD47" i="27"/>
  <c r="DD48" i="27"/>
  <c r="DD49" i="27"/>
  <c r="DD37" i="27"/>
  <c r="DD38" i="27"/>
  <c r="DD35" i="27"/>
  <c r="CR37" i="27"/>
  <c r="CR38" i="27"/>
  <c r="CR39" i="27"/>
  <c r="CR40" i="27"/>
  <c r="CR41" i="27"/>
  <c r="CR42" i="27"/>
  <c r="CR43" i="27"/>
  <c r="CR44" i="27"/>
  <c r="CF27" i="27"/>
  <c r="CF28" i="27"/>
  <c r="CF29" i="27"/>
  <c r="CR45" i="27"/>
  <c r="CF30" i="27"/>
  <c r="CF31" i="27"/>
  <c r="CR46" i="27"/>
  <c r="CR47" i="27"/>
  <c r="CR48" i="27"/>
  <c r="CF37" i="27"/>
  <c r="CF38" i="27"/>
  <c r="CF39" i="27"/>
  <c r="CF40" i="27"/>
  <c r="CF41" i="27"/>
  <c r="CF42" i="27"/>
  <c r="CF43" i="27"/>
  <c r="BT38" i="27"/>
  <c r="BT39" i="27"/>
  <c r="BT40" i="27"/>
  <c r="BT41" i="27"/>
  <c r="BT42" i="27"/>
  <c r="BT43" i="27"/>
  <c r="BT44" i="27"/>
  <c r="BH27" i="27"/>
  <c r="BH28" i="27"/>
  <c r="BH29" i="27"/>
  <c r="BT45" i="27"/>
  <c r="BH30" i="27"/>
  <c r="BH31" i="27"/>
  <c r="BT46" i="27"/>
  <c r="BT47" i="27"/>
  <c r="BT48" i="27"/>
  <c r="BT37" i="27"/>
  <c r="BH37" i="27"/>
  <c r="BH38" i="27"/>
  <c r="BH39" i="27"/>
  <c r="BH40" i="27"/>
  <c r="BH41" i="27"/>
  <c r="BH42" i="27"/>
  <c r="BH43" i="27"/>
  <c r="BH44" i="27"/>
  <c r="AV27" i="27"/>
  <c r="AV28" i="27"/>
  <c r="AV29" i="27"/>
  <c r="BH45" i="27"/>
  <c r="AV30" i="27"/>
  <c r="AV31" i="27"/>
  <c r="BH46" i="27"/>
  <c r="AJ37" i="27"/>
  <c r="AJ38" i="27"/>
  <c r="AJ39" i="27"/>
  <c r="AJ45" i="27"/>
  <c r="AJ47" i="27"/>
  <c r="M38" i="27" l="1"/>
  <c r="I38" i="35" s="1"/>
  <c r="M37" i="27"/>
  <c r="I37" i="35" s="1"/>
  <c r="M42" i="27"/>
  <c r="I42" i="35" s="1"/>
  <c r="M39" i="27"/>
  <c r="I39" i="35" s="1"/>
  <c r="M43" i="27"/>
  <c r="I43" i="35" s="1"/>
  <c r="M41" i="27"/>
  <c r="I41" i="35" s="1"/>
  <c r="M40" i="27"/>
  <c r="I40" i="35" s="1"/>
  <c r="CC7" i="33"/>
  <c r="BQ7" i="33"/>
  <c r="BE7" i="33"/>
  <c r="AS7" i="33"/>
  <c r="AG7" i="33"/>
  <c r="U7" i="33"/>
  <c r="CC6" i="33"/>
  <c r="BQ6" i="33"/>
  <c r="BE6" i="33"/>
  <c r="AS6" i="33"/>
  <c r="AG6" i="33"/>
  <c r="U6" i="33"/>
  <c r="CC5" i="33"/>
  <c r="BQ5" i="33"/>
  <c r="BE5" i="33"/>
  <c r="AS5" i="33"/>
  <c r="AG5" i="33"/>
  <c r="U5" i="33"/>
  <c r="CC4" i="33"/>
  <c r="BQ4" i="33"/>
  <c r="BE4" i="33"/>
  <c r="AS4" i="33"/>
  <c r="AG4" i="33"/>
  <c r="U4" i="33"/>
  <c r="CC3" i="33"/>
  <c r="BQ3" i="33"/>
  <c r="BE3" i="33"/>
  <c r="AS3" i="33"/>
  <c r="AG3" i="33"/>
  <c r="U3" i="33"/>
  <c r="J6" i="33" l="1"/>
  <c r="BE9" i="33"/>
  <c r="AS9" i="33"/>
  <c r="CC9" i="33"/>
  <c r="BQ9" i="33"/>
  <c r="U9" i="33"/>
  <c r="AG9" i="33"/>
  <c r="J7" i="33"/>
  <c r="J4" i="33"/>
  <c r="J5" i="33"/>
  <c r="J3" i="33"/>
  <c r="J9" i="33" l="1"/>
  <c r="CC10" i="32"/>
  <c r="BQ10" i="32"/>
  <c r="BE10" i="32"/>
  <c r="AS10" i="32"/>
  <c r="AG10" i="32"/>
  <c r="U10" i="32"/>
  <c r="J10" i="32" l="1"/>
  <c r="CC9" i="32"/>
  <c r="BQ9" i="32"/>
  <c r="BE9" i="32"/>
  <c r="AS9" i="32"/>
  <c r="AG9" i="32"/>
  <c r="U9" i="32"/>
  <c r="J9" i="32" l="1"/>
  <c r="CC8" i="32"/>
  <c r="BQ8" i="32"/>
  <c r="BE8" i="32"/>
  <c r="AS8" i="32"/>
  <c r="AG8" i="32"/>
  <c r="U8" i="32"/>
  <c r="CC7" i="32"/>
  <c r="BQ7" i="32"/>
  <c r="BE7" i="32"/>
  <c r="AS7" i="32"/>
  <c r="AG7" i="32"/>
  <c r="U7" i="32"/>
  <c r="CC6" i="32"/>
  <c r="BQ6" i="32"/>
  <c r="BE6" i="32"/>
  <c r="AS6" i="32"/>
  <c r="AG6" i="32"/>
  <c r="U6" i="32"/>
  <c r="DY5" i="32"/>
  <c r="DM5" i="32"/>
  <c r="DA5" i="32"/>
  <c r="CO5" i="32"/>
  <c r="CC5" i="32"/>
  <c r="BQ5" i="32"/>
  <c r="BE5" i="32"/>
  <c r="AS5" i="32"/>
  <c r="AG5" i="32"/>
  <c r="U5" i="32"/>
  <c r="DY4" i="32"/>
  <c r="DA4" i="32"/>
  <c r="DB4" i="32" s="1"/>
  <c r="DM4" i="32" s="1"/>
  <c r="CO4" i="32"/>
  <c r="CC4" i="32"/>
  <c r="BQ4" i="32"/>
  <c r="BE4" i="32"/>
  <c r="AS4" i="32"/>
  <c r="AG4" i="32"/>
  <c r="U4" i="32"/>
  <c r="DY3" i="32"/>
  <c r="DA3" i="32"/>
  <c r="CO3" i="32"/>
  <c r="CC3" i="32"/>
  <c r="BQ3" i="32"/>
  <c r="BE3" i="32"/>
  <c r="AS3" i="32"/>
  <c r="AG3" i="32"/>
  <c r="U3" i="32"/>
  <c r="BE11" i="32" l="1"/>
  <c r="AS11" i="32"/>
  <c r="BQ11" i="32"/>
  <c r="CC11" i="32"/>
  <c r="CO11" i="32"/>
  <c r="DB3" i="32"/>
  <c r="DA11" i="32"/>
  <c r="U11" i="32"/>
  <c r="DY11" i="32"/>
  <c r="AG11" i="32"/>
  <c r="J8" i="32"/>
  <c r="J7" i="32"/>
  <c r="J4" i="32"/>
  <c r="J5" i="32"/>
  <c r="J6" i="32"/>
  <c r="BH75" i="27"/>
  <c r="BH76" i="27"/>
  <c r="BH77" i="27"/>
  <c r="DD53" i="27"/>
  <c r="DD54" i="27"/>
  <c r="EN75" i="27"/>
  <c r="EN76" i="27"/>
  <c r="DM3" i="32" l="1"/>
  <c r="DB11" i="32"/>
  <c r="EK13" i="30"/>
  <c r="DY13" i="30"/>
  <c r="DM13" i="30"/>
  <c r="DA13" i="30"/>
  <c r="CO13" i="30"/>
  <c r="CC13" i="30"/>
  <c r="BQ13" i="30"/>
  <c r="BE13" i="30"/>
  <c r="AS13" i="30"/>
  <c r="AG13" i="30"/>
  <c r="U13" i="30"/>
  <c r="EK12" i="30"/>
  <c r="DY12" i="30"/>
  <c r="DM12" i="30"/>
  <c r="DA12" i="30"/>
  <c r="CO12" i="30"/>
  <c r="CC12" i="30"/>
  <c r="BQ12" i="30"/>
  <c r="BE12" i="30"/>
  <c r="AS12" i="30"/>
  <c r="AG12" i="30"/>
  <c r="U12" i="30"/>
  <c r="EK11" i="30"/>
  <c r="DY11" i="30"/>
  <c r="DM11" i="30"/>
  <c r="DA11" i="30"/>
  <c r="CO11" i="30"/>
  <c r="CC11" i="30"/>
  <c r="BQ11" i="30"/>
  <c r="BE11" i="30"/>
  <c r="AS11" i="30"/>
  <c r="AG11" i="30"/>
  <c r="U11" i="30"/>
  <c r="EK10" i="30"/>
  <c r="DY10" i="30"/>
  <c r="DM10" i="30"/>
  <c r="DA10" i="30"/>
  <c r="CO10" i="30"/>
  <c r="CC10" i="30"/>
  <c r="BQ10" i="30"/>
  <c r="BE10" i="30"/>
  <c r="AS10" i="30"/>
  <c r="AG10" i="30"/>
  <c r="U10" i="30"/>
  <c r="EK9" i="30"/>
  <c r="DY9" i="30"/>
  <c r="DM9" i="30"/>
  <c r="DA9" i="30"/>
  <c r="CO9" i="30"/>
  <c r="CC9" i="30"/>
  <c r="BQ9" i="30"/>
  <c r="BE9" i="30"/>
  <c r="AS9" i="30"/>
  <c r="AG9" i="30"/>
  <c r="U9" i="30"/>
  <c r="EK8" i="30"/>
  <c r="DY8" i="30"/>
  <c r="DM8" i="30"/>
  <c r="DA8" i="30"/>
  <c r="CO8" i="30"/>
  <c r="CC8" i="30"/>
  <c r="BQ8" i="30"/>
  <c r="BE8" i="30"/>
  <c r="AS8" i="30"/>
  <c r="AG8" i="30"/>
  <c r="U8" i="30"/>
  <c r="EK7" i="30"/>
  <c r="DY7" i="30"/>
  <c r="DM7" i="30"/>
  <c r="DA7" i="30"/>
  <c r="CO7" i="30"/>
  <c r="CC7" i="30"/>
  <c r="BQ7" i="30"/>
  <c r="BE7" i="30"/>
  <c r="AS7" i="30"/>
  <c r="AG7" i="30"/>
  <c r="U7" i="30"/>
  <c r="DM6" i="30"/>
  <c r="DA6" i="30"/>
  <c r="CO6" i="30"/>
  <c r="CC6" i="30"/>
  <c r="BQ6" i="30"/>
  <c r="BE6" i="30"/>
  <c r="AS6" i="30"/>
  <c r="U6" i="30"/>
  <c r="EK5" i="30"/>
  <c r="DY5" i="30"/>
  <c r="DM5" i="30"/>
  <c r="DA5" i="30"/>
  <c r="CO5" i="30"/>
  <c r="CC5" i="30"/>
  <c r="BQ5" i="30"/>
  <c r="BE5" i="30"/>
  <c r="AS5" i="30"/>
  <c r="AG5" i="30"/>
  <c r="U5" i="30"/>
  <c r="DM4" i="30"/>
  <c r="DA4" i="30"/>
  <c r="CO4" i="30"/>
  <c r="CC4" i="30"/>
  <c r="BQ4" i="30"/>
  <c r="BE4" i="30"/>
  <c r="AS4" i="30"/>
  <c r="AG4" i="30"/>
  <c r="U4" i="30"/>
  <c r="EK3" i="30"/>
  <c r="DY3" i="30"/>
  <c r="DM3" i="30"/>
  <c r="DA3" i="30"/>
  <c r="CO3" i="30"/>
  <c r="CC3" i="30"/>
  <c r="BQ3" i="30"/>
  <c r="BE3" i="30"/>
  <c r="AS3" i="30"/>
  <c r="AG3" i="30"/>
  <c r="U3" i="30"/>
  <c r="K16" i="29"/>
  <c r="N16" i="27" s="1"/>
  <c r="L16" i="29"/>
  <c r="O16" i="27" s="1"/>
  <c r="M16" i="29"/>
  <c r="P16" i="27" s="1"/>
  <c r="N16" i="29"/>
  <c r="Q16" i="27" s="1"/>
  <c r="O16" i="29"/>
  <c r="R16" i="27" s="1"/>
  <c r="P16" i="29"/>
  <c r="S16" i="27" s="1"/>
  <c r="Q16" i="29"/>
  <c r="T16" i="27" s="1"/>
  <c r="R16" i="29"/>
  <c r="U16" i="27" s="1"/>
  <c r="S16" i="29"/>
  <c r="V16" i="27" s="1"/>
  <c r="T16" i="29"/>
  <c r="W16" i="27" s="1"/>
  <c r="V16" i="29"/>
  <c r="Y16" i="27" s="1"/>
  <c r="W16" i="29"/>
  <c r="Z16" i="27" s="1"/>
  <c r="X16" i="29"/>
  <c r="AA16" i="27" s="1"/>
  <c r="AA17" i="27" s="1"/>
  <c r="Y16" i="29"/>
  <c r="AB16" i="27" s="1"/>
  <c r="Z16" i="29"/>
  <c r="AC16" i="27" s="1"/>
  <c r="AA16" i="29"/>
  <c r="AD16" i="27" s="1"/>
  <c r="AB16" i="29"/>
  <c r="AE16" i="27" s="1"/>
  <c r="AC16" i="29"/>
  <c r="AF16" i="27" s="1"/>
  <c r="AD16" i="29"/>
  <c r="AG16" i="27" s="1"/>
  <c r="AE16" i="29"/>
  <c r="AH16" i="27" s="1"/>
  <c r="AF16" i="29"/>
  <c r="AI16" i="27" s="1"/>
  <c r="AH16" i="29"/>
  <c r="AK16" i="27" s="1"/>
  <c r="AI16" i="29"/>
  <c r="AL16" i="27" s="1"/>
  <c r="AJ16" i="29"/>
  <c r="AM16" i="27" s="1"/>
  <c r="AK16" i="29"/>
  <c r="AN16" i="27" s="1"/>
  <c r="AL16" i="29"/>
  <c r="AO16" i="27" s="1"/>
  <c r="AM16" i="29"/>
  <c r="AP16" i="27" s="1"/>
  <c r="AN16" i="29"/>
  <c r="AQ16" i="27" s="1"/>
  <c r="AO16" i="29"/>
  <c r="AR16" i="27" s="1"/>
  <c r="AP16" i="29"/>
  <c r="AS16" i="27" s="1"/>
  <c r="AQ16" i="29"/>
  <c r="AT16" i="27" s="1"/>
  <c r="AR16" i="29"/>
  <c r="AU16" i="27" s="1"/>
  <c r="AT16" i="29"/>
  <c r="AW16" i="27" s="1"/>
  <c r="AU16" i="29"/>
  <c r="AX16" i="27" s="1"/>
  <c r="AV16" i="29"/>
  <c r="AY16" i="27" s="1"/>
  <c r="AW16" i="29"/>
  <c r="AZ16" i="27" s="1"/>
  <c r="AX16" i="29"/>
  <c r="BA16" i="27" s="1"/>
  <c r="AY16" i="29"/>
  <c r="BB16" i="27" s="1"/>
  <c r="AZ16" i="29"/>
  <c r="BC16" i="27" s="1"/>
  <c r="BA16" i="29"/>
  <c r="BD16" i="27" s="1"/>
  <c r="BB16" i="29"/>
  <c r="BE16" i="27" s="1"/>
  <c r="BC16" i="29"/>
  <c r="BF16" i="27" s="1"/>
  <c r="BD16" i="29"/>
  <c r="BG16" i="27" s="1"/>
  <c r="BF16" i="29"/>
  <c r="BI16" i="27" s="1"/>
  <c r="BG16" i="29"/>
  <c r="BJ16" i="27" s="1"/>
  <c r="BH16" i="29"/>
  <c r="BK16" i="27" s="1"/>
  <c r="BI16" i="29"/>
  <c r="BL16" i="27" s="1"/>
  <c r="BJ16" i="29"/>
  <c r="BM16" i="27" s="1"/>
  <c r="BK16" i="29"/>
  <c r="BN16" i="27" s="1"/>
  <c r="BL16" i="29"/>
  <c r="BO16" i="27" s="1"/>
  <c r="BM16" i="29"/>
  <c r="BP16" i="27" s="1"/>
  <c r="BN16" i="29"/>
  <c r="BQ16" i="27" s="1"/>
  <c r="BO16" i="29"/>
  <c r="BR16" i="27" s="1"/>
  <c r="BP16" i="29"/>
  <c r="BS16" i="27" s="1"/>
  <c r="BR16" i="29"/>
  <c r="BU16" i="27" s="1"/>
  <c r="BS16" i="29"/>
  <c r="BV16" i="27" s="1"/>
  <c r="BT16" i="29"/>
  <c r="BW16" i="27" s="1"/>
  <c r="BU16" i="29"/>
  <c r="BX16" i="27" s="1"/>
  <c r="BV16" i="29"/>
  <c r="BY16" i="27" s="1"/>
  <c r="BW16" i="29"/>
  <c r="BZ16" i="27" s="1"/>
  <c r="BX16" i="29"/>
  <c r="CA16" i="27" s="1"/>
  <c r="BY16" i="29"/>
  <c r="CB16" i="27" s="1"/>
  <c r="BZ16" i="29"/>
  <c r="CC16" i="27" s="1"/>
  <c r="CA16" i="29"/>
  <c r="CD16" i="27" s="1"/>
  <c r="CB16" i="29"/>
  <c r="CE16" i="27" s="1"/>
  <c r="CD16" i="29"/>
  <c r="CG16" i="27" s="1"/>
  <c r="CE16" i="29"/>
  <c r="CH16" i="27" s="1"/>
  <c r="CF16" i="29"/>
  <c r="CI16" i="27" s="1"/>
  <c r="CG16" i="29"/>
  <c r="CJ16" i="27" s="1"/>
  <c r="CH16" i="29"/>
  <c r="CK16" i="27" s="1"/>
  <c r="CI16" i="29"/>
  <c r="CL16" i="27" s="1"/>
  <c r="CJ16" i="29"/>
  <c r="CM16" i="27" s="1"/>
  <c r="CK16" i="29"/>
  <c r="CN16" i="27" s="1"/>
  <c r="CL16" i="29"/>
  <c r="CO16" i="27" s="1"/>
  <c r="CM16" i="29"/>
  <c r="CP16" i="27" s="1"/>
  <c r="CN16" i="29"/>
  <c r="CQ16" i="27" s="1"/>
  <c r="CP16" i="29"/>
  <c r="CS16" i="27" s="1"/>
  <c r="CQ16" i="29"/>
  <c r="CT16" i="27" s="1"/>
  <c r="CR16" i="29"/>
  <c r="CU16" i="27" s="1"/>
  <c r="CS16" i="29"/>
  <c r="CV16" i="27" s="1"/>
  <c r="CT16" i="29"/>
  <c r="CW16" i="27" s="1"/>
  <c r="CU16" i="29"/>
  <c r="CX16" i="27" s="1"/>
  <c r="CV16" i="29"/>
  <c r="CY16" i="27" s="1"/>
  <c r="CW16" i="29"/>
  <c r="CZ16" i="27" s="1"/>
  <c r="CX16" i="29"/>
  <c r="DA16" i="27" s="1"/>
  <c r="CY16" i="29"/>
  <c r="DB16" i="27" s="1"/>
  <c r="CZ16" i="29"/>
  <c r="DC16" i="27" s="1"/>
  <c r="DB16" i="29"/>
  <c r="DE16" i="27" s="1"/>
  <c r="DC16" i="29"/>
  <c r="DF16" i="27" s="1"/>
  <c r="DD16" i="29"/>
  <c r="DG16" i="27" s="1"/>
  <c r="DE16" i="29"/>
  <c r="DH16" i="27" s="1"/>
  <c r="DF16" i="29"/>
  <c r="DI16" i="27" s="1"/>
  <c r="DG16" i="29"/>
  <c r="DJ16" i="27" s="1"/>
  <c r="DH16" i="29"/>
  <c r="DK16" i="27" s="1"/>
  <c r="DI16" i="29"/>
  <c r="DL16" i="27" s="1"/>
  <c r="DJ16" i="29"/>
  <c r="DM16" i="27" s="1"/>
  <c r="DK16" i="29"/>
  <c r="DN16" i="27" s="1"/>
  <c r="DL16" i="29"/>
  <c r="DO16" i="27" s="1"/>
  <c r="DN16" i="29"/>
  <c r="DQ16" i="27" s="1"/>
  <c r="DO16" i="29"/>
  <c r="DR16" i="27" s="1"/>
  <c r="DP16" i="29"/>
  <c r="DS16" i="27" s="1"/>
  <c r="DQ16" i="29"/>
  <c r="DT16" i="27" s="1"/>
  <c r="DR16" i="29"/>
  <c r="DU16" i="27" s="1"/>
  <c r="DS16" i="29"/>
  <c r="DV16" i="27" s="1"/>
  <c r="DT16" i="29"/>
  <c r="DW16" i="27" s="1"/>
  <c r="DU16" i="29"/>
  <c r="DX16" i="27" s="1"/>
  <c r="DV16" i="29"/>
  <c r="DY16" i="27" s="1"/>
  <c r="DW16" i="29"/>
  <c r="DZ16" i="27" s="1"/>
  <c r="DX16" i="29"/>
  <c r="EA16" i="27" s="1"/>
  <c r="DZ16" i="29"/>
  <c r="EC16" i="27" s="1"/>
  <c r="EA16" i="29"/>
  <c r="ED16" i="27" s="1"/>
  <c r="EB16" i="29"/>
  <c r="EE16" i="27" s="1"/>
  <c r="EC16" i="29"/>
  <c r="EF16" i="27" s="1"/>
  <c r="ED16" i="29"/>
  <c r="EG16" i="27" s="1"/>
  <c r="EE16" i="29"/>
  <c r="EH16" i="27" s="1"/>
  <c r="EF16" i="29"/>
  <c r="EI16" i="27" s="1"/>
  <c r="EG16" i="29"/>
  <c r="EJ16" i="27" s="1"/>
  <c r="EH16" i="29"/>
  <c r="EK16" i="27" s="1"/>
  <c r="EI16" i="29"/>
  <c r="EL16" i="27" s="1"/>
  <c r="EJ16" i="29"/>
  <c r="EM16" i="27" s="1"/>
  <c r="EK15" i="29"/>
  <c r="DY15" i="29"/>
  <c r="DM15" i="29"/>
  <c r="DA15" i="29"/>
  <c r="CO15" i="29"/>
  <c r="CC15" i="29"/>
  <c r="BQ15" i="29"/>
  <c r="BE15" i="29"/>
  <c r="AS15" i="29"/>
  <c r="AG15" i="29"/>
  <c r="U15" i="29"/>
  <c r="EK14" i="29"/>
  <c r="DY14" i="29"/>
  <c r="DM14" i="29"/>
  <c r="DA14" i="29"/>
  <c r="CO14" i="29"/>
  <c r="CC14" i="29"/>
  <c r="BQ14" i="29"/>
  <c r="BE14" i="29"/>
  <c r="AS14" i="29"/>
  <c r="AG14" i="29"/>
  <c r="U14" i="29"/>
  <c r="EK13" i="29"/>
  <c r="DY13" i="29"/>
  <c r="DM13" i="29"/>
  <c r="DA13" i="29"/>
  <c r="CO13" i="29"/>
  <c r="CC13" i="29"/>
  <c r="BQ13" i="29"/>
  <c r="BE13" i="29"/>
  <c r="AS13" i="29"/>
  <c r="AG13" i="29"/>
  <c r="U13" i="29"/>
  <c r="EK12" i="29"/>
  <c r="DY12" i="29"/>
  <c r="DM12" i="29"/>
  <c r="DA12" i="29"/>
  <c r="CO12" i="29"/>
  <c r="BQ12" i="29"/>
  <c r="BE12" i="29"/>
  <c r="AS12" i="29"/>
  <c r="AG12" i="29"/>
  <c r="U12" i="29"/>
  <c r="EK11" i="29"/>
  <c r="DY11" i="29"/>
  <c r="DM11" i="29"/>
  <c r="DA11" i="29"/>
  <c r="CO11" i="29"/>
  <c r="CC11" i="29"/>
  <c r="BQ11" i="29"/>
  <c r="BE11" i="29"/>
  <c r="AS11" i="29"/>
  <c r="AG11" i="29"/>
  <c r="U11" i="29"/>
  <c r="EK10" i="29"/>
  <c r="DY10" i="29"/>
  <c r="DM10" i="29"/>
  <c r="DA10" i="29"/>
  <c r="CO10" i="29"/>
  <c r="CC10" i="29"/>
  <c r="BQ10" i="29"/>
  <c r="BE10" i="29"/>
  <c r="AS10" i="29"/>
  <c r="AG10" i="29"/>
  <c r="U10" i="29"/>
  <c r="EK9" i="29"/>
  <c r="DY9" i="29"/>
  <c r="DM9" i="29"/>
  <c r="DA9" i="29"/>
  <c r="CO9" i="29"/>
  <c r="CC9" i="29"/>
  <c r="BQ9" i="29"/>
  <c r="BE9" i="29"/>
  <c r="AS9" i="29"/>
  <c r="AG9" i="29"/>
  <c r="U9" i="29"/>
  <c r="EK8" i="29"/>
  <c r="DY8" i="29"/>
  <c r="DM8" i="29"/>
  <c r="DA8" i="29"/>
  <c r="CO8" i="29"/>
  <c r="CC8" i="29"/>
  <c r="BQ8" i="29"/>
  <c r="BE8" i="29"/>
  <c r="AS8" i="29"/>
  <c r="AG8" i="29"/>
  <c r="U8" i="29"/>
  <c r="EK7" i="29"/>
  <c r="DY7" i="29"/>
  <c r="DM7" i="29"/>
  <c r="DA7" i="29"/>
  <c r="CO7" i="29"/>
  <c r="CC7" i="29"/>
  <c r="BQ7" i="29"/>
  <c r="BE7" i="29"/>
  <c r="AS7" i="29"/>
  <c r="AG7" i="29"/>
  <c r="U7" i="29"/>
  <c r="EK6" i="29"/>
  <c r="DY6" i="29"/>
  <c r="DM6" i="29"/>
  <c r="DA6" i="29"/>
  <c r="CO6" i="29"/>
  <c r="CC6" i="29"/>
  <c r="BQ6" i="29"/>
  <c r="BE6" i="29"/>
  <c r="AS6" i="29"/>
  <c r="AG6" i="29"/>
  <c r="U6" i="29"/>
  <c r="EK5" i="29"/>
  <c r="DY5" i="29"/>
  <c r="DM5" i="29"/>
  <c r="DA5" i="29"/>
  <c r="CO5" i="29"/>
  <c r="CC5" i="29"/>
  <c r="BQ5" i="29"/>
  <c r="BE5" i="29"/>
  <c r="AS5" i="29"/>
  <c r="AG5" i="29"/>
  <c r="U5" i="29"/>
  <c r="EK4" i="29"/>
  <c r="DY4" i="29"/>
  <c r="DM4" i="29"/>
  <c r="DA4" i="29"/>
  <c r="CO4" i="29"/>
  <c r="CC4" i="29"/>
  <c r="BQ4" i="29"/>
  <c r="BE4" i="29"/>
  <c r="AS4" i="29"/>
  <c r="AG4" i="29"/>
  <c r="U4" i="29"/>
  <c r="EK3" i="29"/>
  <c r="DY3" i="29"/>
  <c r="DM3" i="29"/>
  <c r="DA3" i="29"/>
  <c r="CO3" i="29"/>
  <c r="CC3" i="29"/>
  <c r="BQ3" i="29"/>
  <c r="BE3" i="29"/>
  <c r="AS3" i="29"/>
  <c r="AG3" i="29"/>
  <c r="U3" i="29"/>
  <c r="DM14" i="30" l="1"/>
  <c r="U14" i="30"/>
  <c r="DA14" i="30"/>
  <c r="AG14" i="30"/>
  <c r="AS14" i="30"/>
  <c r="EK14" i="30"/>
  <c r="BE14" i="30"/>
  <c r="BQ14" i="30"/>
  <c r="DY14" i="30"/>
  <c r="CC14" i="30"/>
  <c r="CO14" i="30"/>
  <c r="DM11" i="32"/>
  <c r="J3" i="30"/>
  <c r="J13" i="30"/>
  <c r="J4" i="30"/>
  <c r="J10" i="30"/>
  <c r="J8" i="30"/>
  <c r="J5" i="30"/>
  <c r="J11" i="30"/>
  <c r="J9" i="30"/>
  <c r="J6" i="30"/>
  <c r="J12" i="30"/>
  <c r="J7" i="30"/>
  <c r="J11" i="29"/>
  <c r="J12" i="29"/>
  <c r="J7" i="29"/>
  <c r="CO16" i="29"/>
  <c r="CR16" i="27" s="1"/>
  <c r="DA16" i="29"/>
  <c r="DD16" i="27" s="1"/>
  <c r="J5" i="29"/>
  <c r="J3" i="29"/>
  <c r="J9" i="29"/>
  <c r="BQ16" i="29"/>
  <c r="BT16" i="27" s="1"/>
  <c r="U16" i="29"/>
  <c r="X16" i="27" s="1"/>
  <c r="DM16" i="29"/>
  <c r="DP16" i="27" s="1"/>
  <c r="EK16" i="29"/>
  <c r="EN16" i="27" s="1"/>
  <c r="BE16" i="29"/>
  <c r="BH16" i="27" s="1"/>
  <c r="AG16" i="29"/>
  <c r="AJ16" i="27" s="1"/>
  <c r="DY16" i="29"/>
  <c r="EB16" i="27" s="1"/>
  <c r="CC16" i="29"/>
  <c r="CF16" i="27" s="1"/>
  <c r="J10" i="29"/>
  <c r="J6" i="29"/>
  <c r="J14" i="29"/>
  <c r="AS16" i="29"/>
  <c r="AV16" i="27" s="1"/>
  <c r="J8" i="29"/>
  <c r="J4" i="29"/>
  <c r="J15" i="29"/>
  <c r="J13" i="29"/>
  <c r="J14" i="30" l="1"/>
  <c r="J16" i="29"/>
  <c r="M16" i="27" s="1"/>
  <c r="I16" i="35" s="1"/>
  <c r="DP52" i="27" l="1"/>
  <c r="DD52" i="27"/>
  <c r="CR52" i="27"/>
  <c r="CF52" i="27"/>
  <c r="BT52" i="27"/>
  <c r="M52" i="27" l="1"/>
  <c r="I52" i="35" s="1"/>
  <c r="DD34" i="27"/>
  <c r="EB34" i="27"/>
  <c r="EN34" i="27"/>
  <c r="CR13" i="27" l="1"/>
  <c r="DP13" i="27"/>
  <c r="EB13" i="27"/>
  <c r="EN13" i="27"/>
  <c r="CR24" i="27" l="1"/>
  <c r="DP24" i="27"/>
  <c r="EB24" i="27"/>
  <c r="CR25" i="27"/>
  <c r="DP25" i="27"/>
  <c r="EB25" i="27"/>
  <c r="CR26" i="27"/>
  <c r="DP26" i="27"/>
  <c r="EB26" i="27"/>
  <c r="BT26" i="27"/>
  <c r="CF26" i="27"/>
  <c r="BH26" i="27"/>
  <c r="AV26" i="27"/>
  <c r="DD36" i="27"/>
  <c r="EN36" i="27"/>
  <c r="CR22" i="27"/>
  <c r="DD22" i="27"/>
  <c r="EB22" i="27"/>
  <c r="CR23" i="27"/>
  <c r="DD23" i="27"/>
  <c r="EB23" i="27"/>
  <c r="CF63" i="27"/>
  <c r="BH63" i="27"/>
  <c r="AV63" i="27"/>
  <c r="CR12" i="27"/>
  <c r="DP12" i="27"/>
  <c r="EB12" i="27"/>
  <c r="EN12" i="27"/>
  <c r="BH12" i="27"/>
  <c r="AV12" i="27"/>
  <c r="EN11" i="27"/>
  <c r="CR21" i="27"/>
  <c r="DD21" i="27"/>
  <c r="EB21" i="27"/>
  <c r="EN19" i="27"/>
  <c r="CR20" i="27"/>
  <c r="DD20" i="27"/>
  <c r="EB20" i="27"/>
  <c r="DE23" i="27" l="1"/>
  <c r="DP23" i="27" s="1"/>
  <c r="DE20" i="27"/>
  <c r="DP20" i="27" s="1"/>
  <c r="DE22" i="27"/>
  <c r="DP22" i="27" s="1"/>
  <c r="DE21" i="27"/>
  <c r="DP21" i="27" s="1"/>
  <c r="DQ36" i="27"/>
  <c r="M26" i="27"/>
  <c r="I26" i="35" s="1"/>
  <c r="DQ56" i="27" l="1"/>
  <c r="EB36" i="27"/>
  <c r="M12" i="27"/>
  <c r="I12" i="35" s="1"/>
  <c r="DD77" i="27"/>
  <c r="DP77" i="27"/>
  <c r="EN77" i="27"/>
  <c r="EB77" i="27"/>
  <c r="BT77" i="27"/>
  <c r="AV77" i="27"/>
  <c r="CF77" i="27"/>
  <c r="CR77" i="27"/>
  <c r="EB76" i="27"/>
  <c r="DD76" i="27"/>
  <c r="DP76" i="27"/>
  <c r="CR76" i="27"/>
  <c r="CF76" i="27"/>
  <c r="BT76" i="27"/>
  <c r="AV76" i="27"/>
  <c r="EB11" i="27"/>
  <c r="DP11" i="27"/>
  <c r="CR11" i="27"/>
  <c r="BT11" i="27"/>
  <c r="BH11" i="27"/>
  <c r="AV11" i="27"/>
  <c r="M11" i="27" l="1"/>
  <c r="I11" i="35" s="1"/>
  <c r="BT75" i="27" l="1"/>
  <c r="CF75" i="27"/>
  <c r="CR75" i="27"/>
  <c r="DD75" i="27"/>
  <c r="DP75" i="27"/>
  <c r="EB75" i="27"/>
  <c r="AV75" i="27"/>
  <c r="EB63" i="27"/>
  <c r="DP63" i="27"/>
  <c r="EB74" i="27"/>
  <c r="DD63" i="27"/>
  <c r="DP74" i="27"/>
  <c r="DD74" i="27"/>
  <c r="CR74" i="27"/>
  <c r="CF74" i="27"/>
  <c r="BT74" i="27"/>
  <c r="BH74" i="27"/>
  <c r="M63" i="27" l="1"/>
  <c r="I60" i="35" s="1"/>
  <c r="EB19" i="27"/>
  <c r="DD19" i="27"/>
  <c r="CR19" i="27"/>
  <c r="CF19" i="27"/>
  <c r="BT19" i="27"/>
  <c r="BH19" i="27"/>
  <c r="AV19" i="27"/>
  <c r="DE19" i="27" l="1"/>
  <c r="DE56" i="27" s="1"/>
  <c r="DP19" i="27" l="1"/>
  <c r="EN72" i="27"/>
  <c r="DD72" i="27"/>
  <c r="CR72" i="27"/>
  <c r="CF72" i="27"/>
  <c r="BT72" i="27"/>
  <c r="BH72" i="27"/>
  <c r="AV72" i="27"/>
  <c r="EN70" i="27"/>
  <c r="EB70" i="27"/>
  <c r="DP70" i="27"/>
  <c r="DD70" i="27"/>
  <c r="CR70" i="27"/>
  <c r="CF70" i="27"/>
  <c r="BT70" i="27"/>
  <c r="AV70" i="27"/>
  <c r="BH70" i="27"/>
  <c r="AV62" i="27"/>
  <c r="BT83" i="27"/>
  <c r="M19" i="27" l="1"/>
  <c r="I19" i="35" s="1"/>
  <c r="DP72" i="27"/>
  <c r="EB72" i="27" l="1"/>
  <c r="BH62" i="27" l="1"/>
  <c r="CF83" i="27"/>
  <c r="EN65" i="27"/>
  <c r="EN51" i="27"/>
  <c r="EB51" i="27"/>
  <c r="DP51" i="27"/>
  <c r="EB62" i="27"/>
  <c r="DD51" i="27"/>
  <c r="DP62" i="27"/>
  <c r="EB83" i="27"/>
  <c r="CR51" i="27"/>
  <c r="CR62" i="27"/>
  <c r="DP83" i="27"/>
  <c r="CF62" i="27"/>
  <c r="DD83" i="27"/>
  <c r="BT62" i="27"/>
  <c r="CR83" i="27"/>
  <c r="EN53" i="27"/>
  <c r="EN54" i="27"/>
  <c r="EN55" i="27"/>
  <c r="EN50" i="27"/>
  <c r="EB33" i="27"/>
  <c r="EB32" i="27"/>
  <c r="EB53" i="27"/>
  <c r="EB54" i="27"/>
  <c r="EB55" i="27"/>
  <c r="EB50" i="27"/>
  <c r="DP33" i="27"/>
  <c r="DP32" i="27"/>
  <c r="DP53" i="27"/>
  <c r="DP54" i="27"/>
  <c r="DP55" i="27"/>
  <c r="DP50" i="27"/>
  <c r="CR33" i="27"/>
  <c r="CR32" i="27"/>
  <c r="CR54" i="27"/>
  <c r="CR55" i="27"/>
  <c r="CR50" i="27"/>
  <c r="CG17" i="27"/>
  <c r="CH17" i="27"/>
  <c r="CI17" i="27"/>
  <c r="CJ17" i="27"/>
  <c r="CK17" i="27"/>
  <c r="CL17" i="27"/>
  <c r="CM17" i="27"/>
  <c r="CN17" i="27"/>
  <c r="CO17" i="27"/>
  <c r="CP17" i="27"/>
  <c r="CQ17" i="27"/>
  <c r="CS17" i="27"/>
  <c r="CT17" i="27"/>
  <c r="CU17" i="27"/>
  <c r="CV17" i="27"/>
  <c r="CW17" i="27"/>
  <c r="CX17" i="27"/>
  <c r="CY17" i="27"/>
  <c r="CZ17" i="27"/>
  <c r="DA17" i="27"/>
  <c r="DB17" i="27"/>
  <c r="DC17" i="27"/>
  <c r="DE17" i="27"/>
  <c r="DF17" i="27"/>
  <c r="DG17" i="27"/>
  <c r="DH17" i="27"/>
  <c r="DI17" i="27"/>
  <c r="DJ17" i="27"/>
  <c r="DK17" i="27"/>
  <c r="DL17" i="27"/>
  <c r="DM17" i="27"/>
  <c r="DN17" i="27"/>
  <c r="DO17" i="27"/>
  <c r="DQ17" i="27"/>
  <c r="DR17" i="27"/>
  <c r="DS17" i="27"/>
  <c r="DT17" i="27"/>
  <c r="DU17" i="27"/>
  <c r="DV17" i="27"/>
  <c r="DW17" i="27"/>
  <c r="DX17" i="27"/>
  <c r="DY17" i="27"/>
  <c r="DZ17" i="27"/>
  <c r="EA17" i="27"/>
  <c r="EC17" i="27"/>
  <c r="ED17" i="27"/>
  <c r="EE17" i="27"/>
  <c r="EF17" i="27"/>
  <c r="EG17" i="27"/>
  <c r="EH17" i="27"/>
  <c r="EI17" i="27"/>
  <c r="EJ17" i="27"/>
  <c r="EK17" i="27"/>
  <c r="EL17" i="27"/>
  <c r="EM17" i="27"/>
  <c r="EN5" i="27"/>
  <c r="EN6" i="27"/>
  <c r="EN7" i="27"/>
  <c r="EN8" i="27"/>
  <c r="EN9" i="27"/>
  <c r="EN18" i="27"/>
  <c r="EN10" i="27"/>
  <c r="EB5" i="27"/>
  <c r="EB6" i="27"/>
  <c r="EB7" i="27"/>
  <c r="EB8" i="27"/>
  <c r="EB9" i="27"/>
  <c r="EB18" i="27"/>
  <c r="EB10" i="27"/>
  <c r="DP5" i="27"/>
  <c r="DP6" i="27"/>
  <c r="DP7" i="27"/>
  <c r="DP8" i="27"/>
  <c r="DP9" i="27"/>
  <c r="DP18" i="27"/>
  <c r="DP10" i="27"/>
  <c r="DD5" i="27"/>
  <c r="DD6" i="27"/>
  <c r="DD7" i="27"/>
  <c r="DD8" i="27"/>
  <c r="DD9" i="27"/>
  <c r="DD18" i="27"/>
  <c r="DD10" i="27"/>
  <c r="CR5" i="27"/>
  <c r="CR6" i="27"/>
  <c r="CR7" i="27"/>
  <c r="CR8" i="27"/>
  <c r="CR9" i="27"/>
  <c r="CR18" i="27"/>
  <c r="CR10" i="27"/>
  <c r="DD4" i="27"/>
  <c r="DD3" i="27"/>
  <c r="DP3" i="27"/>
  <c r="DP4" i="27"/>
  <c r="EB4" i="27"/>
  <c r="EB3" i="27"/>
  <c r="EN4" i="27"/>
  <c r="EN3" i="27"/>
  <c r="CR4" i="27"/>
  <c r="CR3" i="27"/>
  <c r="EB15" i="27" l="1"/>
  <c r="EN15" i="27"/>
  <c r="DD15" i="27"/>
  <c r="CR15" i="27"/>
  <c r="DP15" i="27"/>
  <c r="DD56" i="27"/>
  <c r="EN56" i="27"/>
  <c r="EB56" i="27"/>
  <c r="DP56" i="27"/>
  <c r="M62" i="27"/>
  <c r="I59" i="35" s="1"/>
  <c r="L4" i="28"/>
  <c r="K4" i="28"/>
  <c r="EN93" i="27" s="1"/>
  <c r="J4" i="28"/>
  <c r="EB93" i="27" s="1"/>
  <c r="I4" i="28"/>
  <c r="DP93" i="27" s="1"/>
  <c r="H4" i="28"/>
  <c r="DD93" i="27" s="1"/>
  <c r="G4" i="28"/>
  <c r="CR93" i="27" s="1"/>
  <c r="F4" i="28"/>
  <c r="CF93" i="27" s="1"/>
  <c r="E4" i="28"/>
  <c r="BT93" i="27" s="1"/>
  <c r="D4" i="28"/>
  <c r="BH93" i="27" s="1"/>
  <c r="C4" i="28"/>
  <c r="AV93" i="27" s="1"/>
  <c r="B4" i="28"/>
  <c r="AJ93" i="27" s="1"/>
  <c r="F13" i="31" l="1"/>
  <c r="F18" i="31" s="1"/>
  <c r="I3" i="31"/>
  <c r="J13" i="31"/>
  <c r="J18" i="31" s="1"/>
  <c r="J3" i="31"/>
  <c r="H13" i="31"/>
  <c r="H18" i="31" s="1"/>
  <c r="K3" i="31"/>
  <c r="B13" i="31"/>
  <c r="B18" i="31" s="1"/>
  <c r="C13" i="31"/>
  <c r="C18" i="31" s="1"/>
  <c r="D13" i="31"/>
  <c r="D18" i="31" s="1"/>
  <c r="E13" i="31"/>
  <c r="E18" i="31" s="1"/>
  <c r="G13" i="31"/>
  <c r="G18" i="31" s="1"/>
  <c r="I13" i="31"/>
  <c r="I18" i="31" s="1"/>
  <c r="H3" i="31"/>
  <c r="K13" i="31"/>
  <c r="K18" i="31" s="1"/>
  <c r="EN17" i="27"/>
  <c r="EB17" i="27"/>
  <c r="CR17" i="27"/>
  <c r="DP17" i="27"/>
  <c r="DD17" i="27"/>
  <c r="O17" i="27"/>
  <c r="P17" i="27"/>
  <c r="Q17" i="27"/>
  <c r="R17" i="27"/>
  <c r="S17" i="27"/>
  <c r="T17" i="27"/>
  <c r="U17" i="27"/>
  <c r="V17" i="27"/>
  <c r="W17" i="27"/>
  <c r="Y17" i="27"/>
  <c r="Z17" i="27"/>
  <c r="AB17" i="27"/>
  <c r="AC17" i="27"/>
  <c r="AD17" i="27"/>
  <c r="AE17" i="27"/>
  <c r="AF17" i="27"/>
  <c r="AG17" i="27"/>
  <c r="AH17" i="27"/>
  <c r="AI17" i="27"/>
  <c r="AK17" i="27"/>
  <c r="AL17" i="27"/>
  <c r="AM17" i="27"/>
  <c r="AN17" i="27"/>
  <c r="AO17" i="27"/>
  <c r="AP17" i="27"/>
  <c r="AQ17" i="27"/>
  <c r="AR17" i="27"/>
  <c r="AS17" i="27"/>
  <c r="AT17" i="27"/>
  <c r="AU17" i="27"/>
  <c r="AW17" i="27"/>
  <c r="AX17" i="27"/>
  <c r="AY17" i="27"/>
  <c r="AZ17" i="27"/>
  <c r="BA17" i="27"/>
  <c r="BB17" i="27"/>
  <c r="BC17" i="27"/>
  <c r="BD17" i="27"/>
  <c r="BE17" i="27"/>
  <c r="BF17" i="27"/>
  <c r="BG17" i="27"/>
  <c r="BI17" i="27"/>
  <c r="BJ17" i="27"/>
  <c r="BK17" i="27"/>
  <c r="BL17" i="27"/>
  <c r="BM17" i="27"/>
  <c r="BN17" i="27"/>
  <c r="BO17" i="27"/>
  <c r="BP17" i="27"/>
  <c r="BQ17" i="27"/>
  <c r="BR17" i="27"/>
  <c r="BS17" i="27"/>
  <c r="BU17" i="27"/>
  <c r="BV17" i="27"/>
  <c r="BW17" i="27"/>
  <c r="BX17" i="27"/>
  <c r="BY17" i="27"/>
  <c r="BZ17" i="27"/>
  <c r="CA17" i="27"/>
  <c r="CB17" i="27"/>
  <c r="CC17" i="27"/>
  <c r="CD17" i="27"/>
  <c r="CE17" i="27"/>
  <c r="N17" i="27"/>
  <c r="CF10" i="27"/>
  <c r="BT10" i="27"/>
  <c r="BH10" i="27"/>
  <c r="AV10" i="27"/>
  <c r="AJ10" i="27"/>
  <c r="CF3" i="27"/>
  <c r="BT3" i="27"/>
  <c r="BH3" i="27"/>
  <c r="AV3" i="27"/>
  <c r="CF9" i="27"/>
  <c r="BT9" i="27"/>
  <c r="BH9" i="27"/>
  <c r="AV9" i="27"/>
  <c r="CF8" i="27"/>
  <c r="BT8" i="27"/>
  <c r="BH8" i="27"/>
  <c r="AV8" i="27"/>
  <c r="AJ8" i="27"/>
  <c r="CF7" i="27"/>
  <c r="BT7" i="27"/>
  <c r="BH7" i="27"/>
  <c r="AV7" i="27"/>
  <c r="CF6" i="27"/>
  <c r="BT6" i="27"/>
  <c r="BH6" i="27"/>
  <c r="AV6" i="27"/>
  <c r="CF5" i="27"/>
  <c r="BT5" i="27"/>
  <c r="BH5" i="27"/>
  <c r="AV5" i="27"/>
  <c r="G2" i="31" l="1"/>
  <c r="K2" i="31"/>
  <c r="H2" i="31"/>
  <c r="J2" i="31"/>
  <c r="I2" i="31"/>
  <c r="M5" i="27"/>
  <c r="I5" i="35" s="1"/>
  <c r="M7" i="27"/>
  <c r="I7" i="35" s="1"/>
  <c r="M8" i="27"/>
  <c r="I8" i="35" s="1"/>
  <c r="M9" i="27"/>
  <c r="I9" i="35" s="1"/>
  <c r="M3" i="27"/>
  <c r="I3" i="35" s="1"/>
  <c r="M10" i="27"/>
  <c r="I10" i="35" s="1"/>
  <c r="M6" i="27"/>
  <c r="I6" i="35" s="1"/>
  <c r="CF4" i="27"/>
  <c r="CF53" i="27"/>
  <c r="CF54" i="27"/>
  <c r="CF18" i="27"/>
  <c r="CF64" i="27"/>
  <c r="CF50" i="27"/>
  <c r="CF89" i="27"/>
  <c r="CF22" i="27"/>
  <c r="CR73" i="27"/>
  <c r="CF23" i="27"/>
  <c r="CR36" i="27"/>
  <c r="CF33" i="27"/>
  <c r="CF55" i="27"/>
  <c r="CF24" i="27"/>
  <c r="CF25" i="27"/>
  <c r="CF32" i="27"/>
  <c r="CR35" i="27"/>
  <c r="CF20" i="27"/>
  <c r="CF13" i="27"/>
  <c r="CF51" i="27"/>
  <c r="CF21" i="27"/>
  <c r="CR49" i="27"/>
  <c r="CR34" i="27"/>
  <c r="BT4" i="27"/>
  <c r="BT53" i="27"/>
  <c r="BT54" i="27"/>
  <c r="BT18" i="27"/>
  <c r="BT64" i="27"/>
  <c r="BT50" i="27"/>
  <c r="BT89" i="27"/>
  <c r="BT22" i="27"/>
  <c r="CF73" i="27"/>
  <c r="BT23" i="27"/>
  <c r="CF36" i="27"/>
  <c r="BT33" i="27"/>
  <c r="BT55" i="27"/>
  <c r="BT24" i="27"/>
  <c r="BT25" i="27"/>
  <c r="CF44" i="27"/>
  <c r="BT27" i="27"/>
  <c r="BT32" i="27"/>
  <c r="CF35" i="27"/>
  <c r="BT20" i="27"/>
  <c r="BT28" i="27"/>
  <c r="BT29" i="27"/>
  <c r="CF45" i="27"/>
  <c r="BT13" i="27"/>
  <c r="BT30" i="27"/>
  <c r="BT31" i="27"/>
  <c r="BT51" i="27"/>
  <c r="BT21" i="27"/>
  <c r="CF46" i="27"/>
  <c r="CF47" i="27"/>
  <c r="CF48" i="27"/>
  <c r="CF49" i="27"/>
  <c r="CF34" i="27"/>
  <c r="BH4" i="27"/>
  <c r="BH53" i="27"/>
  <c r="BH54" i="27"/>
  <c r="BH18" i="27"/>
  <c r="BH64" i="27"/>
  <c r="BH50" i="27"/>
  <c r="BH89" i="27"/>
  <c r="BH22" i="27"/>
  <c r="BT73" i="27"/>
  <c r="BH23" i="27"/>
  <c r="BT36" i="27"/>
  <c r="BH33" i="27"/>
  <c r="BH55" i="27"/>
  <c r="BH24" i="27"/>
  <c r="BH25" i="27"/>
  <c r="BH32" i="27"/>
  <c r="BT35" i="27"/>
  <c r="BH20" i="27"/>
  <c r="BH13" i="27"/>
  <c r="BH51" i="27"/>
  <c r="BH21" i="27"/>
  <c r="BT49" i="27"/>
  <c r="BT34" i="27"/>
  <c r="AV4" i="27"/>
  <c r="AV53" i="27"/>
  <c r="AV54" i="27"/>
  <c r="AV18" i="27"/>
  <c r="AV64" i="27"/>
  <c r="AV50" i="27"/>
  <c r="AV89" i="27"/>
  <c r="AV22" i="27"/>
  <c r="BH73" i="27"/>
  <c r="AV23" i="27"/>
  <c r="BH36" i="27"/>
  <c r="AV33" i="27"/>
  <c r="AV55" i="27"/>
  <c r="AV24" i="27"/>
  <c r="AV25" i="27"/>
  <c r="AV32" i="27"/>
  <c r="BH35" i="27"/>
  <c r="AV20" i="27"/>
  <c r="AV13" i="27"/>
  <c r="AV51" i="27"/>
  <c r="AV21" i="27"/>
  <c r="BH47" i="27"/>
  <c r="BH48" i="27"/>
  <c r="BH49" i="27"/>
  <c r="BH34" i="27"/>
  <c r="AJ64" i="27"/>
  <c r="AJ89" i="27"/>
  <c r="AV73" i="27"/>
  <c r="AJ36" i="27"/>
  <c r="AJ51" i="27"/>
  <c r="AJ34" i="27"/>
  <c r="CF15" i="27" l="1"/>
  <c r="BT15" i="27"/>
  <c r="BH15" i="27"/>
  <c r="AV15" i="27"/>
  <c r="AJ15" i="27"/>
  <c r="X15" i="27"/>
  <c r="X90" i="27"/>
  <c r="M28" i="27"/>
  <c r="I28" i="35" s="1"/>
  <c r="CF90" i="27"/>
  <c r="BT90" i="27"/>
  <c r="CR56" i="27"/>
  <c r="M27" i="27"/>
  <c r="I27" i="35" s="1"/>
  <c r="AJ90" i="27"/>
  <c r="BH90" i="27"/>
  <c r="AV90" i="27"/>
  <c r="BH56" i="27"/>
  <c r="BT56" i="27"/>
  <c r="AV56" i="27"/>
  <c r="CF56" i="27"/>
  <c r="X56" i="27"/>
  <c r="AJ56" i="27"/>
  <c r="M73" i="27"/>
  <c r="I70" i="35" s="1"/>
  <c r="M36" i="27"/>
  <c r="I36" i="35" s="1"/>
  <c r="M34" i="27"/>
  <c r="I34" i="35" s="1"/>
  <c r="M35" i="27"/>
  <c r="I35" i="35" s="1"/>
  <c r="M46" i="27"/>
  <c r="I46" i="35" s="1"/>
  <c r="M48" i="27"/>
  <c r="I48" i="35" s="1"/>
  <c r="M49" i="27"/>
  <c r="I49" i="35" s="1"/>
  <c r="M45" i="27"/>
  <c r="I45" i="35" s="1"/>
  <c r="M47" i="27"/>
  <c r="I47" i="35" s="1"/>
  <c r="M29" i="27"/>
  <c r="I29" i="35" s="1"/>
  <c r="M44" i="27"/>
  <c r="I44" i="35" s="1"/>
  <c r="M30" i="27"/>
  <c r="I30" i="35" s="1"/>
  <c r="M31" i="27"/>
  <c r="I31" i="35" s="1"/>
  <c r="M64" i="27"/>
  <c r="I61" i="35" s="1"/>
  <c r="M25" i="27"/>
  <c r="I25" i="35" s="1"/>
  <c r="M33" i="27"/>
  <c r="I33" i="35" s="1"/>
  <c r="M53" i="27"/>
  <c r="I53" i="35" s="1"/>
  <c r="M32" i="27"/>
  <c r="I32" i="35" s="1"/>
  <c r="M54" i="27"/>
  <c r="I54" i="35" s="1"/>
  <c r="M21" i="27"/>
  <c r="I21" i="35" s="1"/>
  <c r="M24" i="27"/>
  <c r="I24" i="35" s="1"/>
  <c r="M22" i="27"/>
  <c r="I22" i="35" s="1"/>
  <c r="M51" i="27"/>
  <c r="I51" i="35" s="1"/>
  <c r="M20" i="27"/>
  <c r="I20" i="35" s="1"/>
  <c r="M23" i="27"/>
  <c r="I23" i="35" s="1"/>
  <c r="M18" i="27"/>
  <c r="I18" i="35" s="1"/>
  <c r="M4" i="27"/>
  <c r="I4" i="35" s="1"/>
  <c r="M55" i="27"/>
  <c r="I55" i="35" s="1"/>
  <c r="M50" i="27"/>
  <c r="I50" i="35" s="1"/>
  <c r="M89" i="27"/>
  <c r="I86" i="35" s="1"/>
  <c r="M13" i="27"/>
  <c r="I13" i="35" s="1"/>
  <c r="M15" i="27" l="1"/>
  <c r="I15" i="35" s="1"/>
  <c r="E3" i="31"/>
  <c r="E7" i="31"/>
  <c r="D3" i="31"/>
  <c r="C7" i="31"/>
  <c r="F7" i="31"/>
  <c r="D7" i="31"/>
  <c r="G3" i="31"/>
  <c r="B3" i="31"/>
  <c r="B7" i="31"/>
  <c r="F3" i="31"/>
  <c r="M90" i="27"/>
  <c r="I87" i="35" s="1"/>
  <c r="C3" i="31"/>
  <c r="M56" i="27"/>
  <c r="I56" i="35" s="1"/>
  <c r="AJ17" i="27"/>
  <c r="BH17" i="27"/>
  <c r="CF17" i="27"/>
  <c r="X17" i="27"/>
  <c r="AV17" i="27"/>
  <c r="BT17" i="27"/>
  <c r="E2" i="31" l="1"/>
  <c r="C2" i="31"/>
  <c r="F2" i="31"/>
  <c r="D2" i="31"/>
  <c r="B2" i="31"/>
  <c r="M17" i="27"/>
  <c r="I17" i="35" s="1"/>
  <c r="B31" i="12" l="1"/>
  <c r="B20" i="12" l="1"/>
  <c r="B24" i="12"/>
  <c r="B28" i="12"/>
  <c r="B40" i="12"/>
  <c r="B26" i="12"/>
  <c r="B32" i="12"/>
  <c r="B39" i="12"/>
  <c r="B38" i="12"/>
  <c r="B34" i="12"/>
  <c r="B4" i="12"/>
  <c r="B5" i="12"/>
  <c r="B10" i="12"/>
  <c r="B36" i="12"/>
  <c r="B23" i="12"/>
  <c r="B35" i="12"/>
  <c r="B8" i="12"/>
  <c r="B11" i="12"/>
  <c r="B9" i="12"/>
  <c r="B19" i="12"/>
  <c r="B25" i="12"/>
  <c r="B29" i="12"/>
  <c r="B30" i="12"/>
  <c r="B37" i="12"/>
  <c r="B33" i="12"/>
  <c r="B16" i="12" l="1"/>
  <c r="B13" i="12"/>
  <c r="B18" i="12"/>
  <c r="B22" i="12"/>
  <c r="B6" i="12"/>
  <c r="B21" i="12"/>
  <c r="B7" i="12"/>
  <c r="B14" i="12"/>
  <c r="B3" i="12"/>
  <c r="B15" i="12"/>
  <c r="B12" i="12"/>
  <c r="B27" i="12"/>
  <c r="B17" i="12"/>
  <c r="AW65" i="27" l="1"/>
  <c r="DQ65" i="27"/>
  <c r="DE65" i="27"/>
  <c r="CG65" i="27"/>
  <c r="BI65" i="27"/>
  <c r="BU65" i="27"/>
  <c r="AK65" i="27"/>
  <c r="CS65" i="27"/>
  <c r="CR65" i="27" l="1"/>
  <c r="DP65" i="27"/>
  <c r="EB65" i="27"/>
  <c r="BH65" i="27"/>
  <c r="DD65" i="27"/>
  <c r="CF65" i="27"/>
  <c r="BT65" i="27"/>
  <c r="AV65" i="27"/>
  <c r="M91" i="27" l="1"/>
  <c r="I88" i="35" s="1"/>
  <c r="J24" i="30" l="1"/>
  <c r="M57" i="27" s="1"/>
  <c r="I57" i="35" s="1"/>
  <c r="BS24" i="30"/>
  <c r="BV57" i="27" s="1"/>
  <c r="AM24" i="30"/>
  <c r="AP57" i="27" s="1"/>
  <c r="AV24" i="30"/>
  <c r="AY57" i="27" s="1"/>
  <c r="CF24" i="30"/>
  <c r="CI57" i="27" s="1"/>
  <c r="CE24" i="30"/>
  <c r="CH57" i="27" s="1"/>
  <c r="AX24" i="30"/>
  <c r="BA57" i="27" s="1"/>
  <c r="AB24" i="30"/>
  <c r="AE57" i="27" s="1"/>
  <c r="CN24" i="30"/>
  <c r="CQ57" i="27" s="1"/>
  <c r="AQ24" i="30"/>
  <c r="AT57" i="27" s="1"/>
  <c r="DC24" i="30"/>
  <c r="DF57" i="27" s="1"/>
  <c r="AA24" i="30"/>
  <c r="AD57" i="27" s="1"/>
  <c r="CZ24" i="30"/>
  <c r="DC57" i="27" s="1"/>
  <c r="DL24" i="30"/>
  <c r="DO57" i="27" s="1"/>
  <c r="BB24" i="30"/>
  <c r="BE57" i="27" s="1"/>
  <c r="BN24" i="30"/>
  <c r="BQ57" i="27" s="1"/>
  <c r="BT24" i="30"/>
  <c r="BW57" i="27" s="1"/>
  <c r="DR24" i="30"/>
  <c r="DU57" i="27" s="1"/>
  <c r="CJ24" i="30"/>
  <c r="CM57" i="27" s="1"/>
  <c r="CY24" i="30"/>
  <c r="DB57" i="27" s="1"/>
  <c r="AD24" i="30"/>
  <c r="AG57" i="27" s="1"/>
  <c r="CA24" i="30"/>
  <c r="CD57" i="27" s="1"/>
  <c r="EC24" i="30"/>
  <c r="EF57" i="27" s="1"/>
  <c r="AE24" i="30"/>
  <c r="AH57" i="27" s="1"/>
  <c r="X24" i="30"/>
  <c r="AA57" i="27" s="1"/>
  <c r="AA92" i="27" s="1"/>
  <c r="AK24" i="30"/>
  <c r="AN57" i="27" s="1"/>
  <c r="DB24" i="30"/>
  <c r="DE57" i="27" s="1"/>
  <c r="CL24" i="30"/>
  <c r="CO57" i="27" s="1"/>
  <c r="BI24" i="30"/>
  <c r="BL57" i="27" s="1"/>
  <c r="DD24" i="30"/>
  <c r="DG57" i="27" s="1"/>
  <c r="AR24" i="30"/>
  <c r="AU57" i="27" s="1"/>
  <c r="CU24" i="30"/>
  <c r="CX57" i="27" s="1"/>
  <c r="CX24" i="30"/>
  <c r="DA57" i="27" s="1"/>
  <c r="O24" i="30"/>
  <c r="R57" i="27" s="1"/>
  <c r="DZ24" i="30"/>
  <c r="EC57" i="27" s="1"/>
  <c r="CW24" i="30"/>
  <c r="CZ57" i="27" s="1"/>
  <c r="K24" i="30"/>
  <c r="N57" i="27" s="1"/>
  <c r="DP24" i="30"/>
  <c r="DS57" i="27" s="1"/>
  <c r="CG24" i="30"/>
  <c r="CJ57" i="27" s="1"/>
  <c r="EJ24" i="30"/>
  <c r="EM57" i="27" s="1"/>
  <c r="DF24" i="30"/>
  <c r="DI57" i="27" s="1"/>
  <c r="DT24" i="30"/>
  <c r="DW57" i="27" s="1"/>
  <c r="DV24" i="30"/>
  <c r="DY57" i="27" s="1"/>
  <c r="BU24" i="30"/>
  <c r="BX57" i="27" s="1"/>
  <c r="BF24" i="30"/>
  <c r="BI57" i="27" s="1"/>
  <c r="BK24" i="30"/>
  <c r="BN57" i="27" s="1"/>
  <c r="DJ24" i="30"/>
  <c r="DM57" i="27" s="1"/>
  <c r="S24" i="30"/>
  <c r="V57" i="27" s="1"/>
  <c r="CV24" i="30"/>
  <c r="CY57" i="27" s="1"/>
  <c r="AF24" i="30"/>
  <c r="AI57" i="27" s="1"/>
  <c r="EB24" i="30"/>
  <c r="EE57" i="27" s="1"/>
  <c r="CK24" i="30"/>
  <c r="CN57" i="27" s="1"/>
  <c r="BZ24" i="30"/>
  <c r="CC57" i="27" s="1"/>
  <c r="AL24" i="30"/>
  <c r="AO57" i="27" s="1"/>
  <c r="Y24" i="30"/>
  <c r="AB57" i="27" s="1"/>
  <c r="EE24" i="30"/>
  <c r="EH57" i="27" s="1"/>
  <c r="AJ24" i="30"/>
  <c r="AM57" i="27" s="1"/>
  <c r="DX24" i="30"/>
  <c r="EA57" i="27" s="1"/>
  <c r="M24" i="30"/>
  <c r="P57" i="27" s="1"/>
  <c r="AH24" i="30"/>
  <c r="AK57" i="27" s="1"/>
  <c r="BV24" i="30"/>
  <c r="BY57" i="27" s="1"/>
  <c r="DG24" i="30"/>
  <c r="DJ57" i="27" s="1"/>
  <c r="DH24" i="30"/>
  <c r="DK57" i="27" s="1"/>
  <c r="BC24" i="30"/>
  <c r="BF57" i="27" s="1"/>
  <c r="AZ24" i="30"/>
  <c r="BC57" i="27" s="1"/>
  <c r="AY24" i="30"/>
  <c r="BB57" i="27" s="1"/>
  <c r="DE24" i="30"/>
  <c r="DH57" i="27" s="1"/>
  <c r="CQ24" i="30"/>
  <c r="CT57" i="27" s="1"/>
  <c r="BM24" i="30"/>
  <c r="BP57" i="27" s="1"/>
  <c r="CD24" i="30"/>
  <c r="CG57" i="27" s="1"/>
  <c r="EI24" i="30"/>
  <c r="EL57" i="27" s="1"/>
  <c r="DQ24" i="30"/>
  <c r="DT57" i="27" s="1"/>
  <c r="ED24" i="30"/>
  <c r="EG57" i="27" s="1"/>
  <c r="DI24" i="30"/>
  <c r="DL57" i="27" s="1"/>
  <c r="Q24" i="30"/>
  <c r="T57" i="27" s="1"/>
  <c r="CH24" i="30"/>
  <c r="CK57" i="27" s="1"/>
  <c r="AO24" i="30"/>
  <c r="AR57" i="27" s="1"/>
  <c r="N24" i="30"/>
  <c r="Q57" i="27" s="1"/>
  <c r="R24" i="30"/>
  <c r="U57" i="27" s="1"/>
  <c r="AW24" i="30"/>
  <c r="AZ57" i="27" s="1"/>
  <c r="CI24" i="30"/>
  <c r="CL57" i="27" s="1"/>
  <c r="EH24" i="30"/>
  <c r="EK57" i="27" s="1"/>
  <c r="AP24" i="30"/>
  <c r="AS57" i="27" s="1"/>
  <c r="BP24" i="30"/>
  <c r="BS57" i="27" s="1"/>
  <c r="CO24" i="30"/>
  <c r="CR57" i="27" s="1"/>
  <c r="BL24" i="30"/>
  <c r="BO57" i="27" s="1"/>
  <c r="BA24" i="30"/>
  <c r="BD57" i="27" s="1"/>
  <c r="EA24" i="30"/>
  <c r="ED57" i="27" s="1"/>
  <c r="U24" i="30"/>
  <c r="X57" i="27" s="1"/>
  <c r="AT24" i="30"/>
  <c r="AW57" i="27" s="1"/>
  <c r="DW24" i="30"/>
  <c r="DZ57" i="27" s="1"/>
  <c r="EF24" i="30"/>
  <c r="EI57" i="27" s="1"/>
  <c r="P24" i="30"/>
  <c r="S57" i="27" s="1"/>
  <c r="CT24" i="30"/>
  <c r="CW57" i="27" s="1"/>
  <c r="AS24" i="30"/>
  <c r="AV57" i="27" s="1"/>
  <c r="DS24" i="30"/>
  <c r="DV57" i="27" s="1"/>
  <c r="CP24" i="30"/>
  <c r="CS57" i="27" s="1"/>
  <c r="DY24" i="30"/>
  <c r="EB57" i="27" s="1"/>
  <c r="T24" i="30"/>
  <c r="W57" i="27" s="1"/>
  <c r="BW24" i="30"/>
  <c r="BZ57" i="27" s="1"/>
  <c r="CS24" i="30"/>
  <c r="CV57" i="27" s="1"/>
  <c r="DM24" i="30"/>
  <c r="DP57" i="27" s="1"/>
  <c r="EG24" i="30"/>
  <c r="EJ57" i="27" s="1"/>
  <c r="AG24" i="30"/>
  <c r="AJ57" i="27" s="1"/>
  <c r="DU24" i="30"/>
  <c r="DX57" i="27" s="1"/>
  <c r="AN24" i="30"/>
  <c r="AQ57" i="27" s="1"/>
  <c r="AU24" i="30"/>
  <c r="AX57" i="27" s="1"/>
  <c r="BH24" i="30"/>
  <c r="BK57" i="27" s="1"/>
  <c r="BD24" i="30"/>
  <c r="BG57" i="27" s="1"/>
  <c r="BE24" i="30"/>
  <c r="BH57" i="27" s="1"/>
  <c r="CB24" i="30"/>
  <c r="CE57" i="27" s="1"/>
  <c r="DN24" i="30"/>
  <c r="DQ57" i="27" s="1"/>
  <c r="BR24" i="30"/>
  <c r="BU57" i="27" s="1"/>
  <c r="BY24" i="30"/>
  <c r="CB57" i="27" s="1"/>
  <c r="Z24" i="30"/>
  <c r="AC57" i="27" s="1"/>
  <c r="BJ24" i="30"/>
  <c r="BM57" i="27" s="1"/>
  <c r="CM24" i="30"/>
  <c r="CP57" i="27" s="1"/>
  <c r="V24" i="30"/>
  <c r="Y57" i="27" s="1"/>
  <c r="BQ24" i="30"/>
  <c r="BT57" i="27" s="1"/>
  <c r="BO24" i="30"/>
  <c r="BR57" i="27" s="1"/>
  <c r="CR24" i="30"/>
  <c r="CU57" i="27" s="1"/>
  <c r="DO24" i="30"/>
  <c r="DR57" i="27" s="1"/>
  <c r="W24" i="30"/>
  <c r="Z57" i="27" s="1"/>
  <c r="BX24" i="30"/>
  <c r="CA57" i="27" s="1"/>
  <c r="CC24" i="30"/>
  <c r="CF57" i="27" s="1"/>
  <c r="AC24" i="30"/>
  <c r="AF57" i="27" s="1"/>
  <c r="DA24" i="30"/>
  <c r="DD57" i="27" s="1"/>
  <c r="DK24" i="30"/>
  <c r="DN57" i="27" s="1"/>
  <c r="EK24" i="30"/>
  <c r="EN57" i="27" s="1"/>
  <c r="AI24" i="30"/>
  <c r="AL57" i="27" s="1"/>
  <c r="L24" i="30"/>
  <c r="O57" i="27" s="1"/>
  <c r="BG24" i="30"/>
  <c r="BJ57" i="27" s="1"/>
  <c r="CF85" i="27" l="1"/>
  <c r="DP85" i="27"/>
  <c r="M85" i="27"/>
  <c r="I82" i="35" s="1"/>
  <c r="DN85" i="27"/>
  <c r="DN92" i="27" s="1"/>
  <c r="EE85" i="27"/>
  <c r="EE92" i="27" s="1"/>
  <c r="BL85" i="27"/>
  <c r="DF85" i="27"/>
  <c r="DF92" i="27" s="1"/>
  <c r="BO85" i="27"/>
  <c r="DR85" i="27"/>
  <c r="DR92" i="27" s="1"/>
  <c r="BP85" i="27"/>
  <c r="CO85" i="27"/>
  <c r="CO92" i="27" s="1"/>
  <c r="DJ85" i="27"/>
  <c r="DJ92" i="27" s="1"/>
  <c r="BD85" i="27"/>
  <c r="BD92" i="27" s="1"/>
  <c r="CR85" i="27"/>
  <c r="BA85" i="27"/>
  <c r="BA92" i="27" s="1"/>
  <c r="AP85" i="27"/>
  <c r="AP92" i="27" s="1"/>
  <c r="V85" i="27"/>
  <c r="V92" i="27" s="1"/>
  <c r="AN85" i="27"/>
  <c r="AN92" i="27" s="1"/>
  <c r="CV85" i="27"/>
  <c r="CV92" i="27" s="1"/>
  <c r="DW85" i="27"/>
  <c r="DW92" i="27" s="1"/>
  <c r="BV85" i="27"/>
  <c r="BV92" i="27" s="1"/>
  <c r="EN85" i="27"/>
  <c r="AJ85" i="27"/>
  <c r="CI85" i="27"/>
  <c r="CI92" i="27" s="1"/>
  <c r="ED85" i="27"/>
  <c r="ED92" i="27" s="1"/>
  <c r="AT85" i="27"/>
  <c r="AT92" i="27" s="1"/>
  <c r="CH85" i="27"/>
  <c r="CH92" i="27" s="1"/>
  <c r="BX85" i="27"/>
  <c r="BX92" i="27" s="1"/>
  <c r="EM85" i="27"/>
  <c r="EM92" i="27" s="1"/>
  <c r="EN97" i="27" s="1"/>
  <c r="CG85" i="27"/>
  <c r="CG92" i="27" s="1"/>
  <c r="DD85" i="27"/>
  <c r="AQ85" i="27"/>
  <c r="AQ92" i="27" s="1"/>
  <c r="BC85" i="27"/>
  <c r="BC92" i="27" s="1"/>
  <c r="AS85" i="27"/>
  <c r="AS92" i="27" s="1"/>
  <c r="CL85" i="27"/>
  <c r="CL92" i="27" s="1"/>
  <c r="BR85" i="27"/>
  <c r="W85" i="27"/>
  <c r="W92" i="27" s="1"/>
  <c r="X97" i="27" s="1"/>
  <c r="DI85" i="27"/>
  <c r="DI92" i="27" s="1"/>
  <c r="CM85" i="27"/>
  <c r="CM92" i="27" s="1"/>
  <c r="AU85" i="27"/>
  <c r="AU92" i="27" s="1"/>
  <c r="AV97" i="27" s="1"/>
  <c r="AF85" i="27"/>
  <c r="AF92" i="27" s="1"/>
  <c r="DX85" i="27"/>
  <c r="DX92" i="27" s="1"/>
  <c r="DE85" i="27"/>
  <c r="DE92" i="27" s="1"/>
  <c r="EK85" i="27"/>
  <c r="EK92" i="27" s="1"/>
  <c r="AH85" i="27"/>
  <c r="AH92" i="27" s="1"/>
  <c r="BY85" i="27"/>
  <c r="BY92" i="27" s="1"/>
  <c r="CD85" i="27"/>
  <c r="CD92" i="27" s="1"/>
  <c r="CS85" i="27"/>
  <c r="CS92" i="27" s="1"/>
  <c r="AC85" i="27"/>
  <c r="AC92" i="27" s="1"/>
  <c r="EH85" i="27"/>
  <c r="EH92" i="27" s="1"/>
  <c r="DS85" i="27"/>
  <c r="DS92" i="27" s="1"/>
  <c r="DU85" i="27"/>
  <c r="DU92" i="27" s="1"/>
  <c r="AD85" i="27"/>
  <c r="AD92" i="27" s="1"/>
  <c r="DG85" i="27"/>
  <c r="DG92" i="27" s="1"/>
  <c r="AE85" i="27"/>
  <c r="AE92" i="27" s="1"/>
  <c r="Z85" i="27"/>
  <c r="Z92" i="27" s="1"/>
  <c r="BZ85" i="27"/>
  <c r="BZ92" i="27" s="1"/>
  <c r="BT85" i="27"/>
  <c r="Q85" i="27"/>
  <c r="Q92" i="27" s="1"/>
  <c r="AR85" i="27"/>
  <c r="AR92" i="27" s="1"/>
  <c r="BM85" i="27"/>
  <c r="CB85" i="27"/>
  <c r="CB92" i="27" s="1"/>
  <c r="AB85" i="27"/>
  <c r="AB92" i="27" s="1"/>
  <c r="N85" i="27"/>
  <c r="BW85" i="27"/>
  <c r="BW92" i="27" s="1"/>
  <c r="AI85" i="27"/>
  <c r="AI92" i="27" s="1"/>
  <c r="AJ97" i="27" s="1"/>
  <c r="CQ85" i="27"/>
  <c r="CQ92" i="27" s="1"/>
  <c r="CR97" i="27" s="1"/>
  <c r="BS85" i="27"/>
  <c r="BT97" i="27" s="1"/>
  <c r="N94" i="35" s="1"/>
  <c r="DK85" i="27"/>
  <c r="DK92" i="27" s="1"/>
  <c r="EF85" i="27"/>
  <c r="EF92" i="27" s="1"/>
  <c r="P85" i="27"/>
  <c r="P92" i="27" s="1"/>
  <c r="EA85" i="27"/>
  <c r="EA92" i="27" s="1"/>
  <c r="EB97" i="27" s="1"/>
  <c r="DV85" i="27"/>
  <c r="DV92" i="27" s="1"/>
  <c r="CK85" i="27"/>
  <c r="CK92" i="27" s="1"/>
  <c r="S85" i="27"/>
  <c r="S92" i="27" s="1"/>
  <c r="DL85" i="27"/>
  <c r="DL92" i="27" s="1"/>
  <c r="CZ85" i="27"/>
  <c r="CZ92" i="27" s="1"/>
  <c r="BQ85" i="27"/>
  <c r="CX85" i="27"/>
  <c r="CX92" i="27" s="1"/>
  <c r="AX85" i="27"/>
  <c r="AX92" i="27" s="1"/>
  <c r="DH85" i="27"/>
  <c r="DH92" i="27" s="1"/>
  <c r="DM85" i="27"/>
  <c r="DM92" i="27" s="1"/>
  <c r="BF85" i="27"/>
  <c r="BF92" i="27" s="1"/>
  <c r="CU85" i="27"/>
  <c r="CU92" i="27" s="1"/>
  <c r="AZ85" i="27"/>
  <c r="AZ92" i="27" s="1"/>
  <c r="AK85" i="27"/>
  <c r="AK92" i="27" s="1"/>
  <c r="Y85" i="27"/>
  <c r="Y92" i="27" s="1"/>
  <c r="DB85" i="27"/>
  <c r="DB92" i="27" s="1"/>
  <c r="AV85" i="27"/>
  <c r="T85" i="27"/>
  <c r="T92" i="27" s="1"/>
  <c r="BJ85" i="27"/>
  <c r="DQ85" i="27"/>
  <c r="DQ92" i="27" s="1"/>
  <c r="EI85" i="27"/>
  <c r="EI92" i="27" s="1"/>
  <c r="EG85" i="27"/>
  <c r="EG92" i="27" s="1"/>
  <c r="AO85" i="27"/>
  <c r="AO92" i="27" s="1"/>
  <c r="EC85" i="27"/>
  <c r="EC92" i="27" s="1"/>
  <c r="BE85" i="27"/>
  <c r="BE92" i="27" s="1"/>
  <c r="BK85" i="27"/>
  <c r="CY85" i="27"/>
  <c r="CY92" i="27" s="1"/>
  <c r="CA85" i="27"/>
  <c r="CA92" i="27" s="1"/>
  <c r="BN85" i="27"/>
  <c r="AY85" i="27"/>
  <c r="AY92" i="27" s="1"/>
  <c r="U85" i="27"/>
  <c r="U92" i="27" s="1"/>
  <c r="AG85" i="27"/>
  <c r="AG92" i="27" s="1"/>
  <c r="AM85" i="27"/>
  <c r="AM92" i="27" s="1"/>
  <c r="BU85" i="27"/>
  <c r="BU92" i="27" s="1"/>
  <c r="O85" i="27"/>
  <c r="O92" i="27" s="1"/>
  <c r="CE85" i="27"/>
  <c r="CE92" i="27" s="1"/>
  <c r="CF97" i="27" s="1"/>
  <c r="DZ85" i="27"/>
  <c r="DZ92" i="27" s="1"/>
  <c r="DT85" i="27"/>
  <c r="DT92" i="27" s="1"/>
  <c r="CC85" i="27"/>
  <c r="CC92" i="27" s="1"/>
  <c r="R85" i="27"/>
  <c r="R92" i="27" s="1"/>
  <c r="DO85" i="27"/>
  <c r="DO92" i="27" s="1"/>
  <c r="DP97" i="27" s="1"/>
  <c r="BG85" i="27"/>
  <c r="BG92" i="27" s="1"/>
  <c r="BH97" i="27" s="1"/>
  <c r="CT85" i="27"/>
  <c r="CT92" i="27" s="1"/>
  <c r="BB85" i="27"/>
  <c r="BB92" i="27" s="1"/>
  <c r="EJ85" i="27"/>
  <c r="EJ92" i="27" s="1"/>
  <c r="BI85" i="27"/>
  <c r="BI92" i="27" s="1"/>
  <c r="DY85" i="27"/>
  <c r="DY92" i="27" s="1"/>
  <c r="EB85" i="27"/>
  <c r="CP85" i="27"/>
  <c r="CP92" i="27" s="1"/>
  <c r="CJ85" i="27"/>
  <c r="CJ92" i="27" s="1"/>
  <c r="CW85" i="27"/>
  <c r="CW92" i="27" s="1"/>
  <c r="AL85" i="27"/>
  <c r="AL92" i="27" s="1"/>
  <c r="BH85" i="27"/>
  <c r="AW85" i="27"/>
  <c r="AW92" i="27" s="1"/>
  <c r="EL85" i="27"/>
  <c r="EL92" i="27" s="1"/>
  <c r="CN85" i="27"/>
  <c r="CN92" i="27" s="1"/>
  <c r="DA85" i="27"/>
  <c r="DA92" i="27" s="1"/>
  <c r="DC85" i="27"/>
  <c r="DC92" i="27" s="1"/>
  <c r="DD97" i="27" s="1"/>
  <c r="F4" i="31"/>
  <c r="F5" i="31" s="1"/>
  <c r="J4" i="31"/>
  <c r="J5" i="31" s="1"/>
  <c r="E4" i="31"/>
  <c r="E5" i="31" s="1"/>
  <c r="H4" i="31"/>
  <c r="H5" i="31" s="1"/>
  <c r="C4" i="31"/>
  <c r="C5" i="31" s="1"/>
  <c r="B4" i="31"/>
  <c r="B5" i="31" s="1"/>
  <c r="G4" i="31"/>
  <c r="G5" i="31" s="1"/>
  <c r="K4" i="31"/>
  <c r="K5" i="31" s="1"/>
  <c r="I4" i="31"/>
  <c r="I5" i="31" s="1"/>
  <c r="D4" i="31"/>
  <c r="D5" i="31" s="1"/>
  <c r="B6" i="31" l="1"/>
  <c r="B9" i="31" s="1"/>
  <c r="B10" i="31" s="1"/>
  <c r="EN92" i="27"/>
  <c r="N92" i="27"/>
  <c r="X95" i="27" s="1"/>
  <c r="X85" i="27"/>
  <c r="CR92" i="27"/>
  <c r="M92" i="27"/>
  <c r="I89" i="35" s="1"/>
  <c r="CF92" i="27"/>
  <c r="DP92" i="27"/>
  <c r="AV92" i="27"/>
  <c r="BH92" i="27"/>
  <c r="EB92" i="27"/>
  <c r="BT92" i="27"/>
  <c r="AJ92" i="27"/>
  <c r="J22" i="31"/>
  <c r="D22" i="31"/>
  <c r="X96" i="27"/>
  <c r="H22" i="31"/>
  <c r="K22" i="31"/>
  <c r="F22" i="31"/>
  <c r="E22" i="31"/>
  <c r="G22" i="31"/>
  <c r="I22" i="31"/>
  <c r="B22" i="31"/>
  <c r="C22" i="31"/>
  <c r="J6" i="31"/>
  <c r="J9" i="31" s="1"/>
  <c r="J10" i="31" s="1"/>
  <c r="C6" i="31"/>
  <c r="C9" i="31" s="1"/>
  <c r="C10" i="31" s="1"/>
  <c r="H6" i="31"/>
  <c r="H9" i="31" s="1"/>
  <c r="H10" i="31" s="1"/>
  <c r="I6" i="31"/>
  <c r="I9" i="31" s="1"/>
  <c r="I10" i="31" s="1"/>
  <c r="E6" i="31"/>
  <c r="E9" i="31" s="1"/>
  <c r="E10" i="31" s="1"/>
  <c r="D6" i="31"/>
  <c r="D9" i="31" s="1"/>
  <c r="D10" i="31" s="1"/>
  <c r="K6" i="31"/>
  <c r="K9" i="31" s="1"/>
  <c r="K10" i="31" s="1"/>
  <c r="G6" i="31"/>
  <c r="G9" i="31" s="1"/>
  <c r="G10" i="31" s="1"/>
  <c r="DD92" i="27"/>
  <c r="F6" i="31"/>
  <c r="F9" i="31" s="1"/>
  <c r="F10" i="31" s="1"/>
  <c r="AJ95" i="27"/>
  <c r="BH96" i="27"/>
  <c r="DD96" i="27"/>
  <c r="CF95" i="27"/>
  <c r="AV95" i="27"/>
  <c r="CR96" i="27"/>
  <c r="AV96" i="27"/>
  <c r="EN96" i="27"/>
  <c r="AJ96" i="27"/>
  <c r="BT96" i="27"/>
  <c r="N93" i="35" s="1"/>
  <c r="CR95" i="27"/>
  <c r="EB95" i="27"/>
  <c r="DD95" i="27"/>
  <c r="EN95" i="27"/>
  <c r="DP95" i="27"/>
  <c r="DP96" i="27"/>
  <c r="BH95" i="27"/>
  <c r="CF96" i="27"/>
  <c r="EB96" i="27"/>
  <c r="BT95" i="27"/>
  <c r="N92" i="35" s="1"/>
  <c r="EN94" i="27"/>
  <c r="K12" i="31"/>
  <c r="X92" i="27" l="1"/>
  <c r="G12" i="31"/>
  <c r="F12" i="31"/>
  <c r="F17" i="31" s="1"/>
  <c r="BT94" i="27"/>
  <c r="CF94" i="27"/>
  <c r="CR94" i="27"/>
  <c r="BH94" i="27"/>
  <c r="DP94" i="27"/>
  <c r="I12" i="31"/>
  <c r="I17" i="31" s="1"/>
  <c r="E12" i="31"/>
  <c r="E17" i="31" s="1"/>
  <c r="D12" i="31"/>
  <c r="D17" i="31" s="1"/>
  <c r="AV94" i="27"/>
  <c r="J12" i="31"/>
  <c r="J17" i="31" s="1"/>
  <c r="C12" i="31"/>
  <c r="C17" i="31" s="1"/>
  <c r="AJ94" i="27"/>
  <c r="EB94" i="27"/>
  <c r="DD94" i="27"/>
  <c r="B12" i="31"/>
  <c r="B17" i="31" s="1"/>
  <c r="H12" i="31"/>
  <c r="H17" i="31" s="1"/>
  <c r="E21" i="31"/>
  <c r="K21" i="31"/>
  <c r="J21" i="31"/>
  <c r="B21" i="31"/>
  <c r="D21" i="31"/>
  <c r="B20" i="31"/>
  <c r="H21" i="31"/>
  <c r="F21" i="31"/>
  <c r="I21" i="31"/>
  <c r="G21" i="31"/>
  <c r="K14" i="31"/>
  <c r="K19" i="31" s="1"/>
  <c r="I20" i="31"/>
  <c r="D20" i="31"/>
  <c r="F20" i="31"/>
  <c r="H20" i="31"/>
  <c r="E20" i="31"/>
  <c r="K20" i="31"/>
  <c r="J20" i="31"/>
  <c r="G20" i="31"/>
  <c r="C20" i="31"/>
  <c r="C21" i="31"/>
  <c r="K17" i="31"/>
  <c r="G17" i="31"/>
  <c r="E14" i="31" l="1"/>
  <c r="E19" i="31" s="1"/>
  <c r="F14" i="31"/>
  <c r="F19" i="31" s="1"/>
  <c r="G14" i="31"/>
  <c r="G19" i="31" s="1"/>
  <c r="I14" i="31"/>
  <c r="I19" i="31" s="1"/>
  <c r="D14" i="31"/>
  <c r="D19" i="31" s="1"/>
  <c r="C14" i="31"/>
  <c r="C19" i="31" s="1"/>
  <c r="J14" i="31"/>
  <c r="J19" i="31" s="1"/>
  <c r="H14" i="31"/>
  <c r="H19" i="31" s="1"/>
  <c r="B14" i="31"/>
  <c r="B19" i="31" s="1"/>
  <c r="J3" i="32"/>
  <c r="J11" i="32" s="1"/>
</calcChain>
</file>

<file path=xl/comments1.xml><?xml version="1.0" encoding="utf-8"?>
<comments xmlns="http://schemas.openxmlformats.org/spreadsheetml/2006/main">
  <authors>
    <author>Darmo, Martin</author>
  </authors>
  <commentList>
    <comment ref="B60" authorId="0" shapeId="0">
      <text>
        <r>
          <rPr>
            <b/>
            <sz val="9"/>
            <color indexed="81"/>
            <rFont val="Segoe UI"/>
            <family val="2"/>
            <charset val="238"/>
          </rPr>
          <t>Darmo, Martin:</t>
        </r>
        <r>
          <rPr>
            <sz val="9"/>
            <color indexed="81"/>
            <rFont val="Segoe UI"/>
            <family val="2"/>
            <charset val="238"/>
          </rPr>
          <t xml:space="preserve">
Vrátane bottlenecku na 140d</t>
        </r>
      </text>
    </comment>
    <comment ref="B64" authorId="0" shapeId="0">
      <text>
        <r>
          <rPr>
            <b/>
            <sz val="9"/>
            <color indexed="81"/>
            <rFont val="Segoe UI"/>
            <family val="2"/>
            <charset val="238"/>
          </rPr>
          <t>Darmo, Martin:</t>
        </r>
        <r>
          <rPr>
            <sz val="9"/>
            <color indexed="81"/>
            <rFont val="Segoe UI"/>
            <family val="2"/>
            <charset val="238"/>
          </rPr>
          <t xml:space="preserve">
Suma znížená o hodnotu projektu "ŽST Trnovec nad Váhom – ŽST Tvrdošovce, modernizácia koľaje č. 1 a č. 2"
Obe fázy.</t>
        </r>
      </text>
    </comment>
  </commentList>
</comments>
</file>

<file path=xl/comments2.xml><?xml version="1.0" encoding="utf-8"?>
<comments xmlns="http://schemas.openxmlformats.org/spreadsheetml/2006/main">
  <authors>
    <author>Darmo, Martin</author>
  </authors>
  <commentList>
    <comment ref="F7" authorId="0" shapeId="0">
      <text>
        <r>
          <rPr>
            <b/>
            <sz val="9"/>
            <color indexed="81"/>
            <rFont val="Segoe UI"/>
            <family val="2"/>
            <charset val="238"/>
          </rPr>
          <t>Darmo, Martin:</t>
        </r>
        <r>
          <rPr>
            <sz val="9"/>
            <color indexed="81"/>
            <rFont val="Segoe UI"/>
            <family val="2"/>
            <charset val="238"/>
          </rPr>
          <t xml:space="preserve">
Vrátane PD</t>
        </r>
      </text>
    </comment>
    <comment ref="F63" authorId="0" shapeId="0">
      <text>
        <r>
          <rPr>
            <b/>
            <sz val="9"/>
            <color indexed="81"/>
            <rFont val="Segoe UI"/>
            <family val="2"/>
            <charset val="238"/>
          </rPr>
          <t>Darmo, Martin:</t>
        </r>
        <r>
          <rPr>
            <sz val="9"/>
            <color indexed="81"/>
            <rFont val="Segoe UI"/>
            <family val="2"/>
            <charset val="238"/>
          </rPr>
          <t xml:space="preserve">
Vrátane bottlenecku na 140d</t>
        </r>
      </text>
    </comment>
    <comment ref="F67" authorId="0" shapeId="0">
      <text>
        <r>
          <rPr>
            <b/>
            <sz val="9"/>
            <color indexed="81"/>
            <rFont val="Segoe UI"/>
            <family val="2"/>
            <charset val="238"/>
          </rPr>
          <t>Darmo, Martin:</t>
        </r>
        <r>
          <rPr>
            <sz val="9"/>
            <color indexed="81"/>
            <rFont val="Segoe UI"/>
            <family val="2"/>
            <charset val="238"/>
          </rPr>
          <t xml:space="preserve">
Suma znížená o hodnotu projektu "ŽST Trnovec nad Váhom – ŽST Tvrdošovce, modernizácia koľaje č. 1 a č. 2"
Obe fázy.</t>
        </r>
      </text>
    </comment>
    <comment ref="EC80" authorId="0" shapeId="0">
      <text>
        <r>
          <rPr>
            <b/>
            <sz val="9"/>
            <color indexed="81"/>
            <rFont val="Segoe UI"/>
            <family val="2"/>
            <charset val="238"/>
          </rPr>
          <t>Darmo, Martin:</t>
        </r>
        <r>
          <rPr>
            <sz val="9"/>
            <color indexed="81"/>
            <rFont val="Segoe UI"/>
            <family val="2"/>
            <charset val="238"/>
          </rPr>
          <t xml:space="preserve">
Suma aj po roku 2030.</t>
        </r>
      </text>
    </comment>
    <comment ref="EC81" authorId="0" shapeId="0">
      <text>
        <r>
          <rPr>
            <b/>
            <sz val="9"/>
            <color indexed="81"/>
            <rFont val="Segoe UI"/>
            <family val="2"/>
            <charset val="238"/>
          </rPr>
          <t>Darmo, Martin:</t>
        </r>
        <r>
          <rPr>
            <sz val="9"/>
            <color indexed="81"/>
            <rFont val="Segoe UI"/>
            <family val="2"/>
            <charset val="238"/>
          </rPr>
          <t xml:space="preserve">
Suma aj po roku 2030.</t>
        </r>
      </text>
    </comment>
    <comment ref="EC83" authorId="0" shapeId="0">
      <text>
        <r>
          <rPr>
            <b/>
            <sz val="9"/>
            <color indexed="81"/>
            <rFont val="Segoe UI"/>
            <family val="2"/>
            <charset val="238"/>
          </rPr>
          <t>Darmo, Martin:</t>
        </r>
        <r>
          <rPr>
            <sz val="9"/>
            <color indexed="81"/>
            <rFont val="Segoe UI"/>
            <family val="2"/>
            <charset val="238"/>
          </rPr>
          <t xml:space="preserve">
Suma aj po roku 2030.</t>
        </r>
      </text>
    </comment>
    <comment ref="EC84" authorId="0" shapeId="0">
      <text>
        <r>
          <rPr>
            <b/>
            <sz val="9"/>
            <color indexed="81"/>
            <rFont val="Segoe UI"/>
            <family val="2"/>
            <charset val="238"/>
          </rPr>
          <t>Darmo, Martin:</t>
        </r>
        <r>
          <rPr>
            <sz val="9"/>
            <color indexed="81"/>
            <rFont val="Segoe UI"/>
            <family val="2"/>
            <charset val="238"/>
          </rPr>
          <t xml:space="preserve">
Suma aj po roku 2030.</t>
        </r>
      </text>
    </comment>
  </commentList>
</comments>
</file>

<file path=xl/comments3.xml><?xml version="1.0" encoding="utf-8"?>
<comments xmlns="http://schemas.openxmlformats.org/spreadsheetml/2006/main">
  <authors>
    <author>Petroci Matej</author>
  </authors>
  <commentList>
    <comment ref="G13" authorId="0" shapeId="0">
      <text>
        <r>
          <rPr>
            <b/>
            <sz val="9"/>
            <color indexed="81"/>
            <rFont val="Segoe UI"/>
            <family val="2"/>
            <charset val="238"/>
          </rPr>
          <t>Petroci Matej:</t>
        </r>
        <r>
          <rPr>
            <sz val="9"/>
            <color indexed="81"/>
            <rFont val="Segoe UI"/>
            <family val="2"/>
            <charset val="238"/>
          </rPr>
          <t xml:space="preserve">
Nie sú samostatne posúdené
</t>
        </r>
      </text>
    </comment>
  </commentList>
</comments>
</file>

<file path=xl/sharedStrings.xml><?xml version="1.0" encoding="utf-8"?>
<sst xmlns="http://schemas.openxmlformats.org/spreadsheetml/2006/main" count="5718" uniqueCount="1582">
  <si>
    <t>110a</t>
  </si>
  <si>
    <t>Kúty - CZ</t>
  </si>
  <si>
    <t>110b</t>
  </si>
  <si>
    <t>Malacky - Kúty</t>
  </si>
  <si>
    <t>110c</t>
  </si>
  <si>
    <t>Devínska Nová Ves - Malacky</t>
  </si>
  <si>
    <t>111a</t>
  </si>
  <si>
    <t>Devínska Nová Ves - AT</t>
  </si>
  <si>
    <t>112a</t>
  </si>
  <si>
    <t>Zohor - Plavecké Podhradie</t>
  </si>
  <si>
    <t>113a</t>
  </si>
  <si>
    <t>Zohor - Záhorská Ves</t>
  </si>
  <si>
    <t>114a</t>
  </si>
  <si>
    <t>Kúty - Skalica</t>
  </si>
  <si>
    <t>115a</t>
  </si>
  <si>
    <t>Holíč - CZ</t>
  </si>
  <si>
    <t>116a</t>
  </si>
  <si>
    <t>Trnava - Kúty</t>
  </si>
  <si>
    <t>117a</t>
  </si>
  <si>
    <t>Jablonica - Brezová</t>
  </si>
  <si>
    <t>120a</t>
  </si>
  <si>
    <t>Bratislava - Pezinok</t>
  </si>
  <si>
    <t>120b</t>
  </si>
  <si>
    <t>Pezinok - Trnava</t>
  </si>
  <si>
    <t>120c</t>
  </si>
  <si>
    <t>Leopoldov - Trnava</t>
  </si>
  <si>
    <t>120d</t>
  </si>
  <si>
    <t>Leopoldov - Nové Mesto</t>
  </si>
  <si>
    <t>120e</t>
  </si>
  <si>
    <t>Trenčín - Nové Mesto nad Váhom</t>
  </si>
  <si>
    <t>120f</t>
  </si>
  <si>
    <t>Trenčín - Púchov</t>
  </si>
  <si>
    <t>120g</t>
  </si>
  <si>
    <t>Púchov - Žilina</t>
  </si>
  <si>
    <t>121a</t>
  </si>
  <si>
    <t>Nové Mesto - Myjava</t>
  </si>
  <si>
    <t>121b</t>
  </si>
  <si>
    <t>Myjava - Vrbovce</t>
  </si>
  <si>
    <t>123a</t>
  </si>
  <si>
    <t>Trenčianska Teplá - Horné Srnie - CZ</t>
  </si>
  <si>
    <t>124a</t>
  </si>
  <si>
    <t>Nemšová - Lednické Rovne</t>
  </si>
  <si>
    <t>125a</t>
  </si>
  <si>
    <t>Púchov - Lúky - CZ</t>
  </si>
  <si>
    <t>126a</t>
  </si>
  <si>
    <t>Žilina - Rajec</t>
  </si>
  <si>
    <t>127a</t>
  </si>
  <si>
    <t>Čadca - CZ</t>
  </si>
  <si>
    <t>127b</t>
  </si>
  <si>
    <t>Krásno n. K. - Čadca</t>
  </si>
  <si>
    <t>127c</t>
  </si>
  <si>
    <t>Žilina - Krásno n. K.</t>
  </si>
  <si>
    <t>128a</t>
  </si>
  <si>
    <t>Čadca - Turzovka</t>
  </si>
  <si>
    <t>128b</t>
  </si>
  <si>
    <t>Turzovka - Makov</t>
  </si>
  <si>
    <t>129a</t>
  </si>
  <si>
    <t>Čadca - Skalité - PL</t>
  </si>
  <si>
    <t>130a</t>
  </si>
  <si>
    <t>Bratislava - Senec</t>
  </si>
  <si>
    <t>130b</t>
  </si>
  <si>
    <t>Senec - Galanta</t>
  </si>
  <si>
    <t>130c</t>
  </si>
  <si>
    <t>Galanta - Palárikovo</t>
  </si>
  <si>
    <t>130d</t>
  </si>
  <si>
    <t>Nové Zámky - Palárikovo</t>
  </si>
  <si>
    <t>130e</t>
  </si>
  <si>
    <t>Nové Zámky - Štúrovo</t>
  </si>
  <si>
    <t>130f</t>
  </si>
  <si>
    <t>Štúrovo - HU</t>
  </si>
  <si>
    <t>131a</t>
  </si>
  <si>
    <t>Bratislava - Kvetoslavov</t>
  </si>
  <si>
    <t>131b</t>
  </si>
  <si>
    <t>Kvetoslavov - Dunajská Streda</t>
  </si>
  <si>
    <t>131c</t>
  </si>
  <si>
    <t>Komárno - Dunajská Streda</t>
  </si>
  <si>
    <t>132a</t>
  </si>
  <si>
    <t>Bratislava-Petržalka - HU</t>
  </si>
  <si>
    <t>133a</t>
  </si>
  <si>
    <t>Trnava - Sereď</t>
  </si>
  <si>
    <t>133b</t>
  </si>
  <si>
    <t>Galanta - Sereď</t>
  </si>
  <si>
    <t>133c</t>
  </si>
  <si>
    <t>Leopoldov - Sereď</t>
  </si>
  <si>
    <t>134a</t>
  </si>
  <si>
    <t>Šaľa - Neded</t>
  </si>
  <si>
    <t>135a</t>
  </si>
  <si>
    <t>Komárno - Nové Zámky</t>
  </si>
  <si>
    <t>135b</t>
  </si>
  <si>
    <t>Komárno - HU</t>
  </si>
  <si>
    <t>136a</t>
  </si>
  <si>
    <t>Komárno - Kolárovo</t>
  </si>
  <si>
    <t>137a</t>
  </si>
  <si>
    <t>Bratislava-Petržalka - AT</t>
  </si>
  <si>
    <t>140a</t>
  </si>
  <si>
    <t>Nové Zámky - Šurany</t>
  </si>
  <si>
    <t>140b</t>
  </si>
  <si>
    <t>Nitra - Šurany</t>
  </si>
  <si>
    <t>140c</t>
  </si>
  <si>
    <t>Nitra - Lužianky</t>
  </si>
  <si>
    <t>140d</t>
  </si>
  <si>
    <t>Lužianky - Topoľčany</t>
  </si>
  <si>
    <t>140e</t>
  </si>
  <si>
    <t>Topoľčany - Prievidza</t>
  </si>
  <si>
    <t>141a</t>
  </si>
  <si>
    <t>Leopoldov - Lužianky</t>
  </si>
  <si>
    <t>141b</t>
  </si>
  <si>
    <t>Kozárovce - Dražovce</t>
  </si>
  <si>
    <t>142a</t>
  </si>
  <si>
    <t>Zbehy - Radošina</t>
  </si>
  <si>
    <t>143a</t>
  </si>
  <si>
    <t>Trenčín - Chynorany</t>
  </si>
  <si>
    <t>145a</t>
  </si>
  <si>
    <t>Horná Štubňa - Prievidza</t>
  </si>
  <si>
    <t>145b</t>
  </si>
  <si>
    <t>Prievidza - Nitrianske Pravno</t>
  </si>
  <si>
    <t>150a</t>
  </si>
  <si>
    <t>Palárikovo - Šurany</t>
  </si>
  <si>
    <t>150b</t>
  </si>
  <si>
    <t>Šurany - Levice</t>
  </si>
  <si>
    <t>150c</t>
  </si>
  <si>
    <t>Levice - Zvolen</t>
  </si>
  <si>
    <t>151a</t>
  </si>
  <si>
    <t>Zlaté Moravce - Úľany</t>
  </si>
  <si>
    <t>152a</t>
  </si>
  <si>
    <t>Levice - Štúrovo</t>
  </si>
  <si>
    <t>153a</t>
  </si>
  <si>
    <t>Čata - Šahy</t>
  </si>
  <si>
    <t>153b</t>
  </si>
  <si>
    <t>Krupina - Šahy</t>
  </si>
  <si>
    <t>153c</t>
  </si>
  <si>
    <t>Zvolen - Krupina</t>
  </si>
  <si>
    <t>154a</t>
  </si>
  <si>
    <t>Hronská Dúbrava - Banská Štiavnica</t>
  </si>
  <si>
    <t>160a</t>
  </si>
  <si>
    <t>Zvolen - Lučenec</t>
  </si>
  <si>
    <t>160b</t>
  </si>
  <si>
    <t>Lučenec - Fiľakovo</t>
  </si>
  <si>
    <t>160c</t>
  </si>
  <si>
    <t>Fiľakovo - Jesenské</t>
  </si>
  <si>
    <t>160d</t>
  </si>
  <si>
    <t>Jesenské - Lenartovce</t>
  </si>
  <si>
    <t>160e</t>
  </si>
  <si>
    <t>Lenartovce - Moldava</t>
  </si>
  <si>
    <t>160f</t>
  </si>
  <si>
    <t>Košice - Moldava</t>
  </si>
  <si>
    <t>160o</t>
  </si>
  <si>
    <t>Lenartovce - HU</t>
  </si>
  <si>
    <t>161a</t>
  </si>
  <si>
    <t>Lučenec - HU - Veľký Krtíš</t>
  </si>
  <si>
    <t>162a</t>
  </si>
  <si>
    <t>Lučenec - Poltár</t>
  </si>
  <si>
    <t>162b</t>
  </si>
  <si>
    <t>Poltár - Utekáč</t>
  </si>
  <si>
    <t>163a</t>
  </si>
  <si>
    <t>Breznička - Katarínska Huta</t>
  </si>
  <si>
    <t>164a</t>
  </si>
  <si>
    <t>Fiľakovo - HU</t>
  </si>
  <si>
    <t>165a</t>
  </si>
  <si>
    <t>Plešivec - Muráň</t>
  </si>
  <si>
    <t>166a</t>
  </si>
  <si>
    <t>Plešivec - Slavošovce</t>
  </si>
  <si>
    <t>167a</t>
  </si>
  <si>
    <t>Rožňava - Dobšiná</t>
  </si>
  <si>
    <t>168a</t>
  </si>
  <si>
    <t>Moldava - Medzev</t>
  </si>
  <si>
    <t>169a</t>
  </si>
  <si>
    <t>Košice - HU</t>
  </si>
  <si>
    <t>170a</t>
  </si>
  <si>
    <t>Dolná Štubňa - Vrútky</t>
  </si>
  <si>
    <t>170b</t>
  </si>
  <si>
    <t>Banská Bystrica - Dolná Štubňa</t>
  </si>
  <si>
    <t>170c</t>
  </si>
  <si>
    <t>Zvolen - Banská Bystrica</t>
  </si>
  <si>
    <t>171a</t>
  </si>
  <si>
    <t>Hronská Dúbrava - Horná Štubňa</t>
  </si>
  <si>
    <t>171b</t>
  </si>
  <si>
    <t>Horná Štubňa - Dolná Štubňa</t>
  </si>
  <si>
    <t>172a</t>
  </si>
  <si>
    <t>Banská Bystrica - Brezno</t>
  </si>
  <si>
    <t>172b</t>
  </si>
  <si>
    <t>Brezno - Červená Skala</t>
  </si>
  <si>
    <t>172o</t>
  </si>
  <si>
    <t>Hronec - Chvatimech</t>
  </si>
  <si>
    <t>173a</t>
  </si>
  <si>
    <t>Červená Skala - Nálepkovo</t>
  </si>
  <si>
    <t>173b</t>
  </si>
  <si>
    <t>Nálepkovo - Margecany</t>
  </si>
  <si>
    <t>174a</t>
  </si>
  <si>
    <t>Jesenské - Rimavská Sobota</t>
  </si>
  <si>
    <t>174b</t>
  </si>
  <si>
    <t>Rimavská Sobota - Tisovec</t>
  </si>
  <si>
    <t>174c</t>
  </si>
  <si>
    <t>Brezno - Tisovec</t>
  </si>
  <si>
    <t>180a</t>
  </si>
  <si>
    <t>Vrútky -  Žilina</t>
  </si>
  <si>
    <t>180b</t>
  </si>
  <si>
    <t>Vrútky - Liptovský Mikuláš</t>
  </si>
  <si>
    <t>180c</t>
  </si>
  <si>
    <t>Liptovský Mikuláš - Liptovský Hrádok</t>
  </si>
  <si>
    <t>180d</t>
  </si>
  <si>
    <t>Liptovský Hrádok - Štrba</t>
  </si>
  <si>
    <t>180e</t>
  </si>
  <si>
    <t>Poprad - Štrba (Lučivná)</t>
  </si>
  <si>
    <t>180f</t>
  </si>
  <si>
    <t>Poprad - Spišská Nová Ves</t>
  </si>
  <si>
    <t>180g</t>
  </si>
  <si>
    <t>Spišská Nová Ves - Margecany</t>
  </si>
  <si>
    <t>180h</t>
  </si>
  <si>
    <t>Margecany - Kysak</t>
  </si>
  <si>
    <t>180i</t>
  </si>
  <si>
    <t>Košice - Kysak</t>
  </si>
  <si>
    <t>181a</t>
  </si>
  <si>
    <t>Kraľovany - Trstená</t>
  </si>
  <si>
    <t>185a</t>
  </si>
  <si>
    <t>Poprad - Spišská Belá</t>
  </si>
  <si>
    <t>185b</t>
  </si>
  <si>
    <t>Spišská Belá - Stará Ľubovňa</t>
  </si>
  <si>
    <t>185c</t>
  </si>
  <si>
    <t>Stará Ľubovňa - Plaveč</t>
  </si>
  <si>
    <t>185d</t>
  </si>
  <si>
    <t>Tatranská Lomnica - Studený Potok</t>
  </si>
  <si>
    <t>186a</t>
  </si>
  <si>
    <t>Spišská Nová Ves - Levoča</t>
  </si>
  <si>
    <t>187a</t>
  </si>
  <si>
    <t>Spišské Vlachy - Spišské Podhradie</t>
  </si>
  <si>
    <t>188a</t>
  </si>
  <si>
    <t>Kysak - Prešov</t>
  </si>
  <si>
    <t>188b</t>
  </si>
  <si>
    <t>Prešov - Lipany</t>
  </si>
  <si>
    <t>188c</t>
  </si>
  <si>
    <t>Lipany - Plaveč</t>
  </si>
  <si>
    <t>188d</t>
  </si>
  <si>
    <t>Plaveč - PL</t>
  </si>
  <si>
    <t>190a</t>
  </si>
  <si>
    <t>Košice - Slivník</t>
  </si>
  <si>
    <t>190b</t>
  </si>
  <si>
    <t>Slivník - Čierna n. T.</t>
  </si>
  <si>
    <t>190c</t>
  </si>
  <si>
    <t>Čierna nad Tisou ŠRT - UA</t>
  </si>
  <si>
    <t>191a</t>
  </si>
  <si>
    <t>Slivník - Trebišov</t>
  </si>
  <si>
    <t>191b</t>
  </si>
  <si>
    <t>Bánovce - Trebišov</t>
  </si>
  <si>
    <t>191c</t>
  </si>
  <si>
    <t>Bánovce - Strážske</t>
  </si>
  <si>
    <t>191d</t>
  </si>
  <si>
    <t>Humenné - Strážske</t>
  </si>
  <si>
    <t>191e</t>
  </si>
  <si>
    <t>Humenné - Medzilaborce</t>
  </si>
  <si>
    <t>191f</t>
  </si>
  <si>
    <t>Medzilaborce - PL</t>
  </si>
  <si>
    <t>191o</t>
  </si>
  <si>
    <t>Michľany - Trebišov</t>
  </si>
  <si>
    <t>192a</t>
  </si>
  <si>
    <t>Trebišov - Vranov nad Topľou</t>
  </si>
  <si>
    <t>193a</t>
  </si>
  <si>
    <t>Prešov - Kapušany</t>
  </si>
  <si>
    <t>193b</t>
  </si>
  <si>
    <t>Strážske - Kapušany</t>
  </si>
  <si>
    <t>194a</t>
  </si>
  <si>
    <t>Bardejov - Kapušany</t>
  </si>
  <si>
    <t>195a</t>
  </si>
  <si>
    <t>Bánovce - Maťovce</t>
  </si>
  <si>
    <t>196a</t>
  </si>
  <si>
    <t>Humenné - Stakčín</t>
  </si>
  <si>
    <t>199a</t>
  </si>
  <si>
    <t>Piešťany - Vrbové</t>
  </si>
  <si>
    <t>BAJ</t>
  </si>
  <si>
    <t>Uzol Bratislava (juh)</t>
  </si>
  <si>
    <t>BAS</t>
  </si>
  <si>
    <t>Uzol Bratislava (sever)</t>
  </si>
  <si>
    <t>BAV</t>
  </si>
  <si>
    <t>Uzol Bratislava (východ)</t>
  </si>
  <si>
    <t>BAZ</t>
  </si>
  <si>
    <t>Uzol Bratislava (západ)</t>
  </si>
  <si>
    <t>KEA</t>
  </si>
  <si>
    <t>Košice - Barca</t>
  </si>
  <si>
    <t>KEN</t>
  </si>
  <si>
    <t>Košice nákl. st.</t>
  </si>
  <si>
    <t>OŽ</t>
  </si>
  <si>
    <t>ŠRT</t>
  </si>
  <si>
    <t>TEŽ</t>
  </si>
  <si>
    <t>TREŽ</t>
  </si>
  <si>
    <t>ZAO</t>
  </si>
  <si>
    <t>Uzol Žilina</t>
  </si>
  <si>
    <t>ZAT</t>
  </si>
  <si>
    <t>Žilina Teplička</t>
  </si>
  <si>
    <t>Poradie</t>
  </si>
  <si>
    <t>elektrifikácia</t>
  </si>
  <si>
    <t>DOZZ</t>
  </si>
  <si>
    <t>Zdôvodnenie</t>
  </si>
  <si>
    <t>nemožnosť výhľadového intervalu vlakov 30 min</t>
  </si>
  <si>
    <t>nízka pravidelnosť dopravy (perónové intervaly, zdržania)</t>
  </si>
  <si>
    <t>nemožnosť zväzkového grafikonu (zdržiavanie a prestoje nákladných vlakov)</t>
  </si>
  <si>
    <t>AH v medzistaničných úsekoch</t>
  </si>
  <si>
    <t>vysoký stupeň obsadenia, predchodenie, meškania; nemožnosť zväzkového grafikonu</t>
  </si>
  <si>
    <t>nemožnosť pravidelného intervalu 60 min</t>
  </si>
  <si>
    <t>Odb. Ružinov; rozšírenie stanice N. Košariská; AH N. Košariská - Kvetoslavov</t>
  </si>
  <si>
    <t xml:space="preserve">nemožnosť zostaviť symetrický grafikon, nedostatočná kapacita na odklonovú trať </t>
  </si>
  <si>
    <t>nízka pravidelnosť dopravy (prenášanie meškaní), zdržania pri križovaní/predchodení</t>
  </si>
  <si>
    <t>nízka pravidelnosť dopravy (prenášanie meškaní)</t>
  </si>
  <si>
    <t>Výhybňa Križovany</t>
  </si>
  <si>
    <t>peronizácia Bernolákovo, Senec</t>
  </si>
  <si>
    <t>peronizácia staníc</t>
  </si>
  <si>
    <t>výhybňa Istebné</t>
  </si>
  <si>
    <t>nová výhybňa + DOZZ</t>
  </si>
  <si>
    <t>nemožnosť pravidelného intervalu 30 min</t>
  </si>
  <si>
    <t>nástupištia a zhlavia BA hl. st.</t>
  </si>
  <si>
    <t>nedostatočná dĺžka nástupíšť; nízka stabilita grafikonu</t>
  </si>
  <si>
    <t>BCR</t>
  </si>
  <si>
    <t>160 km/h</t>
  </si>
  <si>
    <t>Liptovský Mikuláš (Paludza) - Vrútky</t>
  </si>
  <si>
    <t>Varín - Žilina</t>
  </si>
  <si>
    <t>200 km/h</t>
  </si>
  <si>
    <t>SNV (Markušovce) - Poprad</t>
  </si>
  <si>
    <t>Vrútky - Varín</t>
  </si>
  <si>
    <t>Krompachy - SNV (Markušovce)</t>
  </si>
  <si>
    <t>Liptovský Hrádok - Liptovský Mikuláš (Paludza)</t>
  </si>
  <si>
    <t>Margecany - Krompachy</t>
  </si>
  <si>
    <t>Štrba (Lučivná) - Liptovský Hrádok</t>
  </si>
  <si>
    <t>Kysak - Margecany</t>
  </si>
  <si>
    <t>Čadca - Krásno</t>
  </si>
  <si>
    <t>Čadca</t>
  </si>
  <si>
    <t>Čadca - Čadca gr.</t>
  </si>
  <si>
    <t>120 km/h</t>
  </si>
  <si>
    <t>90 km/h</t>
  </si>
  <si>
    <t>základný</t>
  </si>
  <si>
    <t>BA hl. st. - BA, Rača/Vajnory/N.Mesto</t>
  </si>
  <si>
    <t>BA, predmestie - BA, Filiálka</t>
  </si>
  <si>
    <t>BA hl. st. - Devínska Nová Ves</t>
  </si>
  <si>
    <t>Úsek</t>
  </si>
  <si>
    <t>Kraľovany - Ľubochňa</t>
  </si>
  <si>
    <t>Hr. Beňadik - N. Baňa</t>
  </si>
  <si>
    <t>Fiľakovo - Prša</t>
  </si>
  <si>
    <t>Trať</t>
  </si>
  <si>
    <t>Prievidza - Jelšovce</t>
  </si>
  <si>
    <t>Projekt</t>
  </si>
  <si>
    <t>Rozsah</t>
  </si>
  <si>
    <t>Palárikovo - Šurany - Zvolen</t>
  </si>
  <si>
    <t>modernizácia (120-200 km/h)</t>
  </si>
  <si>
    <t>modernizácia (120 km/h)</t>
  </si>
  <si>
    <t>Fiľakovo – Košice</t>
  </si>
  <si>
    <t>Devínska Nová Ves – AT</t>
  </si>
  <si>
    <t>zdvojkoľajnenie</t>
  </si>
  <si>
    <t>Slovenské Nové Mesto - HU</t>
  </si>
  <si>
    <t>Bezpečnosť priecestí</t>
  </si>
  <si>
    <t>nová trať</t>
  </si>
  <si>
    <t>x</t>
  </si>
  <si>
    <t>Nitra - Leopoldov</t>
  </si>
  <si>
    <t>Banská Bystrica - Martin</t>
  </si>
  <si>
    <t>Odstavná stanica Bratislava hl. st.</t>
  </si>
  <si>
    <t>Bratislava - TiOP Petržalka</t>
  </si>
  <si>
    <t>Bratislava - TiOP Ružinov</t>
  </si>
  <si>
    <t>Bratislava - TIOP Bory</t>
  </si>
  <si>
    <t>Bratislava - TIOP Vrakuňa</t>
  </si>
  <si>
    <t>Bratislava - TIOP Patrónka</t>
  </si>
  <si>
    <t>Bratislava - TiOP  Mladá Garda</t>
  </si>
  <si>
    <t>Bratislava - TiOP Cintorín Vrakuňa</t>
  </si>
  <si>
    <t>Bratislava - TiOP  Terminál</t>
  </si>
  <si>
    <t>Bratislava - TiOP Kopčany</t>
  </si>
  <si>
    <t>Košice - TiOP Juh</t>
  </si>
  <si>
    <t>Nové železničné zastávky</t>
  </si>
  <si>
    <t>Plavecký Mikuláš - Jablonica</t>
  </si>
  <si>
    <t>Brezová pod Bradlom - Vrbové</t>
  </si>
  <si>
    <t>Brezová pod Bradlom - Myjava</t>
  </si>
  <si>
    <t xml:space="preserve">Nitra - Zlaté Moravce </t>
  </si>
  <si>
    <t>Kolárovo - Neded</t>
  </si>
  <si>
    <t>Levice - Dudince</t>
  </si>
  <si>
    <t>Dudince - Veľký Krtíš - Lučenec</t>
  </si>
  <si>
    <t>Žiar nad Hronom - Handlová</t>
  </si>
  <si>
    <t>Banská Bystrica - Ružomberok - Dolný Kubín</t>
  </si>
  <si>
    <t>Kokava nad Rimavicou - Hnúšťa</t>
  </si>
  <si>
    <t>Muráň - Pohorelá</t>
  </si>
  <si>
    <t>Dobšiná - Mlynky</t>
  </si>
  <si>
    <t>Považská Bystrica - Domaniža - Rajec</t>
  </si>
  <si>
    <t>Pohorelá - Štrba - Zakopané (PKP)</t>
  </si>
  <si>
    <t>Margecany - Prešov</t>
  </si>
  <si>
    <t>Bardejov - Svidník - Medzilaborce</t>
  </si>
  <si>
    <t>Svidník - Stropkov - Vranov nad Topľou</t>
  </si>
  <si>
    <t>Záhorská Ves - Angern AT</t>
  </si>
  <si>
    <t>Tisovec - Revúca</t>
  </si>
  <si>
    <t>Technické zariadenia</t>
  </si>
  <si>
    <t>Projekt ID</t>
  </si>
  <si>
    <t>nemožnosť pravidelného intervalu 60 min, zdržanie nákladnej dopravy</t>
  </si>
  <si>
    <t>nemožnosť pravidelného intervalu (30 min Os a 60 min REX) a nedostatočná kapacita pre nakladne vlaky</t>
  </si>
  <si>
    <t>nie</t>
  </si>
  <si>
    <t>BAF</t>
  </si>
  <si>
    <t>127b1</t>
  </si>
  <si>
    <t>127b2</t>
  </si>
  <si>
    <t>180g1</t>
  </si>
  <si>
    <t>180g2</t>
  </si>
  <si>
    <t>Bratislava, Petržalka - Wolsthal</t>
  </si>
  <si>
    <t>Dražovce - Lužianky</t>
  </si>
  <si>
    <t>obnova zrušenej trate</t>
  </si>
  <si>
    <t>Bratislava, Lamač - Záhorská Bystrica - Stupava - Lozorno</t>
  </si>
  <si>
    <t>Bratislava, Vajnory - Pezinok</t>
  </si>
  <si>
    <t>dostavba nedobudovanej trate</t>
  </si>
  <si>
    <t>optimalizácia</t>
  </si>
  <si>
    <t>elektrifikácia + optimalizácia</t>
  </si>
  <si>
    <t>Leopoldov - Nitra</t>
  </si>
  <si>
    <t>Haniska - Moldava</t>
  </si>
  <si>
    <t>Bánovce n/O. - Humenné</t>
  </si>
  <si>
    <t>Zvolen - Fiľakovo</t>
  </si>
  <si>
    <t>Nitra - Trnovec n. V.</t>
  </si>
  <si>
    <t>Bratislava - Komárno</t>
  </si>
  <si>
    <t>modernizácia a  skapacitnenie</t>
  </si>
  <si>
    <t>Bratislava - Komárno (priecestia)</t>
  </si>
  <si>
    <t>Náhrada priecestí mimoúrovňovo</t>
  </si>
  <si>
    <t>Kvetoslavov - Šamorín</t>
  </si>
  <si>
    <t>modernizácia 200 km/h</t>
  </si>
  <si>
    <t>modernizácia 120 km/h</t>
  </si>
  <si>
    <t>Odbočka Nová Stráť - Komárom</t>
  </si>
  <si>
    <t>revidované ÚHP, BCR=0,7</t>
  </si>
  <si>
    <t>130o</t>
  </si>
  <si>
    <t>191_</t>
  </si>
  <si>
    <t>160_</t>
  </si>
  <si>
    <t>140_</t>
  </si>
  <si>
    <t>131_</t>
  </si>
  <si>
    <t>150_</t>
  </si>
  <si>
    <t>181_</t>
  </si>
  <si>
    <t>elektrifikácia + optimalizácia (120 km/h)</t>
  </si>
  <si>
    <t>190o</t>
  </si>
  <si>
    <t>170_</t>
  </si>
  <si>
    <t>ZAS</t>
  </si>
  <si>
    <t>PRE</t>
  </si>
  <si>
    <t>TZA</t>
  </si>
  <si>
    <t>BAJU</t>
  </si>
  <si>
    <t>BAVY</t>
  </si>
  <si>
    <t>BAZA</t>
  </si>
  <si>
    <t>KEOS</t>
  </si>
  <si>
    <t>validované ÚHP</t>
  </si>
  <si>
    <t>nevalidované ÚHP</t>
  </si>
  <si>
    <t>VRT1</t>
  </si>
  <si>
    <t>Budapešť - Bratislava - Praha/Varšava</t>
  </si>
  <si>
    <t>300a</t>
  </si>
  <si>
    <t>301a</t>
  </si>
  <si>
    <t>302a</t>
  </si>
  <si>
    <t>304a</t>
  </si>
  <si>
    <t>305a</t>
  </si>
  <si>
    <t>306a</t>
  </si>
  <si>
    <t>303a</t>
  </si>
  <si>
    <t>320a</t>
  </si>
  <si>
    <t>321a</t>
  </si>
  <si>
    <t>319a</t>
  </si>
  <si>
    <t>314a</t>
  </si>
  <si>
    <t>313a</t>
  </si>
  <si>
    <t>318a</t>
  </si>
  <si>
    <t>317a</t>
  </si>
  <si>
    <t>316a</t>
  </si>
  <si>
    <t>315a</t>
  </si>
  <si>
    <t>312a</t>
  </si>
  <si>
    <t>311a</t>
  </si>
  <si>
    <t>322a</t>
  </si>
  <si>
    <t>310a</t>
  </si>
  <si>
    <t>309a</t>
  </si>
  <si>
    <t>308a</t>
  </si>
  <si>
    <t>307a</t>
  </si>
  <si>
    <t>PZZ, nadjazdy/podjazdy</t>
  </si>
  <si>
    <t>samostatne pre každý typ zariadení</t>
  </si>
  <si>
    <t>Projeky posúdené štúdiami realizovateľnosti</t>
  </si>
  <si>
    <t>Ďalšie preukázateľné návratné posúdené štúdiami realizovateľnosti</t>
  </si>
  <si>
    <t>Ďalšie projekty vhdoné na posúdenie v budúcnosti</t>
  </si>
  <si>
    <t>Vypracovať predštúdie realizovateľnosti</t>
  </si>
  <si>
    <t>Preveriť pri aktualizácii existujúcich alebo v nových štúdiách realizovateľnosti</t>
  </si>
  <si>
    <t>Pre malé projekty vypracovať samostatné koncepcie rozvoja</t>
  </si>
  <si>
    <t>Preveriť nové trate národným alebo regionálnymi dopravnými modelmi</t>
  </si>
  <si>
    <t>Miera urgencie</t>
  </si>
  <si>
    <t>Projekty revitalizácie tratí</t>
  </si>
  <si>
    <t>Návratné</t>
  </si>
  <si>
    <t>ÁNO</t>
  </si>
  <si>
    <t>NIE</t>
  </si>
  <si>
    <t>Súhrn meškaní ročne (min)</t>
  </si>
  <si>
    <t>Úseky tratí v zlom stave s najväčšími meškaniami pre zlý stav tratí</t>
  </si>
  <si>
    <t>Elektrifikované</t>
  </si>
  <si>
    <t>E111a1</t>
  </si>
  <si>
    <t>E191c1</t>
  </si>
  <si>
    <t>E191d1</t>
  </si>
  <si>
    <t>E131a1</t>
  </si>
  <si>
    <t>E114a1</t>
  </si>
  <si>
    <t>E131b1</t>
  </si>
  <si>
    <t>E160b1</t>
  </si>
  <si>
    <t>E170a1</t>
  </si>
  <si>
    <t>E131c1</t>
  </si>
  <si>
    <t>E160a1</t>
  </si>
  <si>
    <t>E140c1</t>
  </si>
  <si>
    <t>E140e1</t>
  </si>
  <si>
    <t>E141a1</t>
  </si>
  <si>
    <t>E193a1</t>
  </si>
  <si>
    <t>E140d1</t>
  </si>
  <si>
    <t>E160d1</t>
  </si>
  <si>
    <t>E160e1</t>
  </si>
  <si>
    <t>E160c1</t>
  </si>
  <si>
    <t>E170b1</t>
  </si>
  <si>
    <t>E140b1</t>
  </si>
  <si>
    <t>E160o1</t>
  </si>
  <si>
    <t>E160f1</t>
  </si>
  <si>
    <t>E172a1</t>
  </si>
  <si>
    <t>E191e1</t>
  </si>
  <si>
    <t>E193b1</t>
  </si>
  <si>
    <t>E194a1</t>
  </si>
  <si>
    <t>E145a1</t>
  </si>
  <si>
    <t>E171b1</t>
  </si>
  <si>
    <t>E171a1</t>
  </si>
  <si>
    <t>E126a1</t>
  </si>
  <si>
    <t>E181a1</t>
  </si>
  <si>
    <t>E173b1</t>
  </si>
  <si>
    <t>E185a1</t>
  </si>
  <si>
    <t>E123a1</t>
  </si>
  <si>
    <t>E185b1</t>
  </si>
  <si>
    <t>E112a1</t>
  </si>
  <si>
    <t>E128a1</t>
  </si>
  <si>
    <t>E128b1</t>
  </si>
  <si>
    <t>E174a1</t>
  </si>
  <si>
    <t>E121a1</t>
  </si>
  <si>
    <t>E162a1</t>
  </si>
  <si>
    <t>E185d1</t>
  </si>
  <si>
    <t>E172b1</t>
  </si>
  <si>
    <t>E162b1</t>
  </si>
  <si>
    <t>E173a1</t>
  </si>
  <si>
    <t>E153c1</t>
  </si>
  <si>
    <t>E143a1</t>
  </si>
  <si>
    <t>E165a1</t>
  </si>
  <si>
    <t>E151a1</t>
  </si>
  <si>
    <t>E152a1</t>
  </si>
  <si>
    <t>E174b1</t>
  </si>
  <si>
    <t>E121b1</t>
  </si>
  <si>
    <t>E113a1</t>
  </si>
  <si>
    <t>E192a1</t>
  </si>
  <si>
    <t>E153b1</t>
  </si>
  <si>
    <t>E167a1</t>
  </si>
  <si>
    <t>E191f1</t>
  </si>
  <si>
    <t>E154a1</t>
  </si>
  <si>
    <t>E153a1</t>
  </si>
  <si>
    <t>E172o1</t>
  </si>
  <si>
    <t>E134a1</t>
  </si>
  <si>
    <t>E174c1</t>
  </si>
  <si>
    <t>E185c1</t>
  </si>
  <si>
    <t>E168a1</t>
  </si>
  <si>
    <t>E166a1</t>
  </si>
  <si>
    <t>E186a1</t>
  </si>
  <si>
    <t>E161a1</t>
  </si>
  <si>
    <t>E141b1</t>
  </si>
  <si>
    <t>E145b1</t>
  </si>
  <si>
    <t>E187a1</t>
  </si>
  <si>
    <t>E117a1</t>
  </si>
  <si>
    <t>E164a1</t>
  </si>
  <si>
    <t>E124a1</t>
  </si>
  <si>
    <t>E136a1</t>
  </si>
  <si>
    <t>E142a1</t>
  </si>
  <si>
    <t>E163a1</t>
  </si>
  <si>
    <t>E196a1</t>
  </si>
  <si>
    <t>E199a1</t>
  </si>
  <si>
    <t>Modernizácia tratí TENT core</t>
  </si>
  <si>
    <t>BCR ekonomické</t>
  </si>
  <si>
    <t>Návratné ekonomicky</t>
  </si>
  <si>
    <t>Návratné finančne</t>
  </si>
  <si>
    <t>km</t>
  </si>
  <si>
    <t>KEAm</t>
  </si>
  <si>
    <t>Košice (mimo) - Barca</t>
  </si>
  <si>
    <t>rozvojový</t>
  </si>
  <si>
    <t>_</t>
  </si>
  <si>
    <t>Etapa</t>
  </si>
  <si>
    <t>vysoká</t>
  </si>
  <si>
    <t>stredná</t>
  </si>
  <si>
    <t>nízka</t>
  </si>
  <si>
    <t>Poznámka</t>
  </si>
  <si>
    <t>DOZZ, vrátane obnovy výhybní Tek. Breznica, Voznica, Suť</t>
  </si>
  <si>
    <t>DOZZ vrátane obnovy výhybne Dolný Harmenec</t>
  </si>
  <si>
    <t>B111a_</t>
  </si>
  <si>
    <t>D150c_</t>
  </si>
  <si>
    <t>B130a_</t>
  </si>
  <si>
    <t>B131a_</t>
  </si>
  <si>
    <t>B120a_</t>
  </si>
  <si>
    <t>B131c_</t>
  </si>
  <si>
    <t>D140c_</t>
  </si>
  <si>
    <t>B120b_</t>
  </si>
  <si>
    <t>D140b_</t>
  </si>
  <si>
    <t>D140d_</t>
  </si>
  <si>
    <t>D172a_</t>
  </si>
  <si>
    <t>B180f_</t>
  </si>
  <si>
    <t>B180g_</t>
  </si>
  <si>
    <t>B180c_</t>
  </si>
  <si>
    <t>D170b_</t>
  </si>
  <si>
    <t>B131b_</t>
  </si>
  <si>
    <t>D133a_</t>
  </si>
  <si>
    <t>B180b_</t>
  </si>
  <si>
    <t>B130b_</t>
  </si>
  <si>
    <t>BBAZ_</t>
  </si>
  <si>
    <t>B180h_</t>
  </si>
  <si>
    <t>DTEŽ_</t>
  </si>
  <si>
    <t>D128a_</t>
  </si>
  <si>
    <t>D194a_</t>
  </si>
  <si>
    <t>D196a_</t>
  </si>
  <si>
    <t>D126a_</t>
  </si>
  <si>
    <t>D191e_</t>
  </si>
  <si>
    <t>D193b_</t>
  </si>
  <si>
    <t>D181a_</t>
  </si>
  <si>
    <t>D174b_</t>
  </si>
  <si>
    <t>bottleneck</t>
  </si>
  <si>
    <t>Investičné náklady 
(mil. eur)</t>
  </si>
  <si>
    <t>Investičné náklady 
DOZZ+GSMR (mil. eur)</t>
  </si>
  <si>
    <t>Investičné náklady 
ETCS 
(mil. eur)</t>
  </si>
  <si>
    <t>Investičné náklady 
spolu 
(mil. eur)</t>
  </si>
  <si>
    <t>zvýšenie kapacity (zdvojkoľajnenie)</t>
  </si>
  <si>
    <t>Spišská Belá – Tatranská Kotlina – Ždiar – Tatranská Javorina – Zakopane</t>
  </si>
  <si>
    <t>Tatranská Lomnica – Tatranská Kotlina.</t>
  </si>
  <si>
    <t>TEŽp</t>
  </si>
  <si>
    <t>Rozvojové projekty</t>
  </si>
  <si>
    <t>vysokorýchlostná trať</t>
  </si>
  <si>
    <t>Investičné náklady
(mil. eur)</t>
  </si>
  <si>
    <t>Variant</t>
  </si>
  <si>
    <t>D180bH</t>
  </si>
  <si>
    <t>D160bH</t>
  </si>
  <si>
    <t>D150cH</t>
  </si>
  <si>
    <t>samostatná časť projektu D180B_</t>
  </si>
  <si>
    <t>samostatná časť projektu D150cH_</t>
  </si>
  <si>
    <t>samostatná časť projektu D60bH_</t>
  </si>
  <si>
    <t>Zavedenie ETCS na tratiach TEN-T core a RFC</t>
  </si>
  <si>
    <t>Zavedenie diaľkového riadenia dopravy</t>
  </si>
  <si>
    <t>Elektrifikácia tratí</t>
  </si>
  <si>
    <t>AH v medzistatničných úsekoch + dvojité koľajové spojky v staniciach</t>
  </si>
  <si>
    <t>výhybňa Okoč; zrušenie samovratov Veľký Meder a Zlatná n. O.</t>
  </si>
  <si>
    <t>DOZZ, vrátane výhybne Brusno</t>
  </si>
  <si>
    <t>Indikatívny opis riešenia</t>
  </si>
  <si>
    <t>posledný neelektrifikovaný úsek na trati Viedeň - Bratislava</t>
  </si>
  <si>
    <t>peronizácia staníc, nová výhybňa Pusté Úľany (koľajové spojky)</t>
  </si>
  <si>
    <t>nízka pravidelnosť dopravy, nedostatočná kapacity pri výlukách (perónové intervaly, zdržania)</t>
  </si>
  <si>
    <t>DOZZ vrátane výhybne Staškov</t>
  </si>
  <si>
    <t xml:space="preserve">DOZZ vrátane obnovy výhybne Soľ </t>
  </si>
  <si>
    <t xml:space="preserve">DOZZ vrátane obnovy výhybne Konská </t>
  </si>
  <si>
    <t>DOZZ vrátane výhybne Teriakovce</t>
  </si>
  <si>
    <t>DOZZ vrátane novej výhybne</t>
  </si>
  <si>
    <t>Odstránenie úzkych miest na infraštruktúre</t>
  </si>
  <si>
    <t>T190aM</t>
  </si>
  <si>
    <t>T180iM</t>
  </si>
  <si>
    <t>TKEAmM</t>
  </si>
  <si>
    <t>T180bM</t>
  </si>
  <si>
    <t>T180eM</t>
  </si>
  <si>
    <t>TZAO_M</t>
  </si>
  <si>
    <t>TBAZ_M</t>
  </si>
  <si>
    <t>T110cM</t>
  </si>
  <si>
    <t>T180fM</t>
  </si>
  <si>
    <t>T180aM</t>
  </si>
  <si>
    <t>T110bM</t>
  </si>
  <si>
    <t>T180g1M</t>
  </si>
  <si>
    <t>TBAV_M</t>
  </si>
  <si>
    <t>T110aM</t>
  </si>
  <si>
    <t>T127aM</t>
  </si>
  <si>
    <t>T180cM</t>
  </si>
  <si>
    <t>T180g2M</t>
  </si>
  <si>
    <t>T127b2M</t>
  </si>
  <si>
    <t>TBAF_M</t>
  </si>
  <si>
    <t>T127b1M</t>
  </si>
  <si>
    <t>T180dM</t>
  </si>
  <si>
    <t>T180hM</t>
  </si>
  <si>
    <t>T190bM</t>
  </si>
  <si>
    <t>M140_1</t>
  </si>
  <si>
    <t>M130a1</t>
  </si>
  <si>
    <t>M130b1</t>
  </si>
  <si>
    <t>M130c1</t>
  </si>
  <si>
    <t>M191_1</t>
  </si>
  <si>
    <t>M131_4</t>
  </si>
  <si>
    <t>M130d1</t>
  </si>
  <si>
    <t>M131_1</t>
  </si>
  <si>
    <t>M160f1</t>
  </si>
  <si>
    <t>M131_2</t>
  </si>
  <si>
    <t>M131_3</t>
  </si>
  <si>
    <t>M160_1</t>
  </si>
  <si>
    <t>M130e1</t>
  </si>
  <si>
    <t>M130o1</t>
  </si>
  <si>
    <t>M130f1</t>
  </si>
  <si>
    <t>M141a1</t>
  </si>
  <si>
    <t>M140b1</t>
  </si>
  <si>
    <t>M135a1</t>
  </si>
  <si>
    <t>M135b1</t>
  </si>
  <si>
    <t>Z131a1</t>
  </si>
  <si>
    <t>ZBAZA1</t>
  </si>
  <si>
    <t>Z131a2</t>
  </si>
  <si>
    <t>ZBAZA2</t>
  </si>
  <si>
    <t>S150_1</t>
  </si>
  <si>
    <t>S181_1</t>
  </si>
  <si>
    <t>S140c1</t>
  </si>
  <si>
    <t>S160_1</t>
  </si>
  <si>
    <t>S111a1</t>
  </si>
  <si>
    <t>S190o1</t>
  </si>
  <si>
    <t>S141a1</t>
  </si>
  <si>
    <t>S170_1</t>
  </si>
  <si>
    <t>SVRT11</t>
  </si>
  <si>
    <t>S170c1</t>
  </si>
  <si>
    <t>ZBAJU5</t>
  </si>
  <si>
    <t>ZBAVY5</t>
  </si>
  <si>
    <t>ZBAJU6</t>
  </si>
  <si>
    <t>ZBAJU7</t>
  </si>
  <si>
    <t>Z137a1</t>
  </si>
  <si>
    <t>OBAZA5</t>
  </si>
  <si>
    <t>ZKEOS5</t>
  </si>
  <si>
    <t>KZAS1</t>
  </si>
  <si>
    <t>KPRE1</t>
  </si>
  <si>
    <t>KTZA1</t>
  </si>
  <si>
    <t>N300a1</t>
  </si>
  <si>
    <t>N301a1</t>
  </si>
  <si>
    <t>N302a1</t>
  </si>
  <si>
    <t>N303a1</t>
  </si>
  <si>
    <t>N304a1</t>
  </si>
  <si>
    <t>N305a1</t>
  </si>
  <si>
    <t>N306a1</t>
  </si>
  <si>
    <t>N307a1</t>
  </si>
  <si>
    <t>N308a1</t>
  </si>
  <si>
    <t>N309a1</t>
  </si>
  <si>
    <t>N310a1</t>
  </si>
  <si>
    <t>N311a1</t>
  </si>
  <si>
    <t>N312a1</t>
  </si>
  <si>
    <t>N313a1</t>
  </si>
  <si>
    <t>N314a1</t>
  </si>
  <si>
    <t>N315a1</t>
  </si>
  <si>
    <t>N316a1</t>
  </si>
  <si>
    <t>N317a1</t>
  </si>
  <si>
    <t>N318a1</t>
  </si>
  <si>
    <t>N319a1</t>
  </si>
  <si>
    <t>N320a1</t>
  </si>
  <si>
    <t>N321a1</t>
  </si>
  <si>
    <t>N322a1</t>
  </si>
  <si>
    <t>NTEŽp1</t>
  </si>
  <si>
    <t>D193a_</t>
  </si>
  <si>
    <t>D140e_</t>
  </si>
  <si>
    <t>D133b1</t>
  </si>
  <si>
    <t>D135b_</t>
  </si>
  <si>
    <t>D141a_</t>
  </si>
  <si>
    <t>D133c_</t>
  </si>
  <si>
    <t>D180i_</t>
  </si>
  <si>
    <t>D171b_</t>
  </si>
  <si>
    <t>D180c_</t>
  </si>
  <si>
    <t>D191d_</t>
  </si>
  <si>
    <t>D160c_</t>
  </si>
  <si>
    <t>D191c_</t>
  </si>
  <si>
    <t>D140a_</t>
  </si>
  <si>
    <t>D173b_</t>
  </si>
  <si>
    <t>D180b1</t>
  </si>
  <si>
    <t>D190b1</t>
  </si>
  <si>
    <t>DBAZ1</t>
  </si>
  <si>
    <t>D180e_</t>
  </si>
  <si>
    <t>D180g1</t>
  </si>
  <si>
    <t>DŠRT_</t>
  </si>
  <si>
    <t>D188d_</t>
  </si>
  <si>
    <t>D130e1</t>
  </si>
  <si>
    <t>D145a_</t>
  </si>
  <si>
    <t>D162a_</t>
  </si>
  <si>
    <t>D160a_</t>
  </si>
  <si>
    <t>D130e_</t>
  </si>
  <si>
    <t>D123a_</t>
  </si>
  <si>
    <t>D132a_</t>
  </si>
  <si>
    <t>D170a_</t>
  </si>
  <si>
    <t>D185a_</t>
  </si>
  <si>
    <t>D171a_</t>
  </si>
  <si>
    <t>D172b_</t>
  </si>
  <si>
    <t>D153a_</t>
  </si>
  <si>
    <t>D160b_</t>
  </si>
  <si>
    <t>D131a_</t>
  </si>
  <si>
    <t>D121a_</t>
  </si>
  <si>
    <t>D165a_</t>
  </si>
  <si>
    <t>D128b_</t>
  </si>
  <si>
    <t>D131c_</t>
  </si>
  <si>
    <t>D114a_</t>
  </si>
  <si>
    <t>D166a_</t>
  </si>
  <si>
    <t>D152a_</t>
  </si>
  <si>
    <t>D191o_</t>
  </si>
  <si>
    <t>D191b_</t>
  </si>
  <si>
    <t>D195a_</t>
  </si>
  <si>
    <t>D192a_</t>
  </si>
  <si>
    <t>D190c_</t>
  </si>
  <si>
    <t>D135a_</t>
  </si>
  <si>
    <t>D151a_</t>
  </si>
  <si>
    <t>D162b_</t>
  </si>
  <si>
    <t>D153c_</t>
  </si>
  <si>
    <t>D185c_</t>
  </si>
  <si>
    <t>D143a_</t>
  </si>
  <si>
    <t>D121b_</t>
  </si>
  <si>
    <t>D116a_</t>
  </si>
  <si>
    <t>D180d_</t>
  </si>
  <si>
    <t>D160e_</t>
  </si>
  <si>
    <t>D110a_</t>
  </si>
  <si>
    <t>D111a_</t>
  </si>
  <si>
    <t>D113a_</t>
  </si>
  <si>
    <t>D115a_</t>
  </si>
  <si>
    <t>D117a_</t>
  </si>
  <si>
    <t>D124a_</t>
  </si>
  <si>
    <t>D127a_</t>
  </si>
  <si>
    <t>D130f_</t>
  </si>
  <si>
    <t>D134a_</t>
  </si>
  <si>
    <t>D136a_</t>
  </si>
  <si>
    <t>D137a_</t>
  </si>
  <si>
    <t>D141b_</t>
  </si>
  <si>
    <t>D142a_</t>
  </si>
  <si>
    <t>D145b_</t>
  </si>
  <si>
    <t>D150a_</t>
  </si>
  <si>
    <t>D154a_</t>
  </si>
  <si>
    <t>D160o_</t>
  </si>
  <si>
    <t>D161a_</t>
  </si>
  <si>
    <t>D163a_</t>
  </si>
  <si>
    <t>D164a_</t>
  </si>
  <si>
    <t>D167a_</t>
  </si>
  <si>
    <t>D168a_</t>
  </si>
  <si>
    <t>D172o_</t>
  </si>
  <si>
    <t>D174a_</t>
  </si>
  <si>
    <t>D174c_</t>
  </si>
  <si>
    <t>D185d_</t>
  </si>
  <si>
    <t>D186a_</t>
  </si>
  <si>
    <t>D187a_</t>
  </si>
  <si>
    <t>D188c_</t>
  </si>
  <si>
    <t>D191f_</t>
  </si>
  <si>
    <t>D199a_</t>
  </si>
  <si>
    <t>DKEN_</t>
  </si>
  <si>
    <t>DOŽ_</t>
  </si>
  <si>
    <t>DTREŽ_</t>
  </si>
  <si>
    <t>D120d_</t>
  </si>
  <si>
    <t>D120c_</t>
  </si>
  <si>
    <t>D188b_</t>
  </si>
  <si>
    <t>D120a_</t>
  </si>
  <si>
    <t>D191a_</t>
  </si>
  <si>
    <t>D153b_</t>
  </si>
  <si>
    <t>D120f_</t>
  </si>
  <si>
    <t>D173a_</t>
  </si>
  <si>
    <t>D112a_</t>
  </si>
  <si>
    <t>D169a_</t>
  </si>
  <si>
    <t>D130d_</t>
  </si>
  <si>
    <t>D185b_</t>
  </si>
  <si>
    <t>D129a_</t>
  </si>
  <si>
    <t>D190a_</t>
  </si>
  <si>
    <t>DBAV_</t>
  </si>
  <si>
    <t>D150b_</t>
  </si>
  <si>
    <t>DBAJ_</t>
  </si>
  <si>
    <t>D130a_</t>
  </si>
  <si>
    <t>D160f_</t>
  </si>
  <si>
    <t>D125a_</t>
  </si>
  <si>
    <t>DZAT_</t>
  </si>
  <si>
    <t>D170c_</t>
  </si>
  <si>
    <t>D180f_</t>
  </si>
  <si>
    <t>D130c_</t>
  </si>
  <si>
    <t>DZAO_</t>
  </si>
  <si>
    <t>D180a_</t>
  </si>
  <si>
    <t>D127c_</t>
  </si>
  <si>
    <t>D130e2</t>
  </si>
  <si>
    <t>D180g2</t>
  </si>
  <si>
    <t>D180h_</t>
  </si>
  <si>
    <t>D130b_</t>
  </si>
  <si>
    <t>DKEA_</t>
  </si>
  <si>
    <t>D120e_</t>
  </si>
  <si>
    <t>D110c_</t>
  </si>
  <si>
    <t>D188a_</t>
  </si>
  <si>
    <t>D110b_</t>
  </si>
  <si>
    <t>D131b_</t>
  </si>
  <si>
    <t>D133b2</t>
  </si>
  <si>
    <t>D120b_</t>
  </si>
  <si>
    <t>D190b2</t>
  </si>
  <si>
    <t>D120g_</t>
  </si>
  <si>
    <t>D127b_</t>
  </si>
  <si>
    <t>D180b2</t>
  </si>
  <si>
    <t>DBAZ2</t>
  </si>
  <si>
    <t>DBAS_</t>
  </si>
  <si>
    <t>D130a1</t>
  </si>
  <si>
    <t>D130c1</t>
  </si>
  <si>
    <t>DZAO__</t>
  </si>
  <si>
    <t>DBAV_1</t>
  </si>
  <si>
    <t>DBAZ_1</t>
  </si>
  <si>
    <t>D180f1</t>
  </si>
  <si>
    <t>D180i1</t>
  </si>
  <si>
    <t>D130d1</t>
  </si>
  <si>
    <t>D191b1</t>
  </si>
  <si>
    <t>DKEA_1</t>
  </si>
  <si>
    <t>D150c1</t>
  </si>
  <si>
    <t>D160a1</t>
  </si>
  <si>
    <t>DŠRT_1</t>
  </si>
  <si>
    <t>D160e1</t>
  </si>
  <si>
    <t>D116a1</t>
  </si>
  <si>
    <t>D133b_</t>
  </si>
  <si>
    <t>D160d_</t>
  </si>
  <si>
    <t>DBAJ__</t>
  </si>
  <si>
    <t>D125a1</t>
  </si>
  <si>
    <t>D130c2</t>
  </si>
  <si>
    <t>D180b_</t>
  </si>
  <si>
    <t>D180g_</t>
  </si>
  <si>
    <t>D130a2</t>
  </si>
  <si>
    <t>DBAV_2</t>
  </si>
  <si>
    <t>DBAZ_2</t>
  </si>
  <si>
    <t>D180f2</t>
  </si>
  <si>
    <t>D180i2</t>
  </si>
  <si>
    <t>DKEN__</t>
  </si>
  <si>
    <t>D191b2</t>
  </si>
  <si>
    <t>DKEA_2</t>
  </si>
  <si>
    <t>D150c2</t>
  </si>
  <si>
    <t>D160a2</t>
  </si>
  <si>
    <t>DŠRT_2</t>
  </si>
  <si>
    <t>D160e2</t>
  </si>
  <si>
    <t>D116a2</t>
  </si>
  <si>
    <t>DZAT__</t>
  </si>
  <si>
    <t>D125a2</t>
  </si>
  <si>
    <t>D126a1</t>
  </si>
  <si>
    <t>D129a1</t>
  </si>
  <si>
    <t>DBAS_1</t>
  </si>
  <si>
    <t>D128a1</t>
  </si>
  <si>
    <t>D173b1</t>
  </si>
  <si>
    <t>D128b1</t>
  </si>
  <si>
    <t>D152a1</t>
  </si>
  <si>
    <t>D143a1</t>
  </si>
  <si>
    <t>D123a1</t>
  </si>
  <si>
    <t>D151a1</t>
  </si>
  <si>
    <t>D174c1</t>
  </si>
  <si>
    <t>DTREŽ__</t>
  </si>
  <si>
    <t>D126a2</t>
  </si>
  <si>
    <t>D129a2</t>
  </si>
  <si>
    <t>DBAS_2</t>
  </si>
  <si>
    <t>D128a2</t>
  </si>
  <si>
    <t>D173b2</t>
  </si>
  <si>
    <t>D128b2</t>
  </si>
  <si>
    <t>D152a2</t>
  </si>
  <si>
    <t>DTEŽ__</t>
  </si>
  <si>
    <t>DOŽ__</t>
  </si>
  <si>
    <t>D143a2</t>
  </si>
  <si>
    <t>D123a2</t>
  </si>
  <si>
    <t>D151a2</t>
  </si>
  <si>
    <t>D174c2</t>
  </si>
  <si>
    <t>1a</t>
  </si>
  <si>
    <t>1b</t>
  </si>
  <si>
    <t>2a</t>
  </si>
  <si>
    <t>2b</t>
  </si>
  <si>
    <t>4a</t>
  </si>
  <si>
    <t>4b</t>
  </si>
  <si>
    <t>3b</t>
  </si>
  <si>
    <t>CEF</t>
  </si>
  <si>
    <t>Projektová príprava</t>
  </si>
  <si>
    <t>Kapitola priorizácie</t>
  </si>
  <si>
    <t>ŽST Nové Košariská, koľajové úpravy a zriadenia AH v úseku  Nové Košariská – Dunajská Streda</t>
  </si>
  <si>
    <t>n/a</t>
  </si>
  <si>
    <t>1b; 2a</t>
  </si>
  <si>
    <t>1b; 3a; 3b</t>
  </si>
  <si>
    <t>ŽST Kysak, obnova výhybiek č. 23,25ab,27,29,30ab,31,32,33,34</t>
  </si>
  <si>
    <t>1b; 3b</t>
  </si>
  <si>
    <t xml:space="preserve">ŽSR, ŽST Dvory nad Žitavou, rekonštrukcia výhybiek č.  1,2,3,4,5,6, 7,8  </t>
  </si>
  <si>
    <t>Celkové náklady projektu</t>
  </si>
  <si>
    <t>ŠR</t>
  </si>
  <si>
    <t>Fáza prípravy</t>
  </si>
  <si>
    <t>náklady</t>
  </si>
  <si>
    <t>D130e1;D130e2;D130e_;T130eE;M130e1</t>
  </si>
  <si>
    <t>D160f_;E160f1;M160f1</t>
  </si>
  <si>
    <t>D190a_;T190aE;T190aM</t>
  </si>
  <si>
    <t>1b;2b;3a;3b</t>
  </si>
  <si>
    <t>ŽST Nové Košariská rekonštrukcia koľají a výhybiek</t>
  </si>
  <si>
    <t>EIA</t>
  </si>
  <si>
    <t>Poznámky:</t>
  </si>
  <si>
    <t>Príprava malých projektov do 10 mil. €</t>
  </si>
  <si>
    <t>Realizácia malých projektov pod 3 mil. €</t>
  </si>
  <si>
    <t>Realizácia malých projektov nad 3 mil. € a pod 10 mil. €</t>
  </si>
  <si>
    <t>roky</t>
  </si>
  <si>
    <t>95% hodnoty</t>
  </si>
  <si>
    <t>Realizácia projektu</t>
  </si>
  <si>
    <t>5% hodnoty</t>
  </si>
  <si>
    <t>1a je podmnožina 1b</t>
  </si>
  <si>
    <t xml:space="preserve">Realizácia projektov od 10 mil. € do 100 mil. € </t>
  </si>
  <si>
    <t>Realizácia projektov nad 100 mil. €</t>
  </si>
  <si>
    <t>Prírpava projektu vo fáze VO</t>
  </si>
  <si>
    <t>Príprava projektu vo fáze DÚR/ÚR</t>
  </si>
  <si>
    <t>Príprava projektu vo fáze DSP/SP</t>
  </si>
  <si>
    <t>v 1b po 2030</t>
  </si>
  <si>
    <t>v 1b po 2035</t>
  </si>
  <si>
    <t>podľa 1b v realizácií</t>
  </si>
  <si>
    <t>podľa 1b 2023 2025, fáza SP</t>
  </si>
  <si>
    <r>
      <t xml:space="preserve">V2 nesčíta  varianty kde BCR </t>
    </r>
    <r>
      <rPr>
        <sz val="11"/>
        <color theme="1"/>
        <rFont val="Calibri"/>
        <family val="2"/>
        <charset val="238"/>
      </rPr>
      <t>&lt; 1</t>
    </r>
  </si>
  <si>
    <t>BCR pre V2 a V2e je vážený priemer, kde váhy sú investičné výdavky</t>
  </si>
  <si>
    <t>3b a 4b sú rozvojové projekty</t>
  </si>
  <si>
    <t>3a TENT ETCS obsahuje aj nákaldy na DOZZ, pre V2 a V2e počítané iba nákaldy na samotné ETCS (stĺpec H)</t>
  </si>
  <si>
    <t>Príprava projektu vo fáze "0" (rok 2021)</t>
  </si>
  <si>
    <t>Príprava vo fáze EIA, ŠR</t>
  </si>
  <si>
    <t>V1 obsahuje iba projekty 1a a 1b</t>
  </si>
  <si>
    <t>V3 obsahuje samostatné projekty 3b alebo 4b, v prípade existencie oboch projektov sa vyberie projekt s vyššou BCR</t>
  </si>
  <si>
    <t>V2 obsahuje 1b, 2a, 2b, 3a</t>
  </si>
  <si>
    <t>V2e = varianta V2 s možnosťou elektrifikácie (obsahuje aj 4a)</t>
  </si>
  <si>
    <t>V4 obsahuje kombináciu 2a a 2b ak je ich BCR&gt;=1</t>
  </si>
  <si>
    <t>V_best vyberie variantu s najvyššou BCR spomedzi V1-V4, spočíta pre ňu náklady a BCR, vyhľadá maximálny rok začiatku a ukončenia realizácie spomedzi projektov tvoriacich najlepšiu variantu</t>
  </si>
  <si>
    <t>V stĺpcoch 2021-2030 sú rovnomerne rozložené náklady na projektovú prípravu (5% do začiatku realizácie) a realizáciu projektu (95% od začiatku do ukončenia realizácie)</t>
  </si>
  <si>
    <t>ŽSR, Modernizácia železničnej trate Púchov - Žilina, pre traťovú rýchlosť do 160 km/hod. –  I. etapa (Púchov - Považská Teplá)</t>
  </si>
  <si>
    <t>ŽSR, Dostavba zriaďovacej stanice Žilina Teplička a nadväzujúcej železničnej infraštruktúry uzle Žilina, realizácia</t>
  </si>
  <si>
    <t>Modernizácia železničnej trate Žilina – Košice, úsek Liptovský Mikuláš – Poprad Tatry (mimo), 1.etapa (Poprad - Lučivná)</t>
  </si>
  <si>
    <t>Implementácia GSM-R do siete ŽSR, úsek  Varín - Košice - Čierna nad Tisou štátna hranica</t>
  </si>
  <si>
    <t>Modernizácia železničnej trate Žilina – Košice, úsek trate Poprad Tatry (mimo) – Krompachy, 1.etapa (Poprad – Spišská Nová Ves), projektová príprava</t>
  </si>
  <si>
    <t>Modernizácia železničnej trate Žilina – Košice, úsek  trate Liptovský Mikuláš – Poprad Tatry (mimo) 5. etapa, úsek Paludza - Liptovský Hrádok (projektová príprava)</t>
  </si>
  <si>
    <t>Rekonštrukcia ozubnice Štrba – Štrbské Pleso</t>
  </si>
  <si>
    <t>ŽSR, dostavba zriaďovacej stanice Žilina Teplička a nadväzujúcej železničnej infraštruktúry v uzle Žilina - projektová dokumentácia DSP, DRS a DVZ</t>
  </si>
  <si>
    <t>ŽST Košice – rekonštrukcia nástupíšť č. 1, 2, 3 a KRŽZ koľ. č. 11, 9, 8, 7, 6, 5, 3a, 1</t>
  </si>
  <si>
    <t>ŽST Kraľovany – ŽST Ľubochňa, rekonštrukcia koľají č. 1, 2</t>
  </si>
  <si>
    <t>Modernizácia žel. trate Žilina - Košice, úsek trate Krompachy (mimo) - Kysak, projektová príprava</t>
  </si>
  <si>
    <t>Modernizácia železničnej trate Devínska Nová Ves - štátna hranica SR/ČR, úsek Malacky - Kúty (PD)</t>
  </si>
  <si>
    <t xml:space="preserve">ŽST Maťovce, predĺženie koľaje a KR výhybiek s úpravou ŽZ, zab. zar. s TV </t>
  </si>
  <si>
    <t>Modernizácia žel. trate Žilina - Košice, úsek Kysak (mimo) - Košice, projektová príprava</t>
  </si>
  <si>
    <t>ŽSR, Elektrifikácia trate Bánovce nad Ondavou – Humenné, projektová dokumentácia pre stupeň DUR, DSP a DRS</t>
  </si>
  <si>
    <t>ŽSR, dopravný uzol Bratislava - štúdia realizovateľnosti</t>
  </si>
  <si>
    <t>Zastávka Martin, Fatra (projektová príprava)</t>
  </si>
  <si>
    <t>Zvýšenie zabezpečenia priecestí ,,TÚ Žilina – Rajec, PZZ v km 5,425"</t>
  </si>
  <si>
    <t>Zvýšenie zab. priecestí, trať.úsek Šurany – Veľké Bielice, priecestné zabezpečovacie zariadenie v km 39,619</t>
  </si>
  <si>
    <t>Zvýšenie zab.priecestí, trať.úsek Levice -Štúrovo, priecestné zabezpečovacie zariadenie v km 45,708</t>
  </si>
  <si>
    <t>Zvýšenie zabezpečenia priecestí, TU Devínska Nová Ves – Štúrovo št.hr., PZZ v km 84,850</t>
  </si>
  <si>
    <t>Dobrá Niva zast., priecestné zabezpečovacie zariadenie v km 13,342</t>
  </si>
  <si>
    <t>Podzámčok zast., priecestné zabezpečovacie zariadenie v km 10,088</t>
  </si>
  <si>
    <t>Zvýšenie zab. priecestí, trať.úsek Brezno Halny – Tisovec, priecestné zabezpečovacie zariadenie v km 17,372</t>
  </si>
  <si>
    <t>Zvýšenie zab. priecestí, trať.úsek ŽST Kapušany pri Prešove  – ŽST Bardejov, priecestné zabezpečovacie zariadenie v km 30,411</t>
  </si>
  <si>
    <t>Zmluva</t>
  </si>
  <si>
    <t>Príprava dokumentácie VO</t>
  </si>
  <si>
    <t>Stavebné povolenie</t>
  </si>
  <si>
    <t>Strategický/Investičný zámer</t>
  </si>
  <si>
    <t>Modernizácia železničného úseku Čadca - Svrčinovec - št. hranica ČR/SR (3. Etapa)</t>
  </si>
  <si>
    <t>Centralizácia riadenia systémov bezpečnosti objektov ŽSR a zabezpečenie štandardov železničných staníc - mimo TEN-T Core</t>
  </si>
  <si>
    <t>Nové Zámky (mimo) - Šurany - Nitra - Leopoldov (mimo)/Jelšovce (Dispečerizácia trate)</t>
  </si>
  <si>
    <t>ŽST Nové Zámky – ŽST Palárikovo, modernizácia koľaje č. 1 a č. 2</t>
  </si>
  <si>
    <t>ŽST Trnovec nad Váhom – ŽST Tvrdošovce, modernizácia koľaje č. 1 a č. 2</t>
  </si>
  <si>
    <t>Prešov – Strážske (Dispečerizácia trate)</t>
  </si>
  <si>
    <t>ŽST Fiľakovo – Výh. Holiša, modernizácia železničného zvršku a železničného spodku</t>
  </si>
  <si>
    <t>Bratislava - Nové Mesto – Bratislava ÚNS, KRŽZ koľ. č. 1, 2</t>
  </si>
  <si>
    <t xml:space="preserve">Komplexná rekonštrukcia výhybiek a SZZ Levice 
</t>
  </si>
  <si>
    <t>ÚNS – Petržalka (mimo DŽM), rekonštrukcia koľají č. 1, 2</t>
  </si>
  <si>
    <t>Terminál integrovanej osobnej prepravy Trebišov, realizácia</t>
  </si>
  <si>
    <t>Šaštín - Kúty, modernizácia železničného zvršku koľaje č. 1</t>
  </si>
  <si>
    <t>Veľký Horeš – Streda nad Bodrogom, rekonštrukcia  koľaje č. 1, 2</t>
  </si>
  <si>
    <t>Boleráz - Smolenice, modernizácia železničného zvršku, koľaje č. 1</t>
  </si>
  <si>
    <t xml:space="preserve">Ruskov TM, rekonštrukcia </t>
  </si>
  <si>
    <t>ŽST Barca, modernizácia výhybiek č. 1-20</t>
  </si>
  <si>
    <t>Komplexná rekonštrukcia ŽI vybraných úsekov trate  Trnava - Kúty, Šelpice – Boleráz</t>
  </si>
  <si>
    <t>Zriadenie kontrolných bodov (Check Points) v sieti ŽSR</t>
  </si>
  <si>
    <t>Implementácia komunikačných systémov novej generácie pre zvýšenie bezpečnosti na železničnej dopravnej ceste</t>
  </si>
  <si>
    <t xml:space="preserve">KR železničného mosta v km 7,892 trate Bratislava Nové Mesto-Dunajská Streda </t>
  </si>
  <si>
    <t>ŽST Dvory nad Žitavou, modernizácia výhybiek č. 14 - 20</t>
  </si>
  <si>
    <t>Nižná Myšľa - Ruskov, modernizácia koľaje č. 2</t>
  </si>
  <si>
    <t xml:space="preserve">Bratislava ÚNS-Petržalka, komplexná rekonštrukcia DŽM </t>
  </si>
  <si>
    <t>Pial - Beša, sanácia zemného telesa</t>
  </si>
  <si>
    <t>ŽST Vrútky rekonštrukcia VB, nástupíšť a informačného systému pre cestujúcich“ - I. ETAPA - rekonštrukcia VB a nový  informačný systém pre cestujúcich (HAVIS)</t>
  </si>
  <si>
    <t>Výhybňa Slivník, modernizácia výhybiek č. 1 - 10</t>
  </si>
  <si>
    <t>Margecany - Červená Skala, modernizácia železničného zvršku</t>
  </si>
  <si>
    <t>Elektrifikácia trate Devínska Nová Ves - št. hranica SR/A, realizácia</t>
  </si>
  <si>
    <t>Výstavba terminálov integrovanej osobnej prepravy v Bratislave - Bratislava – Ružinov, realizácia</t>
  </si>
  <si>
    <t>Modernizácia bratislavského tunela č. 2, ŽST Bratislava hl. stanica</t>
  </si>
  <si>
    <t>Výstavba terminálov integrovanej osobnej prepravy v Bratislave - Bratislava – Vrakuňa, realizácia</t>
  </si>
  <si>
    <t>Výstavba terminálov integrovanej osobnej prepravy v Bratislave - Lamačská brána, realizácia</t>
  </si>
  <si>
    <t>Ružomberok - Ľubochňa, sanácia skalného svahu nad železničnou traťou a telesom cesty III/2211</t>
  </si>
  <si>
    <t>Záchytné parkoviská pre IDS Bratislavského samosprávneho kraja v dopravných bodoch: Nové Košariská, realizácia</t>
  </si>
  <si>
    <t>Žst. Krompachy, sanácia podchodu v km 144,163 trate Košice - Žilina                </t>
  </si>
  <si>
    <t>ŽST Čierna nad Tisou - ochrana podzemných vôd, III. etapa</t>
  </si>
  <si>
    <t>ŽSR, rekonštrukcia výhybiek č. 1 a 2 v ŽST Veľké Uherce</t>
  </si>
  <si>
    <t>ŽST Bajč, rekonštrukcia koľaje č.3</t>
  </si>
  <si>
    <t>ŽSR, Terminály integrovanej osobnej prepravy v Bratislave, úsek Devínska Nová Ves – Bratislava hlavná stanica – Podunajské Biskupice, TIOP č. 2 PD (DSPRS)</t>
  </si>
  <si>
    <t>Zastávka Nové Košariská – záchytné parkovisko pre IAD, projektová dokumentácia (DÚR, DSPRS, DVZ)</t>
  </si>
  <si>
    <t>ŽSR, Terminály integrovanej osobnej prepravy v Bratislave, úsek Devínska Nová Ves – Bratislava hlavná stanica – Podunajské Biskupice, TIOP č. 7 PD (DSPRS)</t>
  </si>
  <si>
    <t>Príprava VO</t>
  </si>
  <si>
    <t>VO</t>
  </si>
  <si>
    <t>Štúdia uskutočniteľnosti</t>
  </si>
  <si>
    <t>Výdavky vynaložené do roku 2020 - podľa zdroja</t>
  </si>
  <si>
    <t>Do roku 2020</t>
  </si>
  <si>
    <t>ŠR (NN)</t>
  </si>
  <si>
    <t>ŠR (K)</t>
  </si>
  <si>
    <t>EU</t>
  </si>
  <si>
    <t>Sp. EU</t>
  </si>
  <si>
    <t>Sp. z VZ</t>
  </si>
  <si>
    <t>Sp. CEF</t>
  </si>
  <si>
    <t>Iné</t>
  </si>
  <si>
    <t>SPOLU</t>
  </si>
  <si>
    <t>RRF</t>
  </si>
  <si>
    <t>ŽSR, Terminály integrovanej osobnej prepravy v Bratislave, úsek Devínska Nová Ves – Bratislava hlavná stanica – Podunajské Biskupice, TIOP č.6 Bratislava – Ružinov 
časť TIOP Ružinov – zastávka</t>
  </si>
  <si>
    <t>ŽSR, Terminály integrovanej osobnej prepravy v Bratislave, úsek Devínska Nová Ves – Bratislava hlavná stanica – Podunajské Biskupice, TIOP č.6 Bratislava – Ružinov 
časť TIOP Ružinov – odbočka</t>
  </si>
  <si>
    <t>DZAO__; TZAO_E</t>
  </si>
  <si>
    <t>5 v 1b; 2 v 3a</t>
  </si>
  <si>
    <t>D180e_; T180eE; T180eM</t>
  </si>
  <si>
    <t>8 v 1b; 35 v 2b; 13 v 3a; 5 v 3b</t>
  </si>
  <si>
    <t>1 v 1a</t>
  </si>
  <si>
    <t>HDP reálny určený pre železničnú infraštruktúru vrátane EÚ zdrojov v EUR</t>
  </si>
  <si>
    <t>Cieľ investície v % vrátane EÚ zdrojov</t>
  </si>
  <si>
    <t xml:space="preserve">3 v 1a; </t>
  </si>
  <si>
    <t>10 v 1b; 13 v 2a; 14 v 3a; 9 v 3b</t>
  </si>
  <si>
    <t>D180f1; B180f_; T180fE; T180fM</t>
  </si>
  <si>
    <t>2 a 3 v 4a</t>
  </si>
  <si>
    <t>E191c1; E191d1</t>
  </si>
  <si>
    <t>191c; 191d</t>
  </si>
  <si>
    <t>110 a,180b, 180c</t>
  </si>
  <si>
    <t>55 v 1b; 12 v 2a; 17 v 2b; 20 v 3a; 16 v 3b</t>
  </si>
  <si>
    <t>D180c_; T180cE; T180cM</t>
  </si>
  <si>
    <t>11 v 1b</t>
  </si>
  <si>
    <t>D180h_ (Margecany - Kysak); T180hE; T180hM; T180g2M (Krompachy - Margecany)</t>
  </si>
  <si>
    <t>23 v 1b; 15 v 3b</t>
  </si>
  <si>
    <t>D127a_; T127aM</t>
  </si>
  <si>
    <t>DBAV_1; DBAV_2;  DBAZ_1; DBAZ_2; DBAJ__; DBAS_1; DBAS_2; TBAZ_E; TBAV_E; TBAJ_E; TBAS_E; TBAF_M</t>
  </si>
  <si>
    <t>6,9, 44, 72, 76, 102, 150 v 1b; 34 v 2b; 3, 8, 21, 34 v 3a; 19 v 3b</t>
  </si>
  <si>
    <t>BAV; BAZ; BAJ; BAS; BAF</t>
  </si>
  <si>
    <t xml:space="preserve">58 v 1b; 21 v 2a; 16 v 3a; 17 a 22 v 3b </t>
  </si>
  <si>
    <t>1 v 4b</t>
  </si>
  <si>
    <t>190b; 190c</t>
  </si>
  <si>
    <t>D190b_; D190c_</t>
  </si>
  <si>
    <t>2, 4, 11, 26 v 2b; 4 a 6 v 2a</t>
  </si>
  <si>
    <t>15 a 82 v 1b; 17 v 3a; 10 v 4b</t>
  </si>
  <si>
    <t>D130d1; T130dE; M130d1</t>
  </si>
  <si>
    <t>120g (časť)</t>
  </si>
  <si>
    <t>Vo výstavbe / Zmluva</t>
  </si>
  <si>
    <t>ZAO; ZAT</t>
  </si>
  <si>
    <t>3, 7, 13 v 1b; 4,5,10 v 3a; 8, 11 a 14 v 3b</t>
  </si>
  <si>
    <t>D110a_, D110b_, D110c_; T110aE, T110bE, T110cE; T110aM, T110bM, T110cM</t>
  </si>
  <si>
    <t>DRS / Vo výstavbe / Zmluva</t>
  </si>
  <si>
    <t>časť projektov DOZZ pre trate 180 a 190</t>
  </si>
  <si>
    <t>Časť projektu 180b; D180bH</t>
  </si>
  <si>
    <t>DRS / Vo výstavbe / Zmluva na PP</t>
  </si>
  <si>
    <t>D120g (časť)</t>
  </si>
  <si>
    <t>Malé projekty vo výstavbe</t>
  </si>
  <si>
    <t>Kategória 2a</t>
  </si>
  <si>
    <t>Suma malé projekty vo výstavbe</t>
  </si>
  <si>
    <t>1b; 3a</t>
  </si>
  <si>
    <t>4 v 1b; 29 v 2a</t>
  </si>
  <si>
    <t>11,8; 6,7</t>
  </si>
  <si>
    <t>11,3; 11,3</t>
  </si>
  <si>
    <t>2a; 4a</t>
  </si>
  <si>
    <t>1 v 4a; 20 v 2a</t>
  </si>
  <si>
    <t>1b;2a</t>
  </si>
  <si>
    <t>Výdavky 2024 - podľa zdroja</t>
  </si>
  <si>
    <t>Výdavky 2023 - podľa zdroja</t>
  </si>
  <si>
    <t>Výdavky 2022 - podľa zdroja</t>
  </si>
  <si>
    <t>Očakávaná skutočnosť v roku 2021 - podľa zdroja</t>
  </si>
  <si>
    <t>Výdavky 2025 - podľa zdroja</t>
  </si>
  <si>
    <t>Výdavky 2026 - podľa zdroja</t>
  </si>
  <si>
    <t>Výdavky 2027 - podľa zdroja</t>
  </si>
  <si>
    <t>Výdavky 2028 - podľa zdroja</t>
  </si>
  <si>
    <t>Výdavky 2030 - podľa zdroja</t>
  </si>
  <si>
    <t>Výdavky 2029 - podľa zdroja</t>
  </si>
  <si>
    <t>D180i1; T180iM</t>
  </si>
  <si>
    <t>11 v 1b; 1 v 3a; 2 v 3b</t>
  </si>
  <si>
    <t>5,7 (1b); 2,1 (3b)</t>
  </si>
  <si>
    <t>Suma projektov/stavieb vo výstavbe</t>
  </si>
  <si>
    <t>0,4% HDP</t>
  </si>
  <si>
    <t>12 v 1b; 9 v 2a; 5 v 4a</t>
  </si>
  <si>
    <t>5,2; 2,7; 1,5</t>
  </si>
  <si>
    <t>2 v 1b; 26 v 2a; 4 v 4a</t>
  </si>
  <si>
    <t>8,9; 3,3; 2,3</t>
  </si>
  <si>
    <t>D131b_, B131b;  E131b1</t>
  </si>
  <si>
    <t>D131a; B131a; E131a1</t>
  </si>
  <si>
    <t>D127b</t>
  </si>
  <si>
    <t>14 v 1b</t>
  </si>
  <si>
    <t>Suma pre projekty v príprave (prebiehajúce)</t>
  </si>
  <si>
    <t>D188b</t>
  </si>
  <si>
    <t>16 v 1b</t>
  </si>
  <si>
    <t>Rozdiel (Gap to spend)</t>
  </si>
  <si>
    <t>1b; 2b; 3a; 4b</t>
  </si>
  <si>
    <t>17 v 1b; 39 v 2b; 23 v 3a; 13 v 4b</t>
  </si>
  <si>
    <t>Čast projektu 180i</t>
  </si>
  <si>
    <t>18 v 1b</t>
  </si>
  <si>
    <t xml:space="preserve">1b; 2b; 3a </t>
  </si>
  <si>
    <t>4,3 v 3b</t>
  </si>
  <si>
    <t>1 v 3b</t>
  </si>
  <si>
    <t>Príprava VO na realizáciu</t>
  </si>
  <si>
    <t>SP vydané/Príprava VO na realizáciu</t>
  </si>
  <si>
    <t>DSPRS/Príprava VO na realizáciu</t>
  </si>
  <si>
    <t>Uzol BA</t>
  </si>
  <si>
    <t>Vo výstavbe</t>
  </si>
  <si>
    <t>6,2 pre 1b; 1,1 pre 3b</t>
  </si>
  <si>
    <t>3,7 pre 191c; 3,0 pre 191d</t>
  </si>
  <si>
    <t>DRS</t>
  </si>
  <si>
    <t>Bánovce nad Ondavou - Humenné, elektrifikácia trate</t>
  </si>
  <si>
    <t>9 v 4b</t>
  </si>
  <si>
    <t>DSZ/DRS</t>
  </si>
  <si>
    <t>časť projektu D130c</t>
  </si>
  <si>
    <t>časť projektu D130e</t>
  </si>
  <si>
    <t>štúdia/EIA</t>
  </si>
  <si>
    <t>DSP, príprava DRS/Príprava VO</t>
  </si>
  <si>
    <t>DSPRS/SP vydané/Príprava VO na realizáciu</t>
  </si>
  <si>
    <t>časť D116a1</t>
  </si>
  <si>
    <t>1,4 (pre TT-Kúty)</t>
  </si>
  <si>
    <t>časť DŠRT_1</t>
  </si>
  <si>
    <t>Hul – Úľany, sanácia zemného telesa v km 34,850 – 35,050</t>
  </si>
  <si>
    <t>časť projektu D150b</t>
  </si>
  <si>
    <t>časť projektu D135a</t>
  </si>
  <si>
    <t>Haniska pri Košiciach - Moldava nad Bodvou, elektrifikácia</t>
  </si>
  <si>
    <t>ŽST Krompachy, modernizácia výhybiek č. 23 - 30</t>
  </si>
  <si>
    <t>PD</t>
  </si>
  <si>
    <t>Zmluva / Vo výstavbe</t>
  </si>
  <si>
    <t>Rekonštrukcia protilavínových zábran v km 2,450-2,710 Kraľovany-Párnica</t>
  </si>
  <si>
    <t>Sanácia skalnej steny v km 3,150-3,750 Kraľovany-Párnica</t>
  </si>
  <si>
    <t>Barca, OV č.21 - 34</t>
  </si>
  <si>
    <t>ČNT, KR výhybiek č. 145š-147š, 150š-152š,154š-159š,161š, 162š - 14 výhybiek</t>
  </si>
  <si>
    <t>ŽST Rusovce, rekonštrukcia dopravnej cesty</t>
  </si>
  <si>
    <t>Rusovce – št. hranica MÁV, rekonštrukcia koľ. č. 1</t>
  </si>
  <si>
    <t>ŽST Šurany rekonštrukcia dopravnej cesty</t>
  </si>
  <si>
    <t>ŽST Čierna nad Tisou, rekonštrukcia vodovodu (pitný, úžitkový) a kanalizácie</t>
  </si>
  <si>
    <t>ŽST Lamač, rekonštrukcia výhybiek č. 9, 10, 11 až 14,</t>
  </si>
  <si>
    <t>Prebiehajúca projektová príprava</t>
  </si>
  <si>
    <t>Suma stavieb v realizácií (veľké projekty)</t>
  </si>
  <si>
    <t>Suma malé projekty vo výstavbe/realizácií</t>
  </si>
  <si>
    <t>Priorizácia</t>
  </si>
  <si>
    <t>EIA/DSPRS</t>
  </si>
  <si>
    <t>Plánované výdavky podľa harmonogramu</t>
  </si>
  <si>
    <t>Gap to spend</t>
  </si>
  <si>
    <t>Stavebné povolenie/ DRS</t>
  </si>
  <si>
    <t>DSPRS</t>
  </si>
  <si>
    <t>ŽST  Hronský Beňadik - z. Tekovská Breznica - ŽST Nová Baňa, rekonštrukcia dopravnej cesty</t>
  </si>
  <si>
    <t>6,6; 4,4; 2,4; 1,4</t>
  </si>
  <si>
    <t>Strategický/Investičný zámer/Štúdia</t>
  </si>
  <si>
    <t>Prebieha IČ</t>
  </si>
  <si>
    <t>33 a 66 v 2b</t>
  </si>
  <si>
    <t>D193a_; D193b_</t>
  </si>
  <si>
    <t>193a; 193b</t>
  </si>
  <si>
    <t>3 a 17 v 2b</t>
  </si>
  <si>
    <t>4,5 pre 193a a 1,8 pre 193b</t>
  </si>
  <si>
    <t>1 v 1b; 29 v 2a</t>
  </si>
  <si>
    <t>26 v 1b</t>
  </si>
  <si>
    <t>časť DKEA, uzol KE</t>
  </si>
  <si>
    <t>VRT</t>
  </si>
  <si>
    <t xml:space="preserve"> DRS</t>
  </si>
  <si>
    <t>VO na štúdiu uskutočniteľnosti</t>
  </si>
  <si>
    <t>Suma</t>
  </si>
  <si>
    <t>Spracovanie národnej štúdie uskutočniteľnosti - Projekt vysokorýchlostnej trate prepojenia krajín V4</t>
  </si>
  <si>
    <t>Zmluva na žltý Fidic/DRS</t>
  </si>
  <si>
    <t>Kategória 2a, trať 195a</t>
  </si>
  <si>
    <t>Uzol KE</t>
  </si>
  <si>
    <t>1b, 2a</t>
  </si>
  <si>
    <t>3 (KEA)</t>
  </si>
  <si>
    <t>3,0 pre 135a</t>
  </si>
  <si>
    <t>8,9 pre 131a</t>
  </si>
  <si>
    <t>časť 150a</t>
  </si>
  <si>
    <t>5,8 pre 150a</t>
  </si>
  <si>
    <t>časť 130e</t>
  </si>
  <si>
    <t>4,0 pre 130e</t>
  </si>
  <si>
    <t>časť 132a</t>
  </si>
  <si>
    <t>časť 180g</t>
  </si>
  <si>
    <t>3,0 pre 132a</t>
  </si>
  <si>
    <t>3,0 pre KEA</t>
  </si>
  <si>
    <t>Uzol BA (Západ)</t>
  </si>
  <si>
    <t>6,5 pre BAZ fáza 1</t>
  </si>
  <si>
    <t>8,2 pre BAV fáza 1</t>
  </si>
  <si>
    <t>Uzol BA (Východ)</t>
  </si>
  <si>
    <t>Uzol Bačasť 131a</t>
  </si>
  <si>
    <t>časť 131a</t>
  </si>
  <si>
    <t>1b: 8,9 pre 131a; 2a: 3,3</t>
  </si>
  <si>
    <t>časť 125a</t>
  </si>
  <si>
    <t>časť 190a</t>
  </si>
  <si>
    <t>3,7 pre 190a</t>
  </si>
  <si>
    <t>Uzol BA (Juh)</t>
  </si>
  <si>
    <t>1,2 pre BAJ</t>
  </si>
  <si>
    <t xml:space="preserve"> 8,9 pre 131a</t>
  </si>
  <si>
    <t>6,9 pre 180b</t>
  </si>
  <si>
    <t>časť 180b</t>
  </si>
  <si>
    <t>5,7 pre 180i a 3,7 pre 180h</t>
  </si>
  <si>
    <t>6,2 pre 180g</t>
  </si>
  <si>
    <t>Návrh nových štúdií</t>
  </si>
  <si>
    <t>Suma pre prebiehajúcu projektovú prípravu a štúdie</t>
  </si>
  <si>
    <t>Uzol Bratislava - aktualizácia</t>
  </si>
  <si>
    <t>Suma pre projekty v príprave (prebiehajúce) a štúdie</t>
  </si>
  <si>
    <t>Štúdie spolu</t>
  </si>
  <si>
    <t>Štúdia uskutočniteľnosti Bratislava - Štúrovo (149 km)</t>
  </si>
  <si>
    <t>Štúdia uskutočniteľnosti Žilina - Košice (239 km)</t>
  </si>
  <si>
    <t>Štúdia uskutočniteľnosti Strážske - Prešov (60 km)</t>
  </si>
  <si>
    <t>Štúdia uskutočniteľnosti Kysak - Plaveč, PL hr. (76km)</t>
  </si>
  <si>
    <t>Štúdia uskutočniteľnosti Košice - Čierna nad Tysou (99 km)</t>
  </si>
  <si>
    <t>110a; 110b; 110c</t>
  </si>
  <si>
    <t>110a; 110b; 111c</t>
  </si>
  <si>
    <t>Rezerva na havarijné stavy</t>
  </si>
  <si>
    <t>180h; 180i</t>
  </si>
  <si>
    <t>časť 180h a 180i</t>
  </si>
  <si>
    <t>173a; 173b</t>
  </si>
  <si>
    <t>časť 173a a 173b</t>
  </si>
  <si>
    <t>4,6; 7,8; 8,6</t>
  </si>
  <si>
    <t>55 v 1b</t>
  </si>
  <si>
    <t>6 v 1b</t>
  </si>
  <si>
    <t>9 v 1b</t>
  </si>
  <si>
    <t>Uzol Bratislava (východ) fáza 1</t>
  </si>
  <si>
    <t>Uzol Bratislava (západ) fáza 1</t>
  </si>
  <si>
    <t>štúdia uskutočniteľnosti</t>
  </si>
  <si>
    <t>49 v 1b</t>
  </si>
  <si>
    <t>50 v 1b</t>
  </si>
  <si>
    <t>53 v 1b</t>
  </si>
  <si>
    <t>54 v 1b</t>
  </si>
  <si>
    <t>56 v 1b</t>
  </si>
  <si>
    <t>52 v 1b</t>
  </si>
  <si>
    <t>HDP reálny v mld. EUR</t>
  </si>
  <si>
    <t>Zdroj:</t>
  </si>
  <si>
    <t>https://www.mfsr.sk/sk/financie/institut-financnej-politiky/ekonomicke-prognozy/makroekonomicke-prognozy/57-zasadnutie-vyboru-makroekonomicke-prognozy-september-2021.html</t>
  </si>
  <si>
    <t xml:space="preserve">https://ec.europa.eu/info/publications/2021-ageing-report-economic-and-budgetary-projections-eu-member-states-2019-2070_en </t>
  </si>
  <si>
    <t>Zdroje EÚ</t>
  </si>
  <si>
    <t>2a; 2b</t>
  </si>
  <si>
    <t>4b, 2a; 2b na 140d</t>
  </si>
  <si>
    <t>1,2 v2b</t>
  </si>
  <si>
    <t>BA</t>
  </si>
  <si>
    <t>Štúdia uskutočniteľnosti Nové Zámky/Palárikovo - Zvolen (74 km)</t>
  </si>
  <si>
    <t>Modernizácia dvoch úsekov železničnej trate štátna hranica ČR/SR - Devínska Nová Ves (realizácia) + DOZZ, GSMR, ETCS</t>
  </si>
  <si>
    <t>Modernizácia železničnej trate Devínska Nová Ves - štátna hranica SR/ČR, úsek Malacky - Kúty (realizácia) + DOZZ, ETCS</t>
  </si>
  <si>
    <t>Poprad - Spišská Nová Ves, modernizácia trate, realizácia I. etapa + DOZZ, ETCS</t>
  </si>
  <si>
    <t>Košice - Kysak + DOZZ,  ETCS</t>
  </si>
  <si>
    <t>Bratislava - Pezinok - Trnava</t>
  </si>
  <si>
    <t>B120a_; B120b_</t>
  </si>
  <si>
    <t>5 a 10  v 2a</t>
  </si>
  <si>
    <t>5,1 a 2,1</t>
  </si>
  <si>
    <t>8 v 2b</t>
  </si>
  <si>
    <t>12 v 2b</t>
  </si>
  <si>
    <t>Horná Štubňa - Dolná Štubňa - Vrútky</t>
  </si>
  <si>
    <t>2,0 a 0,9</t>
  </si>
  <si>
    <t>15 a 41 v 2b</t>
  </si>
  <si>
    <t>D171b_; D170a_</t>
  </si>
  <si>
    <t>171b; 170a</t>
  </si>
  <si>
    <t>Projekty vo vysokom stupni prípravy</t>
  </si>
  <si>
    <t>Suma projektov/stavieb vo vysokom stupni prípravy</t>
  </si>
  <si>
    <t>Nové projekty podľa priorizácie (typ projektu,best BCR, stupeň prípravy, rok realizácie)</t>
  </si>
  <si>
    <t>Cielené a finančne návratné projekty: Projekty DOZZ. Náhradné projekty do realizácie.</t>
  </si>
  <si>
    <t>Michaľany (Slivník) - Čierna nad Tisou (mimo) + Kuzmice (Dispečerizácia trate)</t>
  </si>
  <si>
    <t>Suma cielené a finančne návratné projekty</t>
  </si>
  <si>
    <t>Suma nových  projektov podľa priorizácie</t>
  </si>
  <si>
    <t>3,0,pre 132a</t>
  </si>
  <si>
    <t>Suma projektov/stavieb vo vysokom stupni prípravy, projektová príprava a štúdie</t>
  </si>
  <si>
    <t>Iné zdroje</t>
  </si>
  <si>
    <t>Suma nových projektov podľa priorizácie, cielené a fin. návratné projekty, rezerva</t>
  </si>
  <si>
    <t>Štátny rozpočet</t>
  </si>
  <si>
    <t>Lúky pod Makytou-št.hr. ČR, KR TV</t>
  </si>
  <si>
    <t>Znamená realizácia/výstavba projektu</t>
  </si>
  <si>
    <t>Znamená projektová príprava projektu</t>
  </si>
  <si>
    <t>p</t>
  </si>
  <si>
    <t>Galanta - Palárikovo fáza 1</t>
  </si>
  <si>
    <t>Charakteristika projektu</t>
  </si>
  <si>
    <t>Prínosy projektu</t>
  </si>
  <si>
    <t>Význam trate</t>
  </si>
  <si>
    <t>Číslo IA</t>
  </si>
  <si>
    <t>A16006</t>
  </si>
  <si>
    <t>A16073</t>
  </si>
  <si>
    <t>A04001</t>
  </si>
  <si>
    <t>A12084</t>
  </si>
  <si>
    <t>A19157</t>
  </si>
  <si>
    <t>A06048</t>
  </si>
  <si>
    <t>A19000</t>
  </si>
  <si>
    <t>A14200</t>
  </si>
  <si>
    <t>A14256</t>
  </si>
  <si>
    <t>A13043</t>
  </si>
  <si>
    <t>A12027</t>
  </si>
  <si>
    <t>A07304</t>
  </si>
  <si>
    <t>A14007</t>
  </si>
  <si>
    <t>A14010</t>
  </si>
  <si>
    <t>A16097</t>
  </si>
  <si>
    <t>A14003</t>
  </si>
  <si>
    <t>A14032</t>
  </si>
  <si>
    <t>A16200</t>
  </si>
  <si>
    <t>A16021</t>
  </si>
  <si>
    <t>A16198</t>
  </si>
  <si>
    <t>A16025</t>
  </si>
  <si>
    <t>A17088</t>
  </si>
  <si>
    <t>A16024</t>
  </si>
  <si>
    <t>A14198</t>
  </si>
  <si>
    <t>A17096</t>
  </si>
  <si>
    <t>A16199</t>
  </si>
  <si>
    <t>A16052</t>
  </si>
  <si>
    <t>A16102</t>
  </si>
  <si>
    <t>A11108</t>
  </si>
  <si>
    <t>A16204</t>
  </si>
  <si>
    <t>A14012</t>
  </si>
  <si>
    <t>A16093</t>
  </si>
  <si>
    <t>A16101</t>
  </si>
  <si>
    <t>A16106</t>
  </si>
  <si>
    <t>A16107</t>
  </si>
  <si>
    <t>A17089</t>
  </si>
  <si>
    <t>A19253</t>
  </si>
  <si>
    <t>A14027</t>
  </si>
  <si>
    <t>A12018</t>
  </si>
  <si>
    <t>A17095</t>
  </si>
  <si>
    <t>A18078</t>
  </si>
  <si>
    <t>A14028</t>
  </si>
  <si>
    <t>A19159</t>
  </si>
  <si>
    <t>A19158</t>
  </si>
  <si>
    <t>A06099</t>
  </si>
  <si>
    <t>A13225</t>
  </si>
  <si>
    <t>A13188</t>
  </si>
  <si>
    <t>A18120</t>
  </si>
  <si>
    <t>A18115</t>
  </si>
  <si>
    <t>A18110</t>
  </si>
  <si>
    <t>A18116</t>
  </si>
  <si>
    <t>A18201</t>
  </si>
  <si>
    <t>A18203</t>
  </si>
  <si>
    <t>A18109</t>
  </si>
  <si>
    <t>A18093</t>
  </si>
  <si>
    <t>A14013</t>
  </si>
  <si>
    <t>A16049</t>
  </si>
  <si>
    <t>A16072</t>
  </si>
  <si>
    <t>A19029</t>
  </si>
  <si>
    <t>A19030</t>
  </si>
  <si>
    <t>A06100</t>
  </si>
  <si>
    <t>A06101</t>
  </si>
  <si>
    <t>A14178</t>
  </si>
  <si>
    <t>A14202</t>
  </si>
  <si>
    <t>A14203</t>
  </si>
  <si>
    <t>A13042</t>
  </si>
  <si>
    <t>A18064</t>
  </si>
  <si>
    <t>A14226</t>
  </si>
  <si>
    <t>A17085</t>
  </si>
  <si>
    <t>A16017</t>
  </si>
  <si>
    <t>V potrebnom rozsahu sa zrekonštruuje železničný zvršok, železničný spodok, zároveň sa odvodní železničná trať. Rekonštrukciou prejdú aj nástupištia v staniciach Štrba OŽ, Štrbské Pleso OŽ a v zastávke Tatranský Lieskovec. Obnovené bude aj osvetlenie nástupíšť, podlaha v hale stanice Štrba, priechody pre chodcov či oporné múry.</t>
  </si>
  <si>
    <t>Prínosmi projektu sú:
- zvýšenie bezpečnosti a plynulosti dopravy,
- zníženie prevádzkových nákladov na údržbu a opravu ŽI,
- zvýšenie komfortu cestujúcej verejnosti.</t>
  </si>
  <si>
    <t>Predmetom stavby je komplexná rekonštrukcia železničného zvršku, železničného spodku v potrebnom rozsahu, úpravy trakčného vedenia a zabezpečovacieho zariadenia, rekonštrukcia nástupíšť na železničnej zastávke Stankovany, vybudovanie prístreškov a osvetlenia na danej zástavke.</t>
  </si>
  <si>
    <t>Predmetnou rekonštrukciou sa dosiahne:
- vyšší kvalitatívny štandard osobnej i nákladnej dopravy, 
- zaistenie bezpečnosti železničnej dopravy,
- zníženie rozsahu údržby železničného zvršku.</t>
  </si>
  <si>
    <t>Jedná sa o modernizáciu železničnej trate na rýchlosť do 160 km/h. V rámci stavby sú realizované dva tunely, tunel Diel o dĺžke 1082m a tunel Milochov o dĺžke 1861m, buduje sa 14 ks nových železničných mostov (vrátane rekonštruovaných), 6ks nových cestných mostov a nadjazdov, 4ks podchodov (pre cestujúcich, verejné). Dĺžka trasy železničnej trate bude skrátená z 18,742 km pred modernizáciou, na 15,921 km po modernizácii. Významným krokom je aj príprava na zmenu trakčnej napájacej sústavy z 3 kV na 25 kV (po výstavbe TNS Žilina).            </t>
  </si>
  <si>
    <t>Železničný uzol Žilina je križovatkou dvoch vetiev medzinárodných železničných koridorov, kde v rámci následnej realizácie projektu dôjde k rekonštrukcii koľají a výhybiek, železničných mostov, nástupíšť, trakčného vedenia so zmenou napájania z jednosmerného na striedavý prúd, železničného oznamovacieho a zabezpečovacieho zariadenia, vybudovanie centra pre riadenie vlakov, odstráneniu úrovňových priecestí a prechodov a ich náhrada mimoúrovňovými.</t>
  </si>
  <si>
    <t>Hlavnými cieľmi projektu sú:
- zvýšenie traťovej rýchlosti do 160 km/h (v obvode ŽST Žilina do 120 km/h),
- zvýšenie bezpečnosti a plynulosti prevádzky,
- zvýšenie bezpečnosti cestujúcich,
- zvýšenie kultúry, komfortu a plynulosti cestovania,
- zníženie negatívnych dopadov železničnej prevádzky na obyvateľstvo,
- zlepšenie a skvalitnenie životného prostredia,
- zníženie nákladov na údržbu železničnej infraštruktúry.</t>
  </si>
  <si>
    <t>Oba úseky sú integrálnou súčasťou vopred určeného cezhraničného úseku Bratislava - Břeclav. Akcia je súčasťou Medzinárodného projektu spájajúceho slovensko-českú hranicu cez Bratislavu so slovensko-maďarskou hranicou. Ciele projektu sú odstránenie prekážok v dvoch vybraných úsekoch železničnej trate, zabezpečenie optimálnej úrovne integrácie a interoperability v súlade s Nariadením (EÚ) č. 1299/2014 a Smernicou o interoperabilite 2008/57/ES, skrátenie cestovného času, modernizácia železničných staníc a zastávok, zvýšenie kvality infraštruktúry z hľadiska bezpečnosti, spoľahlivosti a účinnosti, podpora rozdelenia používania jednotlivých druhov dopravy podporovaním využívania železničnej dopravy, zvyšovanie bezpečnosti na železničných tratiach odstraňovaním úrovňových križovatiek križovaní žel. trate s pozemnými komunikáciami a ich nahrádzaním mimoúrovňovými križovaním (nadjazdy, podjazdy, podchody), znižovanie hlukového a atmosférického znečistenia.</t>
  </si>
  <si>
    <t>Ciele projektu sú nasledovné:
- Odstránenie prekážok v dvoch vybraných úsekoch železničnej trate;
- Zabezpečenie optimálnej úrovne integrácie a interoperability v súlade s Nariadením (EÚ) č. 1299/2014 a Smernicou o interoperabilite 2008/57/ES;
- Skrátenie cestovného času;
- Modernizácia železničných staníc a zastávok;
- Zvýšenie kvality infraštruktúry z hľadiska bezpečnosti, spoľahlivosti a účinnosti;
- Podpora rozdelenia používania jednotlivých druhov dopravy podporovaním využívania železničnej dopravy;
- Zvyšovanie bezpečnosti na železničných tratiach odstraňovaním úrovňových križovatiek križovaní žel. trate s pozemnými komunikáciami a ich nahrádzaním mimoúrovňovými križovatkami; križovaním (nadjazdy, podjazdy, podchody)
- Znižovanie hlukového a atmosférického znečistenia.</t>
  </si>
  <si>
    <t>Projekt rieši modernizáciu železničnej trate v úseku Poprad - Štrba (Lučivná) v celkovej dĺžke v súčasnom stave 12,868 km. Modernizáciou trate sa dosiahne nová úroveň technickej vybavenosti a použiteľnosti zabudovaním najmodernejších a najprogresívnejších prvkov a tým skvalitnenie a zlepšenie jej technických parametrov ako celku. Predmetom stavby je najmä modernizácia železničného zvršku a spodku, modernizácia trakčného vedenia, modernizácia zabezpečovacieho zariadenia.</t>
  </si>
  <si>
    <t>Hlavnými cieľmi projektu sú:
- zvýšenie traťovej rýchlosti do 160 km/h (pre vlaky s výkvnými srkiňami do 200 km/h),
- zvýšenie bezpečnosti a plynulosti prevádzky,
- zvýšenie bezpečnosti cestujúcich,
- zvýšenie kultúry, komfortu a plynulosti cestovania,
- zníženie negatívnych dopadov železničnej prevádzky na obyvateľstvo,
- zlepšenie a skvalitnenie životného prostredia,
- zníženie nákladov na údržbu železničnej infraštruktúry.</t>
  </si>
  <si>
    <t>Projekt rieši nasadenie GSM-R na železničnej trati Varín - Košice - Čierna nad Tisou dlhej 329,374 km. Zahŕňa 4 aktivity - prípravné úlohy, dohľad nad stavebnými prácami, stavebné práce a projektový manažment. GSM-R sa bude používať na hlasovú a dátovú komunikáciu a umožní budúce fungovanie úseku s úrovňou ETCS 2 a vyššou.</t>
  </si>
  <si>
    <t>Hlavným účelom stavby je modernizovať technickú infraštruktúru železničných tratí ŽSR na štandardy definované v medzinárodných dohodách, skvalitnenie dopravnej infraštruktúry, dosiahnutie interoperability vybraných tratí ŽSR a ich začlenenie do medzinárodných trás a tiež zvýšenie bezpečnosti prevádzky a cestujúcich.</t>
  </si>
  <si>
    <t>Predmetom sú stavebné práce spočívajúce v predĺžení všetkých koľají nepárnej skupiny a v úprave malej osovej vzdialenosti koľají č. 1š – 2š, pričom zmena konfigurácie zhlavia si vyžiada nové usporiadanie výhybiek, úpravy súčasného zabezpečovacieho zariadenia a úpravu trakčného vedenia.</t>
  </si>
  <si>
    <t>Realizácia stavby výrazne prispeje k zvýšeniu bezpečnosti a plynulosti na železničnej dopravnej ceste, obmedzí neefektívne vynakladanie finančných prostriedkov na udržiavacie práce a odstráni jestvujúce obmedzenie železničnej prevádzky. Rekonštrukciou zhlavia a jeho odsunom smerom na Hanisku p/K ŠRT sa dosiahnu predpísané dĺžky koľají vzhľadom na dĺžky vlakov a bezproblémový prísun a odsun súprav z a do ŽST Maťovce ŠRT.</t>
  </si>
  <si>
    <t>V rámci rekonštrukcie sa bude riešiť úpravu nástupíšť č. 2 a 3 vrátane smerovej a výškovej úpravy koľají č. 5, 3a, 1, 8 priľahlých k nástupným hranám nástupíšť, komplexná rekonštrukcia železničného zvršku koľ. 1b, úpravy trakčného vedenia pre koľaj č. 1b z dôvodu zriadenia nástupišťa aj pri tejto koľaji, odstránenie 1 ks rozhlasového stožiara umiestneného v priechode pre peších, brániaceho vo voľnom prístupe k nástupištiam a 1 ks osvetľovacieho stožiara z rovnakého dôvodu, úpravy priechodov pre cestujúcich pre prístup k úrovňovým nástupištiam, rekonštrukcia zastrešenia nástupíšť tzv. lastovičiek, výstupov z podchodov, zastrešenia výstupu z batožinového tunela, rekonštrukcia (zriadenie) výťahu, úprava staničného zabezpečovacieho zariadenia ŽST Košice osobná stanica pre doplnenie vybavenia obvodu St.3.</t>
  </si>
  <si>
    <t>Predmetný projekt zahŕňa elektrifikáciu traťového úseku Haniska pri Košiciach - Moldava nad Bodvou mesto, v rámci ktorého sa vybudujú zariadenia nevyhnutné pre jazdu elektrických vlakov (trakčné vedenie, transformačné stanice...), čiastočne sa zmodernizuje železničný vršok a spodok a zvýši sa rýchlosť vo vybraných oblúkoch, vymenia sa staničné a traťové zabezpečovacie zariadenia (okrem stanice Haniska) s inštaláciou ich diaľkového zariadenia a kompletne sa vymenia nástupištia.</t>
  </si>
  <si>
    <t>Realizáciou projektu budú dosahované požadované hodnoty merateľných ukazovateľov:
- Celková dĺžka rekonštruovaných alebo zrenovovaných železničných tratí,
- Celková dĺžka rekonštruovaných alebo zrenovovaných železničných tratí v sieti TEN-T,
-Úspora času v železničnej doprave,
-Úspora produkcie emisií NO2 (vplyvom elektrifikácie tratí),
- Úspora produkcie emisií PM10 (vplyvom elektrifikácie tratí).</t>
  </si>
  <si>
    <t>Realizáciou prác sa zabezpečí dlhodobá stabilita telesa dráhy a jej súčastí vrátane odstránenia porúch
v GPK. Po ukončení prác je možné odstrániť TOTR, čo bude mať priaznivý vplyv na jazdu vlakov v medzistaničnom úseku. V rámci stavby sa zrealizuje úprava železničného zvršku, sanácia zemného telesa od km 16,740 po km 19,400, úprava trakčného vedenia a ochrana káblov zab. zar a oznam. zar..</t>
  </si>
  <si>
    <t>Účelom realizácie stavby je nahradenie existujúceho fyzicky a morálne opotrebovaného trakčného vedenia (TV) v medzistaničnom úseku Púchov – Lúky pod Makytou a v konečnom dôsledku zmena trakčnej sústavy so začiatkom prevádzkovania jednofázovej trakčnej sústavy 25 kV, 50 Hz na ramene Púchov – Lúky pod Makytou – št. hr. SR/ČR. Zmena trakčnej sústavy vyvoláva úpravu zabezpečovacích a oznamovacích zariadení, demontáž nepotrebnej technológie existujúcej TM Púchov, pripojenie TNS Púchov na trakčné vedenie.</t>
  </si>
  <si>
    <t>Variant vyvoláva kompletnú výmenu prebudovanie koľajiska a súvisiacich objektov a súborov. Variant obsahuje zmenu trasovania voči súčasnosti v úseku zastávky Svrčinovec. Dotknuté sú najmä mostné objekty, cesty, nadchod pre cestujúcich, TV, zab. zar. a objekty pozemných stavieb. Smerové a výškové vedenie trasy modernizovaného úseku je navrhované  pre traťovú rýchlosť V = 120km/h. Zabezpečovacie zariadenie a trakčné vedenie je v tejto stavbe navrhnuté na rýchlosť 160km/h. Križovania sú riešené mimoúrovňovo resp. zrušené bez náhrady ale tak, aby bola zabezpečená dostupnosť a obslužnosť územia.</t>
  </si>
  <si>
    <t>V rámci realizácie celého projektu (všetky 3 etapy projektu Krásno nad Kysucou - Čadca št. hr.) sa podľa akutalizovanej štúdie ukustočniteľnosti 11/21 uvažuje s nasledujúcimi prinosmi pre Variant C "kombinovaný" (optimalizácia trate) stavby: 
- prevádzkové náklady = 47 900 905 €;
- čas cestujúcich = 7 919 984 €;
- čas tovaru = 100 221 561 €;
- prevádzkové náklady vozidiel = 7 054 153 €;
- bezpečnosť = 545 972 €,
- znečistujúce látky = 517 828 €;
- skleníkové plyny = 1 340 833 €;
- hluk = 336 372 €.</t>
  </si>
  <si>
    <t>Projekt má za cieľ realizovať modernizáciu koľaje č. 1 a koľaje č. 2 v ŽST Palárikovo – ŽST Nové Zámky, s cieľom zvýšenia traťovej rýchlosti, dosiahnutia normového stavu a zlepšenia bezpečnosti a plynulosti železničnej dopravy, zníženia nákladov na údržbu železničného zvršku a spodku a dosiahnutia vyššieho kvalitatívneho štandardu osobnej dopravy.</t>
  </si>
  <si>
    <t xml:space="preserve">Realizáciou stavby príde k nasledovným prínosom:
- dosiahnutie normového stavu;
- zníženie prevádzkových nákladov na údržbu;
- zvýšenie traťovej rýchlosti na 140 km/h;
- zvýšenie bezpečnosti;
- zvýšenie komfortu cestujúcich realizáciou nástupíšť 550 mm nad STKP v zastávke Ľudovítov.
</t>
  </si>
  <si>
    <t>Hlavnými cieľmi projektu sú:
- odstránenie obmedzení rýchlosti
- zvýšenie bezpečnosti a plynulosti prevádzky,
- zvýšenie bezpečnosti cestujúcich,
- zvýšenie kultúry, komfortu a plynulosti cestovania,
- zníženie negatívnych dopadov železničnej prevádzky na obyvateľstvo,
- zlepšenie a skvalitnenie životného prostredia,
- zníženie nákladov na údržbu železničnej infraštruktúry.</t>
  </si>
  <si>
    <t>Dvojkoľajná, elektrifikovaná, železničná trať Devínska Nová Ves - Štúrovo v úseku ŽST Bratislava hl.st., je vedená v Bratislavskom tuneli č. 2. Vzhľadom na rozrušené horninové nadložie tunela a tiež postupné dožívanie izolačných materiálov použitých pri výstavbe, sa nepriaznivý vplyv poveternostných podmienok okamžite prejaví v značnom zavodnení obmurovky ostenia tunela. Silné zavodnenie spôsobuje ďalšie poruchy, ktoré vplývajú na tunelové ostenie a jeho stabilitu.</t>
  </si>
  <si>
    <t>Realizáciou navrhnutých sanačných opatrení sa má dosiahnuť:
- praktická suchosť pre elektrifikovaný tunel, 
- predĺženie životnosti tunela,
- zníženie prevádzkových nákladov na údržbu,
- zaistenie bezpečnosti železničnej dopravy v tuneli.</t>
  </si>
  <si>
    <t xml:space="preserve">K hlavným cieľom patrí:
- zníženie nákladov na údržbu;
- zvýšenie traťovej rýchlosti na 140 km/h;
- modernizácia trate – výmena zastaraného typu konštrukcie železničného zvršku a spodku;
- zvýšenie bezpečnosti prevádzky;
- zvýšenie bezpečnosti cestujúcich;
- zvýšenie kultúry, komfortu a plynulosti cestovania;
- zníženie negatívnych dopadov železničnej prevádzky na obyvateľstvo;
- zlepšenie a skvalitnenie životného prostredia.
</t>
  </si>
  <si>
    <t>Stavba rieši rekonštrukciu jestvujúcej jednokoľajnej neelktrifikovanej železničnej trate. Úsek trate určený na rekonštrukciu má dĺžku 8 427m. Vzhľadom na vysoký stupeň degradácie konštrukčného a geometrického usporiadania koľaje v uvedenom úseku trate bolo nevyhnutné pristúpiť k rekonštrukcii a obnove súčastí železničného zvršku a v niektorých úsekoch trate aj k zrealizovaniu absentujúcej konštruk-cii železničného spodku formou podkladových vrstiev a odvodňovacích zariadení.</t>
  </si>
  <si>
    <t>Hlavným cieľom projektu je rekonštrukcia technickej infraštruktúry železničnej trate pre do-siahnutie kritérií:
- zvýšenie traťovej rýchlosti na 120 km/h,
- zvýšenie priestorovej priechodnosti,
- zvýšenie únosnosti železničného spodku,
- zvýšenie bezpečnosti prevádzky,
- zvýšenie bezpečnosti cestujúcich,
- zvýšenie kultúry, komfortu a plynulosti cestovania,
- zníženie negatívnych dopadov železničnej prevádzky na obyvateľstvo,
- zlepšenie a skvalitnenie životného prostredia</t>
  </si>
  <si>
    <t>Hlavnými cieľmi projektu sú:
- zvýšenie traťovej rýchlosti
- zvýšenie bezpečnosti prevádzky
- zvýšenie bezpečnosti cestujúcich
- zvýšenie kultúry, komfortu a plynulosti cestovania
- zníženie negatívnych dopadov železničnej prevádzky na obyvateľstvo
- zlepšenie a skvalitnenie životného prostredia.</t>
  </si>
  <si>
    <t xml:space="preserve">Cieľom stavby je rekonštrukcia celého medzistaničného úseku koľají č. 1 a 2 s vykonaním sanácie v úsekoch s nestabilnou geometrickou polohou koľaje a tých, ktoré budú vybrané na základe IG prieskumu. Po rekonštrukcii bude odstránený TOTR aj POTR, zrýchli sa doprava a zlepší sa dynamika jazdy. </t>
  </si>
  <si>
    <t>Prínosmi projektu sú:
- odstránenie obmedzení traťovej rýchlosti,
- zrýchlenie dopravy,
- zvýšenie bezpečnosti a plynulosti dopravy,
- zlepšenie dynamiky jazdy,
- zníženie prevádzkových nákladov.</t>
  </si>
  <si>
    <t>Hlavnými cieľmi projektu sú:
- zvýšenie traťovej rýchlosti,
- zvýšenie bezpečnosti prevádzky,
- zvýšenie bezpečnosti cestujúcich,
- zvýšenie kultúry, komfortu a plynulosti cestovania,
- zníženie negatívnych dopadov železničnej prevádzky na obyvateľstvo,
- zlepšenie a skvalitnenie životného prostredia.</t>
  </si>
  <si>
    <t>Cieľom modernizácie výhybiek v ŽST Barca je:
- zabezpečenie plynulej a bezpečnej prevádzky
vlakov osobnej a nákladnej dopravy v dotknutom úseku trate ŽST Košice – ŽST Čierna nad
Tisou, Čaňa št. hr a ŽST Barca – ŽST Rožňava, 
- dosiahnutie normových parametrov
dopravnej cesty vo všetkých jej ukazovateľoch,
- dosiahnutie dohodnutého štandardu stanice.</t>
  </si>
  <si>
    <t>Predmetom projektu je modernizácie koľaje č. 2, ktorá má nevyhovujúci stav železničného zvršku. Modernizáciou železničného zvršku, spodku, ďalších stavieb a zariadení sa docieli odstránenie dlhodobých prevádzkových obmedzení a vyššia spoľahlivosť a odolnosť súčastí železničnej infraštruktúry. Cieľom stavby je zlepšenie technického stavu železničnej infraštruktúry a tým zníženie nákladov na údržbu.</t>
  </si>
  <si>
    <t>Hlavnými cieľmi projektu sú:
- zvýšenie traťovej rýchlosti
- zlepšenie priestorovej priechodnosti
- zvýšenie bezpečnosti prevádzky
- zvýšenie bezpečnosti cestujúcich
- zvýšenie kultúry, komfortu a plynulosti cestovania
- zníženie negatívnych dopadov železničnej prevádzky na obyvateľstvo
- zlepšenie a skvalitnenie životného prostredia.</t>
  </si>
  <si>
    <t>ŽSR plánujú rekonštrukciu železničnej stanice Krompachy na trati Spišská Nová Ves – Margecany. Cieľom projektu je zvýšiť bezpečnosť a plynulosť premávky a zrušiť nepotrebné a nevyužívané časti stanice.</t>
  </si>
  <si>
    <t>Po vykonaní rekonštrukcie sa predpokladá plná a spoľahlivá funkčnosť železničnej trate a zrušenie obmedzenia najvyššej traťovej rýchlosti na 100 km/h z pôvodných 120 km/h</t>
  </si>
  <si>
    <t>Predmetom stavby je modernizácia železničného zvršku a spodku výhybiek č. 1 – 10. Pri výmene konštrukcie železničného zvršku je potrebné vymeniť aj elektrický ohrev výhybiek (EOV), upraviť zabezpečovacie a oznamovacie zariadenie, upraviť trolejové vedenie a vonkajšie osvetlenie. Modernizácia výhybiek je navrhnutá z dôvodu prevádzkového opotrebovania, dlhodobého obmedzenia rýchlosti a hlavným cieľom je zaistiť dlhodobo bezpečnosť železničnej prevádzky v danom úseku. Modernizácia bude mať priaznivý dopad aj na zníženie prevádzkových nákladov v ďalších rokoch.</t>
  </si>
  <si>
    <t>ŽSR plánujú projekt komplexnej rekonštrukcie železničného zvršku koľaje č. 1 ŽST Šelpice – ŽST Boleráz. Cieľom projektu je zvýšiť bezpečnosť a plynulosť premávky a znížiť prevádzkové náklady.</t>
  </si>
  <si>
    <t>Po vykonaní rekonštrukcie sa predpokladá plná a spoľahlivá funkčnosť železničnej trate a zvýšenie traťovej rýchlosti na 100 km/h. Návrh smerového vedenia trate však vo vybraných úsekoch vyhovuje až do 120 km/h.</t>
  </si>
  <si>
    <t>Hlavnými prínosmi projektu sú:
- zvýšenie plynulosti a bezpečnosti železničnej dopravy,
- úspora prevádzkových nákladov na zamestnancov (5 zamestnancov),
- zníženie prevádzkových nákladov na údržbu ŽI.</t>
  </si>
  <si>
    <t>Komplexná rekonštrukcia mosta spočíva v realizácii nového jednopoľového trámového mosta stuženého oblúkom v novej polohe rovnobežnej s jestvujúcim mostom s posunom osovej vzdialenosti 8 m a s novou výškovou polohou. Súčasťou plánovacích prác sú aj úpravy priľahlých úsekov žel. trate, rekonštrukcia dvoch úrovňových krížení a preložky inžinierskych sietí.</t>
  </si>
  <si>
    <t>Realizáciou projektu
- bude zapezpečené zachovanie prevádzkyschopnosti trate,
- požadované parametre rýchlosti prechodu vlakov a priepustnosti dotknutého úseku,
- zvýši sa komfort cestujúcej verejnosti,
- zvýši sa bezpečnosť a plynulosť ŽD,
- zrušia sa obmedzenia pre ND v tomto úseku,
- znížia sa prevádzkové náklady na údržbu a opravu mosta a priľahlého úseku.</t>
  </si>
  <si>
    <t>Cieľom stavby je: 
- zabezpečenie plynulosti a bezpečnosti železničnej
dopravy, 
- zvýšenie komfortu pre cestujúcich, 
- zefektívnenie práce na úseku riadenia dopravy,
- obnova železničného zvršku a spodku a predĺženie ich životnosti,
- zníženie prevádzkových nákladov na opravu a údržbu ŽI.</t>
  </si>
  <si>
    <t xml:space="preserve">Rekonštrukciou sa dosiahne normový stav a zaistí požadovaná bezpečnosť a plynulosť železničnej dopravy, znížia predpokladané náklady na údržbu a dosiahne vyšší kvalitatívny štandard železničnej dopravy. </t>
  </si>
  <si>
    <t>sanácia skalného svahu nad železničnou traťou a telesom cesty III/2211</t>
  </si>
  <si>
    <t>Predmetom projektu je modernizácia trate na rýchlosť do 200 km/h. Akcia je súčasťou Medzinárodného projektu spájajúceho slovensko-českú hranicu cez Bratislavu so slovensko-maďarskou hranicou.</t>
  </si>
  <si>
    <t>Ciele projektu sú odstránenie prekážok železničnej trate, zabezpečenie optimálnej úrovne integrácie a interoperability v súlade s Nariadením (EÚ) č. 1299/2014 a Smernicou o interoperabilite 2008/57/ES, skrátenie cestovného času, modernizácia železničných staníc a zastávok, zvýšenie kvality infraštruktúry z hľadiska bezpečnosti, spoľahlivosti a účinnosti, podpora rozdelenia používania jednotlivých druhov dopravy podporovaním využívania železničnej dopravy, zvyšovanie bezpečnosti na železničných tratiach odstraňovaním úrovňových križovatiek križovaní žel. trate s pozemnými komunikáciami a ich nahrádzaním mimoúrovňovými križovaním (nadjazdy, podjazdy, podchody), znižovanie hlukového a atmosférického znečistenia.</t>
  </si>
  <si>
    <t xml:space="preserve">Predmetom projektu je modernizácia trate na rýchlosť do 160 km/h. </t>
  </si>
  <si>
    <t>Vybudovanie nových zabezpečovacích (SZZ, TZZ, PZZ) a oznamovacích zariadení, diaľkového riadenia trate, zriadenia dispečerského pracoviska pre DOT Prievidza – Jelšovce a rekonštrukcii existujúcej infraštruktúry s cieľom komplexného zlepšenia jej technického stavu. Celý riešený úsek zostáva v medzistaničných úsekoch jednokoľajný. Maximálna rýchlosť sa oproti súčasnému stavu zvýši až na 120 km/h. V úseku Bystričany (mimo) – Prievidza dôjde iba k oprave zariadení železničných tratí a stavieb bez ich rekonštrukcie pre zvýšenie traťovej rýchlosti na 120 km/h z dôvodu ich postačujúceho stavu pre rýchlosť 80 km/h z hľadiska rozloženia ŽST a zohľadnenia možnej dynamiky jazdy vlakov.</t>
  </si>
  <si>
    <t>Zvýšenie bezpečnosti a plynulosti železničnej dopravy, úspora času cestujúcich cca 17 min. a úspora prevádzkových nákladov</t>
  </si>
  <si>
    <t>Vybudovanie dispečerského riadenia trate vrátane modernizácie SZZ, TZZ, PZZ.</t>
  </si>
  <si>
    <t>Zvýšenie bezpečnosti a plynulosti železničnej dopravy, skrátenie jazdnej doby vlakov a úspora prevádzkových nákladov.</t>
  </si>
  <si>
    <t>Odstránenie nedostatkov: nízka pravidelnosť dopravy (perónové intervaly, zdržania)</t>
  </si>
  <si>
    <t>Odstránenie nedostatkov: nemožnosť pravidelného intervalu (30 min Os a 60 min REX) a nedostatočná kapacita pre nakladne vlaky</t>
  </si>
  <si>
    <t>Vybudovanie AH v medzistatničných úsekoch + dvojité koľajové spojky v staniciach</t>
  </si>
  <si>
    <t>Odstránenie nedostatkov: vysoký stupeň obsadenia, predchodenie, meškania; nemožnosť zväzkového grafikonu</t>
  </si>
  <si>
    <t>Zvýšenie bezpečnosti a plynulosti železničnej dopravy, skrátenie jazdnej doby vlakov a úspora prevádzkových nákladov. Naplnenie požiadaviek legislatívy EÚ.</t>
  </si>
  <si>
    <t>Vybudovanie dispečerského riadenia trate vrátane modernizácie SZZ, TZZ, PZZ a vybavenia systémom ETCS</t>
  </si>
  <si>
    <t xml:space="preserve">Predmetom stavby je elektrifikácia jednokoľajnej existujúcej železničnej trate na území Slovenskej republiky medzi Bratislavou a Viedňou, predstavuje vybudovanie trolejového vedenia v traťovom úseku medzi železničnou stanicou Devínska Nová Ves a mostom cez rieku Morava(po št. hranicu SR/RR ako rozhodujúceho stavebného objektu stavby a iné s tým súvisiace stavebné objekty a prevádzkové súbory, ktoré umožnia prevádzku vlakov s elektrickou trakciou medzi Bratislavou a Viedňou. </t>
  </si>
  <si>
    <t>Zámerom elektrifikácie je vytvoriť podmienky pre vozbu vlakov osobnej a nákladnej dopravy v elektrickej trakcií, skrátenie cestovných časov a odstránenie negatívneho dopadu na životné prostredie.</t>
  </si>
  <si>
    <t xml:space="preserve">Projekt rieši stavebné úpravy povrchov podchodu, podláh, stien, prekládku plynovodu. </t>
  </si>
  <si>
    <t>Sanácia podchodu</t>
  </si>
  <si>
    <t>V potrebnom rozsahu sa zrekonštruuje železničný zvršok, železničný spodok, zároveň sa odvodní železničná trať.</t>
  </si>
  <si>
    <t>Zvýšenie bezpečnosti a plynulosti prevádzky, zvýšenie komfortu cestujúcich, zníženie nákladov na údržbu, dosiahnutie normového stavu, odstránenie obmedzenia traťovej rýchlosti na koľaji č.3.</t>
  </si>
  <si>
    <t>Predmetom projektu je modernizácie , ktorá má nevyhovujúci stav železničného zvršku. Modernizáciou železničného zvršku, spodku, ďalších stavieb a zariadení sa docieli odstránenie dlhodobých prevádzkových obmedzení a vyššia spoľahlivosť a odolnosť súčastí železničnej infraštruktúry. Cieľom stavby je zlepšenie technického stavu železničnej infraštruktúry a tým zníženie nákladov na údržbu.</t>
  </si>
  <si>
    <t>nová</t>
  </si>
  <si>
    <t>V evidencií sú uvádzané spolu</t>
  </si>
  <si>
    <t>Realizácia stavieb výrazne prispeje k zvýšeniu bezpečnosti a plynulosti železničnej dopravy a obmedzí neefektívne vynakladanie finančných prostriedkov na údržbu. Realizáciou sa odstráneni havarijný stav, zrušenie obmedzenia traťovej rýchlosti, rekonštrukcia zvršku a spodku trate, sanácia svahov telesa násypu, zníženie nákladov na údržbu, zvýšenie bezpečnosti prevádzky, zvýšenie komfortu cestujúcich.</t>
  </si>
  <si>
    <t xml:space="preserve">Hlavnými cieľmi projektu sú:
- zvýšenie bezpečnosti a plynulosti prevádzky,
- zvýšenie bezpečnosti a komfortu cestujúcich,
- zníženie nákladov na údržbu železničnej infraštruktúry,  - zabezpečený plynulý prechod z trate ČoP UA-Čierna n/Tisou-Košice na trať ŽST Trebišov-Výh. Slivník,  - dosiahnutie normového stavu </t>
  </si>
  <si>
    <t>Revitalizácia trate</t>
  </si>
  <si>
    <t>Revitalizácia trate
Vybudovanie peronizácie Bernolákovo, Senec</t>
  </si>
  <si>
    <t>Revitalizácia trate
Vybudovanie odb. Ružinov; rozšírenie stanice N. Košariská; AH N. Košariská - Kvetoslavov</t>
  </si>
  <si>
    <t xml:space="preserve">Revitalizácia trate </t>
  </si>
  <si>
    <t>Revitalizácia trate
Vybudovanie dispečerského riadenia trate vrátane modernizácie SZZ, TZZ, PZZ a vybavenia systémom ETCS</t>
  </si>
  <si>
    <t>Oravský Podzámok - Hruštín - Námestovo</t>
  </si>
  <si>
    <t>S181_2</t>
  </si>
  <si>
    <t>Uvedený projekt je umiestnený v území sústavy Natura 2000 (alebo v jeho bezprostrednom okolí) a hrozí významný negatívny zásah do integrity daného územia.  Vzhľadom na riziká vplyvu projektu na územie sústavy Natura 2000 projekt nebude možné odsúhlasiť.</t>
  </si>
  <si>
    <t>Obstaranie diagnostických vozidiel NPK,GPK</t>
  </si>
  <si>
    <t>Iné neuvedené projekty</t>
  </si>
  <si>
    <t>Informačný systém prevádzkovateľa MDS ŽSR</t>
  </si>
  <si>
    <t>Zaradené v harmonograme</t>
  </si>
  <si>
    <t>ANO</t>
  </si>
  <si>
    <t xml:space="preserve">D140a_; D140b_; D140c_; D140d_; D141a_; </t>
  </si>
  <si>
    <t>140a; 140b; 140c; 140d; 141a</t>
  </si>
  <si>
    <t>D188a_;T188aE</t>
  </si>
  <si>
    <t>Zaradenie v harmonograme</t>
  </si>
  <si>
    <t>Projekty v realizácií (veľké projekty)</t>
  </si>
  <si>
    <t>Vedľajšia trať ŽSR
RFC 9 - alternatívna trať
Dĺžka(195a)= 32,2km; osôb/deň= 100; mil.hrtkm/rok=45</t>
  </si>
  <si>
    <t>Hlavná trať ŽSR
RFC 7 - alternatívne trate
Dĺžka(116a)= 66,9km; osôb/deň= 1000; mil.hrtkm/rok=106,2</t>
  </si>
  <si>
    <t>ŠRT
Dĺžka(ŠRT)= 88,4km; osôb/deň= 0; mil.hrtkm/rok=825,4</t>
  </si>
  <si>
    <t>Hlavná trať ŽSR
Dĺžka(173a)= 52,5km; osôb/deň= 300; mil.hrtkm/rok=0,2
Dĺžka(173b)= 40,4km; osôb/deň= 1000; mil.hrtkm/rok=4,5</t>
  </si>
  <si>
    <t>Hlavná trať ŽSR
RFC 5 - prípojná trať
RFC 7 - prípojná trať
RFC 11 - prípojná trať
Dĺžka(131a)= 21,1km; osôb/deň= 9000; mil.hrtkm/rok=88,6</t>
  </si>
  <si>
    <t>Hlavná trať ŽSR
Dĺžka(191c)= 21,9km; osôb/deň= 2500; mil.hrtkm/rok=36,3
Dĺžka(191d)= 10,8km; osôb/deň= 3000; mil.hrtkm/rok=12,9</t>
  </si>
  <si>
    <t>Hlavná trať ŽSR
Dĺžka(137a)= 1,7km; osôb/deň= 7000; mil.hrtkm/rok=21,1</t>
  </si>
  <si>
    <t>Hlavná trať ŽSR
Dĺžka(140a)= 9,9km; osôb/deň= 3000; mil.hrtkm/rok=18,8
Dĺžka(140b)= 24km; osôb/deň= 3000; mil.hrtkm/rok=4,7
Dĺžka(140c)= 7,4km; osôb/deň= 3000; mil.hrtkm/rok=2
Dĺžka(141a)= 31km; osôb/deň= 4000; mil.hrtkm/rok=37,3</t>
  </si>
  <si>
    <t>Hlavná trať ŽSR
RFC 5 - prípojná trať
RFC 7 - prípojná trať
RFC 11 - prípojná trať
Dĺžka(131b)= 19,8km; osôb/deň= 4000; mil.hrtkm/rok=71,6</t>
  </si>
  <si>
    <t>Vedľajšia trať ŽSR
Dĺžka(193a)= 9,9km; osôb/deň= 3200; mil.hrtkm/rok=13,2
Dĺžka(193b)= 50,9km; osôb/deň= 1800; mil.hrtkm/rok=13,9</t>
  </si>
  <si>
    <t>Hlavná trať ŽSR
Dĺžka(171b)= 4,4km; osôb/deň= 4000; mil.hrtkm/rok=3,1
Dĺžka(170a)= 34,9km; osôb/deň= 4000; mil.hrtkm/rok=54,2</t>
  </si>
  <si>
    <t>Vedľajšia trať ŽSR - úzkorozchodná 1000 mm;
Dĺžka(OŽ)= 4,6km; osôb/deň= 2000; mil.hrtkm/rok=0</t>
  </si>
  <si>
    <t>TEN-T core;
RFC 9 - hlavná trať
Dĺžka(180b)= 61,2km; osôb/deň= 11000; mil.hrtkm/rok=1272,2</t>
  </si>
  <si>
    <t>TEN-T core;
RFC 5 - hlavná trať
RFC 9 - hlavná trať
RFC 11 - hlavná trať
Dĺžka(120g)= 43,7km; osôb/deň= 12000; mil.hrtkm/rok=588,5</t>
  </si>
  <si>
    <t>TEN-T core;
RFC 5 - hlavná trať
RFC 9 - hlavná trať
RFC 11 - hlavná trať
Dĺžka(ZAO)= 11,3km; osôb/deň= 14000; mil.hrtkm/rok=251,1
Dĺžka(ZAT)= 17,1km; osôb/deň= 0; mil.hrtkm/rok=69,2</t>
  </si>
  <si>
    <t>TEN-T core;
RFC 7 - hlavná trať
Dĺžka(110a)= 6,4km; osôb/deň= 5000; mil.hrtkm/rok=170,9
Dĺžka(110b)= 26,5km; osôb/deň= 9000; mil.hrtkm/rok=690,6
Dĺžka(110c)= 23,6km; osôb/deň= 12000; mil.hrtkm/rok=530,7</t>
  </si>
  <si>
    <t>TEN-T core;
RFC 9 - hlavná trať
Dĺžka(180e)= 17,9km; osôb/deň= 9000; mil.hrtkm/rok=415,5</t>
  </si>
  <si>
    <t>TEN-T core;
RFC 9 - hlavná trať
RFC 11 - hlavná trať</t>
  </si>
  <si>
    <t>TEN-T core;
RFC 9 - hlavná trať
RFC 11 - hlavná trať
Dĺžka(180i)= 15,6km; osôb/deň= 14000; mil.hrtkm/rok=390,7</t>
  </si>
  <si>
    <t>TEN-T core;
RFC 9 - hlavná trať
Dĺžka(125a)= 20,3km; osôb/deň= 1500; mil.hrtkm/rok=83,9</t>
  </si>
  <si>
    <t>TEN-T core;
RFC 5 - hlavná trať
RFC 9 - hlavná trať
Dĺžka(127a)= 6,5km; osôb/deň= 3000; mil.hrtkm/rok=142</t>
  </si>
  <si>
    <t>TEN-T core;
RFC 7 - hlavná trať
RFC 11 - hlavná trať
Dĺžka(130d)= 9,9km; osôb/deň= 16000; mil.hrtkm/rok=155,7</t>
  </si>
  <si>
    <t>TEN-T core;
RFC 7 - hlavná trať
RFC 11 - hlavná trať
Dĺžka(130e)= 46,2km; osôb/deň= 5000; mil.hrtkm/rok=535,7</t>
  </si>
  <si>
    <t>TEN-T core;
RFC 5 - alternatívna trať
RFC 7 - hlavná trať</t>
  </si>
  <si>
    <t>TEN-T core;
RFC 7 - hlavná trať
RFC 11 - hlavná trať
Dĺžka(130c)= 32,3km; osôb/deň= 16000; mil.hrtkm/rok=586,4</t>
  </si>
  <si>
    <t>TEN-T core;
RFC 9 - hlavná trať
RFC 11 - hlavná trať
Dĺžka(KEA)= 4,7km; osôb/deň= 6800; mil.hrtkm/rok=48</t>
  </si>
  <si>
    <t>TEN-T core;
RFC 9 - hlavná trať
RFC 11 - alternatívna trať
Dĺžka(190a)= 36,9km; osôb/deň= 6000; mil.hrtkm/rok=589,9</t>
  </si>
  <si>
    <t>TEN-T core;
RFC 9 - hlavná trať
Dĺžka(180g)= 30,6km; osôb/deň= 10000; mil.hrtkm/rok=666,5</t>
  </si>
  <si>
    <t>TEN-T core;
RFC 7 - hlavná trať
RFC 11 - hlavná trať
Dĺžka(135a)= 31,4km; osôb/deň= 2000; mil.hrtkm/rok=118,5</t>
  </si>
  <si>
    <t>TEN-T core;
RFC 5 - hlavná trať
RFC 7 - hlavná trať
RFC 11 - hlavná trať
Dĺžka(BAV)= 24,9km; osôb/deň= 9000; mil.hrtkm/rok=292,2</t>
  </si>
  <si>
    <t>TEN-T core;
RFC 5 - alternatívna trať
RFC 7 - hlavná trať
Dĺžka(BAZ)= 16,4km; osôb/deň= 11000; mil.hrtkm/rok=301,3</t>
  </si>
  <si>
    <t>TEN-T core;
RFC 7 - hlavná trať
RFC 9 - alternatívna trať
RFC 11 - prípojná trať
Dĺžka(132a)= 14,1km; osôb/deň= 100; mil.hrtkm/rok=93,3</t>
  </si>
  <si>
    <t>TEN-T core;
RFC 5 - hlavná trať
RFC 7 - hlavná trať
RFC 11 - hlavná trať
Dĺžka(BAJ)= 12,3km; osôb/deň= 1000; mil.hrtkm/rok=222,7</t>
  </si>
  <si>
    <t>TEN-T core;
RFC 9 - hlavná trať
RFC 11 - hlavná trať
Dĺžka(180h)= 20,8km; osôb/deň= 11000; mil.hrtkm/rok=389
Dĺžka(180i)= 15,6km; osôb/deň= 14000; mil.hrtkm/rok=390,7</t>
  </si>
  <si>
    <t>TEN-T core;
RFC 5 - alternatívna trať
RFC 7 - alternatívna trať
Dĺžka(111a)= 2,4km; osôb/deň= 7000; mil.hrtkm/rok=1,1</t>
  </si>
  <si>
    <t>TEN-T core;
RFC 9 - hlavná trať
Dĺžka(180f)= 35,1km; osôb/deň= 10000; mil.hrtkm/rok=731,4</t>
  </si>
  <si>
    <t>TEN-T core;
RFC 5 - alternatívna trať
RFC 7 - hlavná trať
Dĺžka(130a)= 17,1km; osôb/deň= 16000; mil.hrtkm/rok=246,5</t>
  </si>
  <si>
    <t>TEN-T core;
RFC 5 - hlavná trať
RFC 7 - hlavná trať
RFC 11 - hlavná trať
Dĺžka(BAZ)= 16,4km; osôb/deň= 11000; mil.hrtkm/rok=301,3</t>
  </si>
  <si>
    <t>TEN-T core;
RFC 5 - hlavná trať
RFC 7 - alternatívna trať
RFC 11 - hlavná trať
Dĺžka(120a)= 12,9km; osôb/deň= 24000; mil.hrtkm/rok=100,2</t>
  </si>
  <si>
    <t>TEN-T core;
RFC 5 - hlavná trať
RFC 9 - hlavná trať
RFC 11 - hlavná trať
Dĺžka(127b)= 12,3km; osôb/deň= 7500; mil.hrtkm/rok=214,7</t>
  </si>
  <si>
    <t>TEN-T core;
RFC 5 - hlavná trať
RFC 7 - hlavná trať
RFC 9 - alternatívna trať
RFC 11 - hlavná trať
Dĺžka(137a)= 1,7km; osôb/deň= 7000; mil.hrtkm/rok=21,1</t>
  </si>
  <si>
    <t>TEN-T core;
RFC 5 - prípojná trať
RFC 7 - hlavná trať
Dĺžka(130b)= 23,3km; osôb/deň= 16000; mil.hrtkm/rok=360,6</t>
  </si>
  <si>
    <t>TEN-T core;
RFC 9 - hlavná trať
Dĺžka(180c)= 18km; osôb/deň= 9000; mil.hrtkm/rok=354</t>
  </si>
  <si>
    <t>TEN-T core;
RFC 9 - hlavná trať
RFC 11 - alternatívna trať
Dĺžka(190b)= 60,4km; osôb/deň= 2000; mil.hrtkm/rok=778,6
Dĺžka(190c)= 11,1km; osôb/deň= 500; mil.hrtkm/rok=34,1</t>
  </si>
  <si>
    <t>TEN-T comprehensive;
Dĺžka(160f)= 24,3km; osôb/deň= 2000; mil.hrtkm/rok=160,9</t>
  </si>
  <si>
    <t>TEN-T comprehensive;
Dĺžka(150b)= 41,2km; osôb/deň= 4000; mil.hrtkm/rok=145,9</t>
  </si>
  <si>
    <t>TEN-T comprehensive;
Dĺžka(160b)= 15,8km; osôb/deň= 3000; mil.hrtkm/rok=48,7</t>
  </si>
  <si>
    <t>TEN-T comprehensive;
Dĺžka(150c)= 77,4km; osôb/deň= 3000; mil.hrtkm/rok=241</t>
  </si>
  <si>
    <t>TEN-T comprehensive;
Dĺžka(150a)= 7,3km; osôb/deň= 5200; mil.hrtkm/rok=18,4</t>
  </si>
  <si>
    <t>TEN-T comprehensive;
RFC 11 - hlavná trať
Dĺžka(188b)= 31,7km; osôb/deň= 3000; mil.hrtkm/rok=146</t>
  </si>
  <si>
    <t>TEN-T comprehensive;
RFC 11 - hlavná trať
Dĺžka(188a)= 18km; osôb/deň= 5000; mil.hrtkm/rok=90,6</t>
  </si>
  <si>
    <t>TEN-T comprehensive;
RFC 5 - prípojná trať
RFC 7 - alternatívna trať
RFC 11 - hlavná trať
Dĺžka(133b)= 12,6km; osôb/deň= 1900; mil.hrtkm/rok=43</t>
  </si>
  <si>
    <t>TEN-T comprehensive;
RFC 5 - prípojná trať
RFC 11 - hlavná trať
Dĺžka(133c)= 15,3km; osôb/deň= 0; mil.hrtkm/rok=50,2</t>
  </si>
  <si>
    <t>Dĺžka trate
riešeného projektu - údaje ŽSR [km]</t>
  </si>
  <si>
    <t>7 ks v.j.</t>
  </si>
  <si>
    <t>stavba do 3 km</t>
  </si>
  <si>
    <t>20 ks v.j.</t>
  </si>
  <si>
    <t>8 ks v.j.</t>
  </si>
  <si>
    <t>10 ks v.j.</t>
  </si>
  <si>
    <t>Stavba do 3 km</t>
  </si>
  <si>
    <t xml:space="preserve">3,789 - k. č. 1;
3,815 - k. č. 2 </t>
  </si>
  <si>
    <t xml:space="preserve">cca 14 km (v smere V - Z);
2,3 km ( v smere S-J) </t>
  </si>
  <si>
    <t>DNV - MA - 24,286;
KU - št. hr. - 10,320</t>
  </si>
  <si>
    <t>7,691 - k. č. 1;
7,778 - k. č. 2; 
spolu = 15,469</t>
  </si>
  <si>
    <t>Stavba do 3 km; 
9 ks v.j.</t>
  </si>
  <si>
    <t>Stavba do 3 km; (1,960 podľa IZ)</t>
  </si>
  <si>
    <t>Stavba do 3 km;
7 ks v.j.</t>
  </si>
  <si>
    <t>Stavba do 3 km; (0,701)</t>
  </si>
  <si>
    <t>4,835; (z IZ Telgárt - červená Skala)</t>
  </si>
  <si>
    <t>4,147; - KR koľají</t>
  </si>
  <si>
    <t xml:space="preserve">1. úspora jazdného času - 27,07%; 2. úspora prevádz. nákladov vozidiel/vlakov - 50,03%; 3. úspora nákladov na nehody - 6,66%; 4. úspora nákladov na znečistenie ovzdušia - 13,66%; 5. úspora nákladov na klimatické zmeny - 1,90%; 6. úspora nákladov na hlučnosť - 0,67% </t>
  </si>
  <si>
    <t>Predmetom projektu je modernizácia 7 výhybiek na novozámockom zhlaví žst. z dôvodu prevádzkového opotrebovania a s ním spojených dlhodobých prevádzkových obmedzení. Hlavným cieľom je zaistiť dlhodobo bezpečnosť železničnej prevádzky v danom úseku.</t>
  </si>
  <si>
    <t>Predmetom projektu je modernizácia koľaje č. 1 a koľaje č. 2 medzi ŽST Trnovec nad Váhom a Tvrdošovcami, s cieľom zvýšenia traťovej rýchlosti, dosiahnutia normového stavu a zlepšenie bezpečnosti a plynulosti železničnej dopravy, zníženie nákladov na údržbu železničného zvršku a spodku a dosiahnutie vyššieho kvalitatívneho štandardu osobnej dopravy.</t>
  </si>
  <si>
    <t>Modernizácia traťovej koľaje č. 1 v úseku medzi diaľkovo ovládanou dopravňou (DOD) Šaštín-Stráže a ŽST Kúty je navrhnutá z dôvodu prevádzkového opotrebovania a uplynutia životnosti jednotlivých prvkov koľaje. Jej hlavným cieľom je zaistiť dlhodobú bezpečnosť železničnej prevádzky v danom úseku a zvýšenie traťovej rýchlosti, čím dôjde ku skráteniu cestovných časov v grafikone vlakovej dopravy (GVD). Modernizácia bude mať priaznivý dopad aj na zníženie prevádzkových nákladov v ďalších rokoch.</t>
  </si>
  <si>
    <t>Predmetom projektu je modernizácia železničného zvršku koľaje č. 1 a zvýšenie traťovej rýchlosti na 90 km/h prípadne vyššiu za predpokladu minimálnych smerových posunov koľaje a premiestňovania stožiarov TV.</t>
  </si>
  <si>
    <t>Predmetom projektu je modernizácia výhybiek č. 1 – 20. Výhybky tvoria dôležité zhlavie, na ktorom sa trate rozdeľujú zo smerov Košice osobná stanica, odchodová koľaj č. 101 a vchodová koľaj č. 102 pre nákladnú dopravu na smery Čierna nad Tisou, Čaňa št. hr. SR/MR a Plešivec. Cieľom modernizácie je zabezpečiť plynulú a bezpečnú prevádzku vlakovej dopravy.</t>
  </si>
  <si>
    <t>Zrušením Hl. Hronské Kľačany v traťovom úseku NŽST Veľké Kozmálovce – ŽST Levice a vybudovaním nového traťového zabezpečovacieho zariadenia 3. kategórie automatického hradla (AH) Hronské Kľačany so svetelnými návestidlami a ich predzvesťami, vrátane úpravy PZZ v žkm 4,243, kde koľajové obvody a ASE budú nahradené počítačom osí so snímačmi kolies, pričom PZZ v žkm 4,243 bude kryté oddielovými návestidlami vrátane úpravy napojenia odberného miesta na zast. Hronské Kľačany sa zvýši stupeň bezpečnosti a plynulosti železničnej dopravy v uvedenom traťovom úseku bez nároku na zamestnancov – cielená investícia (úspora 5 zamestnancov).</t>
  </si>
  <si>
    <t>Dôvodom navrhovanej rekonštrukcie traťových koľají č. 1 a č. 2 v km 6,239 – 10,552 je dosiahnutie vyššieho kvalitatívneho štandardu osobnej i nákladnej dopravy, zaistenie bezpečnosti železničnej dopravy a zníženie rozsahu údržby železničného zvršku a odstránenie TOTR. Účelom stavby je zlepšenie technického stavu železničného zvršku a spodku, predĺženie jeho životnosti a zabezpečenie štandardu pre cestujúcich v súlade s platnou legislatívou.</t>
  </si>
  <si>
    <t>Posledná rekonštrukcia väčšieho rozsahu bola vykonaná v rokoch 1985 a 1988. Stavbou sa zvýši kvalitatívny štandard osobnej dopravy rekonštrukciou nástupíšť, zlepší sa bezpečnosť a plynulosť železničnej dopravy, znížia sa náklady na údržbu železničného zvršku a podku a dosiahne sa normový stav. Svojim rozsahom sa jedná o modernizáciu železničného uzla.</t>
  </si>
  <si>
    <t>ŽSR plánujú čiastočnú modernizáciu železničnej stanice Dvory nad Žitavou na trati Nové Zámky – Štúrovo. Cieľom projektu je zvýšiť bezpečnosť a plynulosť premávky a znížiť prevádzkové náklady.</t>
  </si>
  <si>
    <t>Stavbou sa zvýši kvalitatívny štandard osobnej dopravy rekonštrukciou nástupíšť, zlepší sa bezpečnosť a plynulosť železničnej dopravy, znížia sa náklady na údržbu železničného zvršku a spodku a dosiahne sa normový stav. Vyšším stupňom obsluhy dopravnej cesty sa zefektívni činnosť na úseku riadenia dopravy a zároveň sa zvýši aj bezpečnosť železničnej dopravy na dotknutom úseku.</t>
  </si>
  <si>
    <t>Technický stav zariadení pre značnú zastaranosť je v havarijnom stave a zariadenia nespĺňajú kritériá bezpečnej prevádzky na elektrifikovaných tratiach ŽSR. Z hľadiska prevádzkovania je kritický nedostatok náhradných dielov, ktoré sa už nevyrábajú.</t>
  </si>
  <si>
    <t>Dôvodom stavby je zvýšenie kapacity koľajiska ŽST Nové Košariská zmenou určenia koľaje č. 3 a 5. Zmenou koľaje č. 3 a 5 na dopravnú koľaj a zapojením do zabezpečovacieho zariadenia sa dosiahne zvýšenie kapacity koľajiska. Podmienkou pre využitie koľají pre vlakovú dopravu je vykonanie rekonštrukcie koľají z dôvodu ich nevyhovujúceho technického stavu. Aktuálny stav koľají č. 3 a 5 a výhybiek v ŽST Nové Košariská je vzhľadom na ich vek ťažko udržateľný v prevádzkyschopnom stave.</t>
  </si>
  <si>
    <t>Dôvodom rekonštrukcie výhybiek č. 23, 25ab, 27, 29, 30ab, 31, 32, 33, 34 je nevyhovujúci technický stav železničného zvršku (zastaraný typ železničného zvršku, zlý stav podvalov a výhybkových súčastí spojených s nefunkčnosťou upevňovadiel ) a spodku, Súčasťou stavby bude aj rekonštrukcia úrovňového priechodu km 114,620, ktorý slúži k prístupu na nástupište pri koľaji č.1, prechádzajúci cez koľaj č.1,3,5.</t>
  </si>
  <si>
    <t>Vplyvom zvýšenia zaťaženia po elektrifikácii trate a nevyhovujúcich objektov železničného spodku a stavieb železničného spodku vykazuje koľaj dlhodobo nevyhovujúce parametre pre bezpečnú železničnú prevádzku.</t>
  </si>
  <si>
    <t>Predmetom projektu je elektrifikácia a modernizácia jednokoľajnej trate na celom úseku Bánovce nad Ondavou – Humenné v dĺžke 33,5 km. Maximálna rýchlosť na trati dosahuje 100 km/h. Elektrifikácia je spojená s nevyhnutnou rekonštrukciou trate a s modernizáciou železničnej infraštruktúry.</t>
  </si>
  <si>
    <t xml:space="preserve"> Rekonštrukciou nástupíšť sa zvýši úroveň a komfort prostredia pre cestujúcu verejnosť. Úpravou staničného zabezpečovacieho zriadenia sa zvýši bezpečnosť vlakovej dopravy.</t>
  </si>
  <si>
    <t>Realizácia predmetu zákazky sleduje zámer obstarávateľa o zvýšenie plynulosti a bezpečnosti prevádzky železničnej infraštruktúry, skvalitnenie služieb a skultúrnenie prostredia pre cestujúcu verejnosť, ktorý nadväzuje na ukončenú modernizáciu ŽST Púchov.</t>
  </si>
  <si>
    <t>V úseku ŽST Telgárt – ŽST Červená Skala je nevyhovujúci technický stav železničného zvršku pôvodom z roku 1968. rozsah opotrebenia súčastí železničného zvršku je tak rozsiahly, že nie je možné ďalej zabezpečovať prevádzkyschopnosť formou bežnej údržby. v danom úseku bude rekonštruované:  priecestie v žkm 92,006; osem mostov v žkm 88,018, žkm 88,422, žkm 88,796, žkm 89,799, žkm 90,517, žkm 91,208, žkm 91,241 a žkm 91,978; žb doskové priepusty v žkm 89,217, žkm 91,176, žkm 92,180; železničného zvršku, železničného spodku (rozšírenie pláne žel. spodku do normových parametrov vrátane návrhu odvodňovacích zariadení v zárezoch, resp. úpravy telesa dráhy); pravej rímsy žb doskového priepustu v žkm 92,180; náhrade anulačného súboru ASE (ktorý vyhodnocuje prejazd železničného vozidla) za dvojicu inundačných slučiek;  existujúceho vzdušného vedenia, ktoré bude nahradené novým zemným vedením.</t>
  </si>
  <si>
    <t>Rekonštrukcia traťových koľají č. 1 a č. 2 v úseku medzi ŽST Bratislava Nové Mesto a ŽST Bratislava ÚNS je navrhnutá z dôvodu prevádzkového opotrebovania a jej hlavným cieľom je zaistiť dlhodobú bezpečnosť železničnej prevádzky v danom úseku. Rekonštrukcia bude mať priaznivý dopad aj na zníženie prevádzkových nákladov v ďalších rokoch.Rekonštrukcia železničného spodku a zvršku vrátane rekonštrukcie priecestí. Rekonštrukcia zahŕňa:  rekonštrukcia mostných objektov, rekonštrukcia trakčného vedenia vrátane úpravy DOO, úprava rozvodov nn, nová káblová chráničková trasa, úprava komunikácií v styku s priecestiami, preložky a ochrana sietí oznamovacích zariadení ŽSR, preložky a ochrana slaboprúdových vedení cudzích správcov, úprava zabezpečovacieho zariadenia úpravy zabezpečovacích zariadení na priecestiach úpravy oznamovacích zariadení.</t>
  </si>
  <si>
    <t>Dôvodom modernizácie ŽST Šurany je zabezpečenie plynulosti a bezpečnosti železničnej dopravy, zvýšenie komfortu pre cestujúcu verejnosť rekonštrukciou nástupíšť, obnova železničného zvršku a spodku a tým zabezpečenie obnovy životnosti železničnej dopravnej cesty.</t>
  </si>
  <si>
    <t>Rekonštrukciou tejto napájacej stanice sa zmodernizuje technológia, zvýši sa spoľahlivosť prevádzky, znížia sa náklady na opravy, údržbu a prevádzku</t>
  </si>
  <si>
    <t>Mostné objekty Diaľnično-železničného mosta (DŽM – mosty v km 13,194; km 13,674; km 14,159; km 14,573; km 15,009) vykazujú na mnohých miestach známky opotrebenia a na dlhodobé zaistenie jeho prevádzky je potrebná súvislá rekonštrukcia železničného zvršku
na celom úseku DŽM a zlepšenie technického stavu mostných objektov. Stavba rieši odstránenie nevyhovujúceho technického stavu mostných objektov. Pre dlhodobé zaistenie prevádzky je potrebná súvislá rekonštrukcia železničného zvršku na celom úseku DŽM a úpravy ostatnej infraštruktúry potrebnej pre prevádzku železničnej dráhy v predmetnom úseku. Stavba je navrhnutá za účelom zlepšenia terajšieho stavu trate a pre zvýšenie bezpečnosti a komfortu cestujúcich, bezpečnosti a plynulosti prevádzky, spoločne so znížením nákladov na údržbu.</t>
  </si>
  <si>
    <t>Cieľom je zlepšiť technický stav dopravnej cesty, znížiť náklady na údržbu, zabezpečiť bezpečnú a plynulú prevádzku. Účelom stavby je komplexná rekonštrukcia koľají a výhybiek ako aj úprava nástupíšť v ŽST Nové Košariská, ktoré umožnia prevádzkovanie a tým aj obslužnosť zastávok a staníc dlhšími vlakovými súpravami, čo prispeje k čiastočnému zlepšeniu prepravnej kapacity osobnej dopravy a v neposlednom rade zlepšeniu komfortu cestovania pre verejnosť , zabezpečenie štandardov pre cestujúcich v súlade s platnou legislatívou. Účelom stavby je aj zlepšenie technického stavu žel. zvršku a spodku, zariadení EE a OZT , predĺženie životnosti jednotlivých komponentov a zvýšenie priepustnosti jednokoľajnej trate. Zvýšenie únosnosti a vybudovanie nového odvodnenia železničného spodku,  zníženie nákladov na údržbu výhybiek po ukončení KRV zabudovaním nových prvkov železničného zvršku, obmedzenie nepredpokladaných porúch a z nich vyplývajúce obmedzenia prevádzky, vybudovanie nového EOV vrátane prenosových ciest prispeje k plynulosti žel. prevádzky najmä zimnom období, zvýšenie bezpečnosti prevádzky, zvýšenie kultúry, komfortu a plynulosti cestovania.</t>
  </si>
  <si>
    <t>Cieľom rekonštrukcie je zjednotenie sústavy železničného zvršku rekonštruovaných výhybiek s rekonštruovaným nadväzujúcim úsekom priebežnej koľaje, dosiahnutie normových parametrov železničnej infraštruktúry vo všetkých jej ukazovateľoch a zaistenie bezpečnej železničnej prevádzky a pohotovej obsluhy železničnej infraštruktúry.</t>
  </si>
  <si>
    <t>Cieľom projektu je zníženie negatívnych dopadov železničnej dopravy na životné prostredie a zlepšenie stavu železničnej infraštruktúry na trati. Elektrifikácia Bánovce nad Ondavou – Humenné umožní nahradiť motorovú trakciu elektrickou pre väčšinu vlakov na linke Košice – Humenné. Okrem zníženia emisií skleníkových plynov povedie elektrifikácia aj k skráteniu jazdných časov vďaka lepšej dynamike jazdy elektrických vozidiel. Komplexná rekonštrukcia a modernizácia železničnej infraštruktúry zlepšia bezpečnosť prevádzky, umožnia zvýšiť maximálnu rýchlosť v závislosti od zvolenej alternatívy, povedú k ďalším časovým úsporám a znížia prevádzkové náklady ŽSR.</t>
  </si>
  <si>
    <t>Komplexná rekonštrukcia železničného zvršku, vrátane výmeny koľajového lôžka na mostných objektoch km 13,194 ; km 15,009 (PSKT nosníky) a km 13,674 ; km 14,573(spriahnuté konštrukcie) a v priľahlých úsekoch trate pre koľ. č. 1 a koľ. č. 2
- Súvislá výmena mostníc na moste, v km 14,159 hlavného mostného objektu (HMO) pre koľaj č. 1 a koľaj č. 2
- Oprava izolácie, odvodnenia, prekrytia medzier medzi nosníkmi a prekrytia dilatačných medzier medzi jednotlivými poliami pre mostné objekty (PSKT) v km 13,194 a km 15,009 pre koľaje č. 1 a č.2.
- Oprava izolácie, odvodnenia a prekrytia dilatačných medzier medzi jednotlivými poliami pre mostné objekty (spriahnuté) v km 13,674 a km 14,573 pre koľaje č. 1 a č.2.
- Výmena káblového žľabu a poklopov na mostoch v km 13,194; km 13,674; km 14,573; km 15,009
- Ošetrenie PSKT nosníkov na mostných objektoch v km 13,194 a km 15,009
- Protikorózna ochrana spriahnutých nosníkov na mostných objektoch v km 13,674 a km 14,573.
- Protikorózna ochrana zábradlia na mostných objektoch v km 13,194; km 13,674 km 14,573 a km 15,009
- Sanácia úložných konzol trakčných podpier, vrátane úložných prahov ložísk pre všetky polia mostných objektov v km 13,194; km 13,674; km 14,573; km 15,009 pre koľaje č. 1 a č.2
- Výmena trakčných podpier a trolejového vedenia v celom rekonštruovanom úseku DŽM pre koľ. č. 1 a koľ. č. 2</t>
  </si>
  <si>
    <t>Úspora času cestujúcich, úspora času v preprave tovaru, bezpečná a plynulá žel. prevádzka prínosy z prevedenej dopravy - úspora nákladov na prevádzku a údržbu cestných motorových vozidiel a cestenej infraštruktúre, zníženie nehodovosti odstránením úrovňových križovaní ciest so železnicou, zníženie  hluku, emisie skleníkových plynov a zníženie znečistenie živ. prostredia</t>
  </si>
  <si>
    <t>DSPRS/ Príprava VO na realizáciu</t>
  </si>
  <si>
    <t>Strategický/ Investičný zámer</t>
  </si>
  <si>
    <t>BCR 
finančené</t>
  </si>
  <si>
    <t>Počet vlakov</t>
  </si>
  <si>
    <t>umývače, predkurovanie zariadnenia, svetelné zdroje (návestidlá)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</si>
</sst>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.0"/>
    <numFmt numFmtId="166" formatCode="#,##0.0,,"/>
    <numFmt numFmtId="167" formatCode="#,##0.0,"/>
    <numFmt numFmtId="168" formatCode="#,##0.000"/>
  </numFmts>
  <fonts count="2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8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43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9" fillId="0" borderId="0"/>
    <xf numFmtId="0" fontId="16" fillId="0" borderId="0" applyNumberFormat="0" applyFill="0" applyBorder="0" applyAlignment="0" applyProtection="0"/>
  </cellStyleXfs>
  <cellXfs count="509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4" fontId="0" fillId="0" borderId="0" xfId="0" applyNumberFormat="1" applyFill="1" applyBorder="1"/>
    <xf numFmtId="164" fontId="0" fillId="0" borderId="0" xfId="0" applyNumberFormat="1"/>
    <xf numFmtId="0" fontId="0" fillId="0" borderId="0" xfId="0" applyFill="1" applyBorder="1"/>
    <xf numFmtId="0" fontId="0" fillId="0" borderId="0" xfId="0" applyFont="1"/>
    <xf numFmtId="0" fontId="0" fillId="0" borderId="0" xfId="0" applyFont="1" applyFill="1" applyBorder="1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/>
    <xf numFmtId="0" fontId="3" fillId="0" borderId="0" xfId="0" applyFont="1" applyAlignment="1">
      <alignment horizontal="left"/>
    </xf>
    <xf numFmtId="164" fontId="4" fillId="0" borderId="0" xfId="0" applyNumberFormat="1" applyFont="1"/>
    <xf numFmtId="165" fontId="0" fillId="0" borderId="0" xfId="0" applyNumberFormat="1"/>
    <xf numFmtId="166" fontId="0" fillId="0" borderId="0" xfId="0" applyNumberFormat="1"/>
    <xf numFmtId="0" fontId="1" fillId="0" borderId="0" xfId="0" applyFont="1" applyFill="1" applyBorder="1"/>
    <xf numFmtId="164" fontId="0" fillId="0" borderId="0" xfId="0" applyNumberFormat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Border="1"/>
    <xf numFmtId="0" fontId="2" fillId="0" borderId="0" xfId="0" applyFont="1" applyFill="1" applyBorder="1" applyAlignment="1"/>
    <xf numFmtId="164" fontId="0" fillId="0" borderId="0" xfId="0" applyNumberFormat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0" xfId="0" applyFont="1" applyBorder="1"/>
    <xf numFmtId="1" fontId="0" fillId="0" borderId="0" xfId="0" applyNumberFormat="1"/>
    <xf numFmtId="0" fontId="0" fillId="0" borderId="0" xfId="0" applyFont="1" applyFill="1"/>
    <xf numFmtId="167" fontId="0" fillId="0" borderId="0" xfId="0" applyNumberFormat="1" applyBorder="1"/>
    <xf numFmtId="167" fontId="0" fillId="0" borderId="0" xfId="0" applyNumberFormat="1" applyFill="1" applyBorder="1"/>
    <xf numFmtId="2" fontId="0" fillId="0" borderId="0" xfId="0" applyNumberFormat="1"/>
    <xf numFmtId="0" fontId="0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1" fillId="0" borderId="0" xfId="0" applyNumberFormat="1" applyFont="1" applyBorder="1"/>
    <xf numFmtId="164" fontId="1" fillId="0" borderId="0" xfId="0" applyNumberFormat="1" applyFont="1"/>
    <xf numFmtId="166" fontId="0" fillId="0" borderId="0" xfId="0" applyNumberFormat="1" applyBorder="1"/>
    <xf numFmtId="166" fontId="0" fillId="0" borderId="0" xfId="0" applyNumberFormat="1" applyFont="1" applyFill="1"/>
    <xf numFmtId="164" fontId="0" fillId="0" borderId="0" xfId="0" applyNumberFormat="1" applyFill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2" xfId="0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1" fontId="1" fillId="0" borderId="2" xfId="0" applyNumberFormat="1" applyFont="1" applyFill="1" applyBorder="1"/>
    <xf numFmtId="166" fontId="0" fillId="0" borderId="2" xfId="0" applyNumberFormat="1" applyBorder="1"/>
    <xf numFmtId="0" fontId="0" fillId="0" borderId="2" xfId="0" applyBorder="1" applyAlignment="1">
      <alignment vertical="top" wrapText="1"/>
    </xf>
    <xf numFmtId="164" fontId="0" fillId="0" borderId="2" xfId="0" applyNumberFormat="1" applyBorder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164" fontId="0" fillId="0" borderId="2" xfId="0" applyNumberForma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167" fontId="0" fillId="0" borderId="0" xfId="0" applyNumberFormat="1" applyAlignment="1">
      <alignment vertical="top" wrapText="1"/>
    </xf>
    <xf numFmtId="167" fontId="0" fillId="0" borderId="2" xfId="0" applyNumberFormat="1" applyBorder="1" applyAlignment="1">
      <alignment vertical="top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167" fontId="0" fillId="0" borderId="0" xfId="0" applyNumberFormat="1" applyBorder="1" applyAlignment="1">
      <alignment vertical="top" wrapText="1"/>
    </xf>
    <xf numFmtId="164" fontId="0" fillId="0" borderId="0" xfId="0" applyNumberFormat="1" applyBorder="1" applyAlignment="1">
      <alignment vertical="top" wrapText="1"/>
    </xf>
    <xf numFmtId="164" fontId="0" fillId="0" borderId="0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3" fillId="6" borderId="0" xfId="0" applyFont="1" applyFill="1" applyAlignment="1">
      <alignment horizontal="center" vertical="top" wrapText="1"/>
    </xf>
    <xf numFmtId="164" fontId="0" fillId="0" borderId="2" xfId="0" applyNumberFormat="1" applyFill="1" applyBorder="1" applyAlignment="1">
      <alignment vertical="top" wrapText="1"/>
    </xf>
    <xf numFmtId="0" fontId="0" fillId="0" borderId="2" xfId="0" applyFont="1" applyFill="1" applyBorder="1"/>
    <xf numFmtId="164" fontId="1" fillId="0" borderId="2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164" fontId="0" fillId="0" borderId="0" xfId="0" applyNumberFormat="1" applyBorder="1"/>
    <xf numFmtId="0" fontId="10" fillId="0" borderId="0" xfId="0" applyFont="1" applyAlignment="1">
      <alignment vertical="top"/>
    </xf>
    <xf numFmtId="164" fontId="0" fillId="0" borderId="0" xfId="0" applyNumberForma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164" fontId="1" fillId="0" borderId="0" xfId="0" applyNumberFormat="1" applyFont="1" applyFill="1"/>
    <xf numFmtId="0" fontId="0" fillId="0" borderId="4" xfId="0" applyBorder="1"/>
    <xf numFmtId="0" fontId="0" fillId="0" borderId="4" xfId="0" applyBorder="1" applyAlignment="1">
      <alignment wrapText="1"/>
    </xf>
    <xf numFmtId="4" fontId="0" fillId="0" borderId="0" xfId="0" applyNumberFormat="1"/>
    <xf numFmtId="4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3" fillId="0" borderId="16" xfId="0" applyFont="1" applyBorder="1" applyAlignment="1">
      <alignment horizontal="left" wrapText="1"/>
    </xf>
    <xf numFmtId="0" fontId="0" fillId="0" borderId="15" xfId="0" applyBorder="1"/>
    <xf numFmtId="0" fontId="0" fillId="0" borderId="17" xfId="0" applyBorder="1"/>
    <xf numFmtId="0" fontId="0" fillId="0" borderId="0" xfId="0" applyFont="1" applyAlignment="1">
      <alignment horizontal="left" wrapText="1"/>
    </xf>
    <xf numFmtId="0" fontId="0" fillId="0" borderId="3" xfId="0" applyBorder="1" applyAlignment="1">
      <alignment wrapText="1"/>
    </xf>
    <xf numFmtId="0" fontId="3" fillId="6" borderId="21" xfId="0" applyFont="1" applyFill="1" applyBorder="1" applyAlignment="1">
      <alignment vertical="center"/>
    </xf>
    <xf numFmtId="0" fontId="3" fillId="6" borderId="21" xfId="0" applyFont="1" applyFill="1" applyBorder="1" applyAlignment="1">
      <alignment vertical="center" wrapText="1"/>
    </xf>
    <xf numFmtId="0" fontId="3" fillId="6" borderId="22" xfId="0" applyFont="1" applyFill="1" applyBorder="1" applyAlignment="1">
      <alignment vertical="center"/>
    </xf>
    <xf numFmtId="0" fontId="3" fillId="6" borderId="23" xfId="0" applyFont="1" applyFill="1" applyBorder="1" applyAlignment="1">
      <alignment vertical="center"/>
    </xf>
    <xf numFmtId="0" fontId="3" fillId="0" borderId="0" xfId="0" applyFont="1" applyFill="1"/>
    <xf numFmtId="164" fontId="0" fillId="0" borderId="0" xfId="0" applyNumberFormat="1" applyBorder="1" applyAlignment="1">
      <alignment vertical="top"/>
    </xf>
    <xf numFmtId="0" fontId="0" fillId="0" borderId="2" xfId="0" applyFill="1" applyBorder="1" applyAlignment="1">
      <alignment vertical="top" wrapText="1"/>
    </xf>
    <xf numFmtId="4" fontId="0" fillId="0" borderId="0" xfId="0" applyNumberFormat="1" applyAlignment="1">
      <alignment horizontal="right"/>
    </xf>
    <xf numFmtId="0" fontId="0" fillId="0" borderId="0" xfId="0" applyFont="1" applyBorder="1"/>
    <xf numFmtId="0" fontId="3" fillId="0" borderId="11" xfId="0" applyFont="1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164" fontId="0" fillId="0" borderId="4" xfId="0" applyNumberFormat="1" applyBorder="1" applyAlignment="1">
      <alignment horizontal="left"/>
    </xf>
    <xf numFmtId="0" fontId="0" fillId="0" borderId="4" xfId="0" applyNumberFormat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0" borderId="0" xfId="6" applyFont="1" applyAlignment="1">
      <alignment vertical="center"/>
    </xf>
    <xf numFmtId="10" fontId="0" fillId="0" borderId="0" xfId="0" applyNumberFormat="1"/>
    <xf numFmtId="0" fontId="0" fillId="0" borderId="16" xfId="0" applyBorder="1"/>
    <xf numFmtId="4" fontId="0" fillId="0" borderId="17" xfId="0" applyNumberFormat="1" applyBorder="1"/>
    <xf numFmtId="4" fontId="3" fillId="0" borderId="0" xfId="0" applyNumberFormat="1" applyFont="1"/>
    <xf numFmtId="4" fontId="3" fillId="0" borderId="0" xfId="0" applyNumberFormat="1" applyFont="1" applyFill="1"/>
    <xf numFmtId="0" fontId="0" fillId="0" borderId="4" xfId="0" applyFont="1" applyFill="1" applyBorder="1" applyAlignment="1">
      <alignment wrapText="1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 vertical="center"/>
    </xf>
    <xf numFmtId="2" fontId="18" fillId="0" borderId="3" xfId="0" applyNumberFormat="1" applyFont="1" applyBorder="1" applyAlignment="1">
      <alignment vertical="center"/>
    </xf>
    <xf numFmtId="2" fontId="18" fillId="0" borderId="4" xfId="0" applyNumberFormat="1" applyFont="1" applyBorder="1" applyAlignment="1">
      <alignment vertical="center"/>
    </xf>
    <xf numFmtId="2" fontId="18" fillId="0" borderId="5" xfId="0" applyNumberFormat="1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10" fontId="18" fillId="0" borderId="6" xfId="3" applyNumberFormat="1" applyFont="1" applyBorder="1" applyAlignment="1">
      <alignment vertical="center"/>
    </xf>
    <xf numFmtId="10" fontId="18" fillId="0" borderId="0" xfId="3" applyNumberFormat="1" applyFont="1" applyBorder="1" applyAlignment="1">
      <alignment vertical="center"/>
    </xf>
    <xf numFmtId="10" fontId="18" fillId="0" borderId="7" xfId="3" applyNumberFormat="1" applyFont="1" applyBorder="1" applyAlignment="1">
      <alignment vertical="center"/>
    </xf>
    <xf numFmtId="0" fontId="19" fillId="0" borderId="0" xfId="0" applyFont="1" applyAlignment="1">
      <alignment horizontal="right" vertical="center" wrapText="1"/>
    </xf>
    <xf numFmtId="3" fontId="19" fillId="0" borderId="8" xfId="0" applyNumberFormat="1" applyFont="1" applyBorder="1" applyAlignment="1">
      <alignment vertical="center"/>
    </xf>
    <xf numFmtId="3" fontId="19" fillId="0" borderId="9" xfId="0" applyNumberFormat="1" applyFont="1" applyFill="1" applyBorder="1" applyAlignment="1">
      <alignment vertical="center"/>
    </xf>
    <xf numFmtId="3" fontId="19" fillId="0" borderId="10" xfId="0" applyNumberFormat="1" applyFont="1" applyFill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3" fontId="19" fillId="0" borderId="0" xfId="0" applyNumberFormat="1" applyFont="1" applyFill="1" applyBorder="1" applyAlignment="1">
      <alignment vertical="center"/>
    </xf>
    <xf numFmtId="0" fontId="20" fillId="0" borderId="0" xfId="0" applyFont="1"/>
    <xf numFmtId="0" fontId="0" fillId="6" borderId="16" xfId="0" applyFill="1" applyBorder="1"/>
    <xf numFmtId="0" fontId="0" fillId="6" borderId="15" xfId="0" applyFill="1" applyBorder="1"/>
    <xf numFmtId="0" fontId="3" fillId="0" borderId="0" xfId="0" applyFont="1" applyAlignment="1">
      <alignment vertical="center"/>
    </xf>
    <xf numFmtId="0" fontId="0" fillId="0" borderId="4" xfId="0" applyFont="1" applyFill="1" applyBorder="1" applyAlignment="1"/>
    <xf numFmtId="3" fontId="0" fillId="0" borderId="0" xfId="0" applyNumberFormat="1" applyFont="1" applyAlignment="1">
      <alignment horizontal="right"/>
    </xf>
    <xf numFmtId="3" fontId="0" fillId="0" borderId="0" xfId="0" applyNumberFormat="1" applyFont="1" applyFill="1"/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horizontal="left" wrapText="1"/>
    </xf>
    <xf numFmtId="3" fontId="0" fillId="0" borderId="0" xfId="0" applyNumberFormat="1" applyFont="1"/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6" borderId="18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right" vertical="center"/>
    </xf>
    <xf numFmtId="0" fontId="3" fillId="11" borderId="4" xfId="0" applyFont="1" applyFill="1" applyBorder="1" applyAlignment="1">
      <alignment horizontal="right" vertical="center" wrapText="1"/>
    </xf>
    <xf numFmtId="0" fontId="3" fillId="11" borderId="5" xfId="0" applyFont="1" applyFill="1" applyBorder="1" applyAlignment="1">
      <alignment horizontal="right" vertical="center"/>
    </xf>
    <xf numFmtId="0" fontId="3" fillId="11" borderId="0" xfId="0" applyFont="1" applyFill="1" applyBorder="1" applyAlignment="1">
      <alignment horizontal="right" vertical="center"/>
    </xf>
    <xf numFmtId="0" fontId="3" fillId="11" borderId="7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12" borderId="11" xfId="0" applyFont="1" applyFill="1" applyBorder="1" applyAlignment="1">
      <alignment horizontal="left" vertical="top"/>
    </xf>
    <xf numFmtId="0" fontId="3" fillId="12" borderId="12" xfId="0" applyFont="1" applyFill="1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4" fillId="9" borderId="11" xfId="0" applyFont="1" applyFill="1" applyBorder="1" applyAlignment="1">
      <alignment horizontal="left" vertical="top"/>
    </xf>
    <xf numFmtId="0" fontId="14" fillId="9" borderId="12" xfId="0" applyFont="1" applyFill="1" applyBorder="1" applyAlignment="1">
      <alignment horizontal="left" vertical="top"/>
    </xf>
    <xf numFmtId="0" fontId="3" fillId="0" borderId="16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15" fillId="7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13" borderId="9" xfId="0" applyFont="1" applyFill="1" applyBorder="1" applyAlignment="1">
      <alignment vertical="top" wrapText="1"/>
    </xf>
    <xf numFmtId="0" fontId="3" fillId="13" borderId="0" xfId="0" applyFont="1" applyFill="1" applyBorder="1" applyAlignment="1">
      <alignment vertical="top"/>
    </xf>
    <xf numFmtId="0" fontId="3" fillId="13" borderId="12" xfId="0" applyFont="1" applyFill="1" applyBorder="1" applyAlignment="1">
      <alignment vertical="top" wrapText="1"/>
    </xf>
    <xf numFmtId="0" fontId="3" fillId="13" borderId="4" xfId="0" applyFont="1" applyFill="1" applyBorder="1" applyAlignment="1">
      <alignment vertical="top" wrapText="1"/>
    </xf>
    <xf numFmtId="0" fontId="3" fillId="12" borderId="11" xfId="0" applyFont="1" applyFill="1" applyBorder="1" applyAlignment="1">
      <alignment horizontal="left" vertical="top" wrapText="1"/>
    </xf>
    <xf numFmtId="0" fontId="3" fillId="12" borderId="0" xfId="0" applyFont="1" applyFill="1" applyBorder="1" applyAlignment="1">
      <alignment horizontal="left" vertical="top"/>
    </xf>
    <xf numFmtId="0" fontId="3" fillId="12" borderId="7" xfId="0" applyFont="1" applyFill="1" applyBorder="1" applyAlignment="1">
      <alignment horizontal="left" vertical="top"/>
    </xf>
    <xf numFmtId="0" fontId="14" fillId="9" borderId="11" xfId="0" applyFont="1" applyFill="1" applyBorder="1" applyAlignment="1">
      <alignment horizontal="left" vertical="top" wrapText="1"/>
    </xf>
    <xf numFmtId="0" fontId="14" fillId="9" borderId="0" xfId="0" applyFont="1" applyFill="1" applyBorder="1" applyAlignment="1">
      <alignment horizontal="left" vertical="top"/>
    </xf>
    <xf numFmtId="0" fontId="14" fillId="9" borderId="7" xfId="0" applyFont="1" applyFill="1" applyBorder="1" applyAlignment="1">
      <alignment horizontal="left" vertical="top"/>
    </xf>
    <xf numFmtId="0" fontId="3" fillId="10" borderId="11" xfId="0" applyFont="1" applyFill="1" applyBorder="1" applyAlignment="1">
      <alignment horizontal="left" vertical="top" wrapText="1"/>
    </xf>
    <xf numFmtId="0" fontId="3" fillId="10" borderId="0" xfId="0" applyFont="1" applyFill="1" applyBorder="1" applyAlignment="1">
      <alignment horizontal="left" vertical="top"/>
    </xf>
    <xf numFmtId="0" fontId="3" fillId="1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10" borderId="9" xfId="0" applyFont="1" applyFill="1" applyBorder="1" applyAlignment="1">
      <alignment horizontal="left" vertical="top" wrapText="1"/>
    </xf>
    <xf numFmtId="0" fontId="3" fillId="10" borderId="12" xfId="0" applyFont="1" applyFill="1" applyBorder="1" applyAlignment="1">
      <alignment horizontal="left" vertical="top" wrapText="1"/>
    </xf>
    <xf numFmtId="0" fontId="15" fillId="7" borderId="4" xfId="0" applyFont="1" applyFill="1" applyBorder="1" applyAlignment="1">
      <alignment horizontal="left" vertical="top" wrapText="1"/>
    </xf>
    <xf numFmtId="0" fontId="15" fillId="7" borderId="0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0" borderId="17" xfId="0" applyBorder="1" applyAlignment="1">
      <alignment vertical="top"/>
    </xf>
    <xf numFmtId="0" fontId="3" fillId="13" borderId="11" xfId="0" applyFont="1" applyFill="1" applyBorder="1" applyAlignment="1">
      <alignment vertical="top"/>
    </xf>
    <xf numFmtId="0" fontId="0" fillId="0" borderId="6" xfId="0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3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4" fontId="0" fillId="0" borderId="6" xfId="0" applyNumberFormat="1" applyFont="1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3" fillId="10" borderId="11" xfId="0" applyFont="1" applyFill="1" applyBorder="1" applyAlignment="1">
      <alignment horizontal="left" vertical="top"/>
    </xf>
    <xf numFmtId="0" fontId="0" fillId="9" borderId="0" xfId="0" applyFill="1" applyAlignment="1">
      <alignment vertical="top"/>
    </xf>
    <xf numFmtId="0" fontId="0" fillId="6" borderId="0" xfId="0" applyFill="1" applyAlignment="1">
      <alignment vertical="top"/>
    </xf>
    <xf numFmtId="0" fontId="0" fillId="0" borderId="4" xfId="0" quotePrefix="1" applyFont="1" applyFill="1" applyBorder="1" applyAlignment="1">
      <alignment horizontal="left" vertical="top" wrapText="1"/>
    </xf>
    <xf numFmtId="0" fontId="0" fillId="0" borderId="0" xfId="0" quotePrefix="1" applyFont="1" applyFill="1" applyBorder="1" applyAlignment="1">
      <alignment horizontal="left" vertical="top" wrapText="1"/>
    </xf>
    <xf numFmtId="0" fontId="3" fillId="13" borderId="0" xfId="0" applyFont="1" applyFill="1" applyBorder="1" applyAlignment="1">
      <alignment horizontal="left" vertical="top" wrapText="1"/>
    </xf>
    <xf numFmtId="0" fontId="3" fillId="12" borderId="0" xfId="0" applyFont="1" applyFill="1" applyBorder="1" applyAlignment="1">
      <alignment horizontal="left" vertical="top" wrapText="1"/>
    </xf>
    <xf numFmtId="0" fontId="14" fillId="9" borderId="0" xfId="0" applyFont="1" applyFill="1" applyBorder="1" applyAlignment="1">
      <alignment horizontal="left" vertical="top" wrapText="1"/>
    </xf>
    <xf numFmtId="0" fontId="3" fillId="10" borderId="0" xfId="0" applyFont="1" applyFill="1" applyBorder="1" applyAlignment="1">
      <alignment horizontal="left" vertical="top" wrapText="1"/>
    </xf>
    <xf numFmtId="0" fontId="15" fillId="7" borderId="0" xfId="0" applyFont="1" applyFill="1" applyBorder="1" applyAlignment="1">
      <alignment horizontal="left" vertical="top" wrapText="1"/>
    </xf>
    <xf numFmtId="0" fontId="0" fillId="0" borderId="9" xfId="0" quotePrefix="1" applyFont="1" applyFill="1" applyBorder="1" applyAlignment="1">
      <alignment horizontal="left" vertical="top" wrapText="1"/>
    </xf>
    <xf numFmtId="3" fontId="0" fillId="0" borderId="4" xfId="0" applyNumberFormat="1" applyFont="1" applyFill="1" applyBorder="1" applyAlignment="1">
      <alignment horizontal="right" vertical="top" wrapText="1"/>
    </xf>
    <xf numFmtId="3" fontId="0" fillId="0" borderId="3" xfId="0" applyNumberFormat="1" applyFont="1" applyFill="1" applyBorder="1" applyAlignment="1">
      <alignment horizontal="right" vertical="top" wrapText="1"/>
    </xf>
    <xf numFmtId="3" fontId="0" fillId="0" borderId="5" xfId="0" applyNumberFormat="1" applyFont="1" applyFill="1" applyBorder="1" applyAlignment="1">
      <alignment horizontal="right" vertical="top" wrapText="1"/>
    </xf>
    <xf numFmtId="3" fontId="0" fillId="0" borderId="0" xfId="0" applyNumberFormat="1" applyFont="1" applyFill="1" applyBorder="1" applyAlignment="1">
      <alignment horizontal="right" vertical="top" wrapText="1"/>
    </xf>
    <xf numFmtId="3" fontId="0" fillId="0" borderId="6" xfId="0" applyNumberFormat="1" applyFont="1" applyFill="1" applyBorder="1" applyAlignment="1">
      <alignment horizontal="right" vertical="top" wrapText="1"/>
    </xf>
    <xf numFmtId="3" fontId="0" fillId="0" borderId="7" xfId="0" applyNumberFormat="1" applyFont="1" applyFill="1" applyBorder="1" applyAlignment="1">
      <alignment horizontal="right" vertical="top" wrapText="1"/>
    </xf>
    <xf numFmtId="3" fontId="0" fillId="0" borderId="9" xfId="0" applyNumberFormat="1" applyFont="1" applyFill="1" applyBorder="1" applyAlignment="1">
      <alignment horizontal="right" vertical="top" wrapText="1"/>
    </xf>
    <xf numFmtId="3" fontId="0" fillId="0" borderId="8" xfId="0" applyNumberFormat="1" applyFont="1" applyFill="1" applyBorder="1" applyAlignment="1">
      <alignment horizontal="right" vertical="top" wrapText="1"/>
    </xf>
    <xf numFmtId="3" fontId="0" fillId="0" borderId="10" xfId="0" applyNumberFormat="1" applyFont="1" applyFill="1" applyBorder="1" applyAlignment="1">
      <alignment horizontal="righ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5" xfId="0" applyFont="1" applyBorder="1" applyAlignment="1">
      <alignment vertical="top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7" xfId="0" applyFont="1" applyBorder="1" applyAlignment="1">
      <alignment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vertical="top" wrapText="1"/>
    </xf>
    <xf numFmtId="0" fontId="21" fillId="0" borderId="8" xfId="0" applyFont="1" applyFill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21" fillId="0" borderId="0" xfId="0" applyFont="1" applyBorder="1" applyAlignment="1">
      <alignment vertical="top" wrapText="1"/>
    </xf>
    <xf numFmtId="0" fontId="21" fillId="0" borderId="6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3" fillId="12" borderId="12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21" fillId="0" borderId="10" xfId="0" applyFont="1" applyFill="1" applyBorder="1" applyAlignment="1">
      <alignment vertical="top" wrapText="1"/>
    </xf>
    <xf numFmtId="0" fontId="21" fillId="0" borderId="5" xfId="0" applyFont="1" applyFill="1" applyBorder="1" applyAlignment="1">
      <alignment vertical="top" wrapText="1"/>
    </xf>
    <xf numFmtId="0" fontId="15" fillId="7" borderId="4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8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/>
    </xf>
    <xf numFmtId="164" fontId="0" fillId="0" borderId="4" xfId="0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164" fontId="3" fillId="0" borderId="9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0" fillId="0" borderId="0" xfId="0" applyFont="1" applyAlignment="1"/>
    <xf numFmtId="0" fontId="0" fillId="0" borderId="15" xfId="0" applyFont="1" applyFill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22" fillId="0" borderId="9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3" fillId="12" borderId="12" xfId="0" applyFont="1" applyFill="1" applyBorder="1" applyAlignment="1">
      <alignment horizontal="left" vertical="top" wrapText="1"/>
    </xf>
    <xf numFmtId="0" fontId="3" fillId="12" borderId="4" xfId="0" applyFont="1" applyFill="1" applyBorder="1" applyAlignment="1">
      <alignment vertical="top" wrapText="1"/>
    </xf>
    <xf numFmtId="0" fontId="22" fillId="12" borderId="4" xfId="0" applyFont="1" applyFill="1" applyBorder="1" applyAlignment="1">
      <alignment vertical="top" wrapText="1"/>
    </xf>
    <xf numFmtId="0" fontId="0" fillId="0" borderId="27" xfId="0" applyFont="1" applyFill="1" applyBorder="1" applyAlignment="1">
      <alignment horizontal="left" vertical="top" wrapText="1"/>
    </xf>
    <xf numFmtId="0" fontId="3" fillId="12" borderId="9" xfId="0" applyFont="1" applyFill="1" applyBorder="1" applyAlignment="1">
      <alignment vertical="top" wrapText="1"/>
    </xf>
    <xf numFmtId="0" fontId="3" fillId="12" borderId="12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vertical="top" wrapText="1"/>
    </xf>
    <xf numFmtId="0" fontId="14" fillId="9" borderId="12" xfId="0" applyFont="1" applyFill="1" applyBorder="1" applyAlignment="1">
      <alignment horizontal="left" vertical="top" wrapText="1"/>
    </xf>
    <xf numFmtId="0" fontId="14" fillId="9" borderId="4" xfId="0" applyFont="1" applyFill="1" applyBorder="1" applyAlignment="1">
      <alignment horizontal="left" vertical="top" wrapText="1"/>
    </xf>
    <xf numFmtId="4" fontId="0" fillId="0" borderId="15" xfId="0" applyNumberFormat="1" applyFont="1" applyBorder="1" applyAlignment="1">
      <alignment horizontal="left" vertical="top" wrapText="1"/>
    </xf>
    <xf numFmtId="0" fontId="3" fillId="12" borderId="0" xfId="0" applyFont="1" applyFill="1" applyBorder="1" applyAlignment="1">
      <alignment vertical="top" wrapText="1"/>
    </xf>
    <xf numFmtId="0" fontId="15" fillId="7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3" fontId="0" fillId="0" borderId="0" xfId="0" applyNumberFormat="1" applyFont="1" applyAlignment="1">
      <alignment horizontal="right" vertical="top"/>
    </xf>
    <xf numFmtId="3" fontId="0" fillId="0" borderId="0" xfId="0" applyNumberFormat="1" applyFont="1" applyFill="1" applyAlignment="1">
      <alignment horizontal="right" vertical="top"/>
    </xf>
    <xf numFmtId="3" fontId="0" fillId="0" borderId="0" xfId="0" applyNumberFormat="1" applyFont="1" applyAlignment="1">
      <alignment vertical="top"/>
    </xf>
    <xf numFmtId="3" fontId="0" fillId="0" borderId="5" xfId="0" applyNumberFormat="1" applyFont="1" applyBorder="1" applyAlignment="1">
      <alignment vertical="top"/>
    </xf>
    <xf numFmtId="3" fontId="0" fillId="0" borderId="0" xfId="0" applyNumberFormat="1" applyFont="1" applyFill="1" applyBorder="1" applyAlignment="1">
      <alignment horizontal="right" vertical="top"/>
    </xf>
    <xf numFmtId="3" fontId="0" fillId="0" borderId="7" xfId="0" applyNumberFormat="1" applyFont="1" applyBorder="1" applyAlignment="1">
      <alignment vertical="top"/>
    </xf>
    <xf numFmtId="168" fontId="0" fillId="0" borderId="0" xfId="0" applyNumberFormat="1" applyFont="1" applyFill="1" applyBorder="1" applyAlignment="1">
      <alignment horizontal="center" vertical="top" wrapText="1"/>
    </xf>
    <xf numFmtId="3" fontId="0" fillId="0" borderId="0" xfId="0" applyNumberFormat="1" applyFont="1" applyBorder="1" applyAlignment="1">
      <alignment horizontal="right" vertical="top"/>
    </xf>
    <xf numFmtId="3" fontId="0" fillId="0" borderId="0" xfId="0" applyNumberFormat="1" applyFont="1" applyBorder="1" applyAlignment="1">
      <alignment vertical="top"/>
    </xf>
    <xf numFmtId="0" fontId="0" fillId="0" borderId="0" xfId="0" applyFont="1" applyAlignment="1">
      <alignment vertical="top"/>
    </xf>
    <xf numFmtId="3" fontId="3" fillId="0" borderId="12" xfId="0" applyNumberFormat="1" applyFont="1" applyBorder="1" applyAlignment="1">
      <alignment horizontal="right" vertical="top"/>
    </xf>
    <xf numFmtId="3" fontId="3" fillId="0" borderId="13" xfId="0" applyNumberFormat="1" applyFont="1" applyBorder="1" applyAlignment="1">
      <alignment horizontal="right" vertical="top"/>
    </xf>
    <xf numFmtId="3" fontId="3" fillId="12" borderId="11" xfId="0" applyNumberFormat="1" applyFont="1" applyFill="1" applyBorder="1" applyAlignment="1">
      <alignment horizontal="right" vertical="top"/>
    </xf>
    <xf numFmtId="3" fontId="3" fillId="12" borderId="12" xfId="0" applyNumberFormat="1" applyFont="1" applyFill="1" applyBorder="1" applyAlignment="1">
      <alignment horizontal="right" vertical="top"/>
    </xf>
    <xf numFmtId="3" fontId="3" fillId="12" borderId="13" xfId="0" applyNumberFormat="1" applyFont="1" applyFill="1" applyBorder="1" applyAlignment="1">
      <alignment horizontal="right" vertical="top"/>
    </xf>
    <xf numFmtId="3" fontId="0" fillId="0" borderId="7" xfId="0" applyNumberFormat="1" applyFont="1" applyBorder="1" applyAlignment="1">
      <alignment horizontal="right" vertical="top"/>
    </xf>
    <xf numFmtId="3" fontId="0" fillId="0" borderId="7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3" fillId="0" borderId="13" xfId="0" applyNumberFormat="1" applyFont="1" applyFill="1" applyBorder="1" applyAlignment="1">
      <alignment horizontal="right" vertical="top"/>
    </xf>
    <xf numFmtId="164" fontId="0" fillId="0" borderId="4" xfId="0" applyNumberFormat="1" applyFont="1" applyBorder="1" applyAlignment="1">
      <alignment horizontal="left" vertical="top"/>
    </xf>
    <xf numFmtId="0" fontId="0" fillId="0" borderId="4" xfId="0" applyNumberFormat="1" applyFont="1" applyBorder="1" applyAlignment="1">
      <alignment horizontal="left" vertical="top" wrapText="1"/>
    </xf>
    <xf numFmtId="3" fontId="0" fillId="0" borderId="4" xfId="0" applyNumberFormat="1" applyFont="1" applyBorder="1" applyAlignment="1">
      <alignment vertical="top"/>
    </xf>
    <xf numFmtId="3" fontId="3" fillId="6" borderId="21" xfId="0" applyNumberFormat="1" applyFont="1" applyFill="1" applyBorder="1" applyAlignment="1">
      <alignment vertical="top"/>
    </xf>
    <xf numFmtId="3" fontId="3" fillId="6" borderId="21" xfId="0" applyNumberFormat="1" applyFont="1" applyFill="1" applyBorder="1" applyAlignment="1">
      <alignment vertical="top" wrapText="1"/>
    </xf>
    <xf numFmtId="3" fontId="3" fillId="6" borderId="22" xfId="0" applyNumberFormat="1" applyFont="1" applyFill="1" applyBorder="1" applyAlignment="1">
      <alignment vertical="top"/>
    </xf>
    <xf numFmtId="3" fontId="3" fillId="6" borderId="23" xfId="0" applyNumberFormat="1" applyFont="1" applyFill="1" applyBorder="1" applyAlignment="1">
      <alignment vertical="top"/>
    </xf>
    <xf numFmtId="164" fontId="3" fillId="0" borderId="9" xfId="0" applyNumberFormat="1" applyFont="1" applyBorder="1" applyAlignment="1">
      <alignment horizontal="left" vertical="top"/>
    </xf>
    <xf numFmtId="0" fontId="3" fillId="0" borderId="9" xfId="0" applyNumberFormat="1" applyFont="1" applyBorder="1" applyAlignment="1">
      <alignment horizontal="left" vertical="top"/>
    </xf>
    <xf numFmtId="3" fontId="3" fillId="0" borderId="9" xfId="0" applyNumberFormat="1" applyFont="1" applyBorder="1" applyAlignment="1">
      <alignment vertical="top"/>
    </xf>
    <xf numFmtId="3" fontId="3" fillId="8" borderId="24" xfId="0" applyNumberFormat="1" applyFont="1" applyFill="1" applyBorder="1" applyAlignment="1">
      <alignment vertical="top"/>
    </xf>
    <xf numFmtId="3" fontId="3" fillId="6" borderId="24" xfId="0" applyNumberFormat="1" applyFont="1" applyFill="1" applyBorder="1" applyAlignment="1">
      <alignment vertical="top"/>
    </xf>
    <xf numFmtId="3" fontId="3" fillId="6" borderId="25" xfId="0" applyNumberFormat="1" applyFont="1" applyFill="1" applyBorder="1" applyAlignment="1">
      <alignment vertical="top"/>
    </xf>
    <xf numFmtId="3" fontId="14" fillId="9" borderId="12" xfId="0" applyNumberFormat="1" applyFont="1" applyFill="1" applyBorder="1" applyAlignment="1">
      <alignment horizontal="right" vertical="top"/>
    </xf>
    <xf numFmtId="3" fontId="14" fillId="9" borderId="13" xfId="0" applyNumberFormat="1" applyFont="1" applyFill="1" applyBorder="1" applyAlignment="1">
      <alignment horizontal="right" vertical="top"/>
    </xf>
    <xf numFmtId="3" fontId="0" fillId="0" borderId="0" xfId="0" applyNumberFormat="1" applyFont="1" applyFill="1" applyBorder="1" applyAlignment="1">
      <alignment vertical="top"/>
    </xf>
    <xf numFmtId="3" fontId="0" fillId="0" borderId="4" xfId="0" applyNumberFormat="1" applyFont="1" applyBorder="1" applyAlignment="1">
      <alignment horizontal="right" vertical="top"/>
    </xf>
    <xf numFmtId="3" fontId="0" fillId="0" borderId="4" xfId="0" applyNumberFormat="1" applyFont="1" applyFill="1" applyBorder="1" applyAlignment="1">
      <alignment horizontal="right" vertical="top"/>
    </xf>
    <xf numFmtId="3" fontId="0" fillId="0" borderId="5" xfId="0" applyNumberFormat="1" applyFont="1" applyBorder="1" applyAlignment="1">
      <alignment horizontal="right" vertical="top"/>
    </xf>
    <xf numFmtId="3" fontId="15" fillId="7" borderId="3" xfId="0" applyNumberFormat="1" applyFont="1" applyFill="1" applyBorder="1" applyAlignment="1">
      <alignment horizontal="right" vertical="top"/>
    </xf>
    <xf numFmtId="3" fontId="15" fillId="7" borderId="4" xfId="0" applyNumberFormat="1" applyFont="1" applyFill="1" applyBorder="1" applyAlignment="1">
      <alignment horizontal="right" vertical="top"/>
    </xf>
    <xf numFmtId="3" fontId="15" fillId="7" borderId="5" xfId="0" applyNumberFormat="1" applyFont="1" applyFill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9" xfId="0" applyNumberFormat="1" applyFont="1" applyFill="1" applyBorder="1" applyAlignment="1">
      <alignment horizontal="right" vertical="top"/>
    </xf>
    <xf numFmtId="3" fontId="3" fillId="0" borderId="10" xfId="0" applyNumberFormat="1" applyFont="1" applyFill="1" applyBorder="1" applyAlignment="1">
      <alignment horizontal="right" vertical="top"/>
    </xf>
    <xf numFmtId="168" fontId="0" fillId="0" borderId="0" xfId="0" applyNumberFormat="1" applyFont="1" applyFill="1" applyBorder="1" applyAlignment="1">
      <alignment horizontal="right" vertical="top" wrapText="1"/>
    </xf>
    <xf numFmtId="4" fontId="0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3" fillId="0" borderId="9" xfId="0" applyFont="1" applyBorder="1" applyAlignment="1">
      <alignment horizontal="right" vertical="center" wrapText="1"/>
    </xf>
    <xf numFmtId="0" fontId="3" fillId="8" borderId="24" xfId="0" applyFont="1" applyFill="1" applyBorder="1" applyAlignment="1">
      <alignment horizontal="right" vertical="center" wrapText="1"/>
    </xf>
    <xf numFmtId="0" fontId="3" fillId="6" borderId="24" xfId="0" applyFont="1" applyFill="1" applyBorder="1" applyAlignment="1">
      <alignment horizontal="right" vertical="center"/>
    </xf>
    <xf numFmtId="0" fontId="3" fillId="6" borderId="2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/>
    </xf>
    <xf numFmtId="3" fontId="0" fillId="0" borderId="7" xfId="0" applyNumberFormat="1" applyFont="1" applyFill="1" applyBorder="1" applyAlignment="1">
      <alignment vertical="top"/>
    </xf>
    <xf numFmtId="0" fontId="0" fillId="0" borderId="15" xfId="0" applyFont="1" applyFill="1" applyBorder="1" applyAlignment="1">
      <alignment vertical="top"/>
    </xf>
    <xf numFmtId="0" fontId="3" fillId="8" borderId="14" xfId="0" applyFont="1" applyFill="1" applyBorder="1" applyAlignment="1">
      <alignment horizontal="right" vertical="center" wrapText="1"/>
    </xf>
    <xf numFmtId="0" fontId="3" fillId="6" borderId="14" xfId="0" applyFont="1" applyFill="1" applyBorder="1" applyAlignment="1">
      <alignment horizontal="right" vertical="center"/>
    </xf>
    <xf numFmtId="0" fontId="3" fillId="6" borderId="26" xfId="0" applyFont="1" applyFill="1" applyBorder="1" applyAlignment="1">
      <alignment horizontal="right" vertical="center"/>
    </xf>
    <xf numFmtId="3" fontId="3" fillId="12" borderId="11" xfId="0" applyNumberFormat="1" applyFont="1" applyFill="1" applyBorder="1" applyAlignment="1">
      <alignment horizontal="right" vertical="top" wrapText="1"/>
    </xf>
    <xf numFmtId="3" fontId="3" fillId="12" borderId="12" xfId="0" applyNumberFormat="1" applyFont="1" applyFill="1" applyBorder="1" applyAlignment="1">
      <alignment horizontal="right" vertical="top" wrapText="1"/>
    </xf>
    <xf numFmtId="3" fontId="3" fillId="12" borderId="13" xfId="0" applyNumberFormat="1" applyFont="1" applyFill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3" fontId="0" fillId="0" borderId="5" xfId="0" applyNumberFormat="1" applyFont="1" applyFill="1" applyBorder="1" applyAlignment="1">
      <alignment horizontal="right" vertical="top"/>
    </xf>
    <xf numFmtId="3" fontId="3" fillId="0" borderId="11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3" fontId="0" fillId="0" borderId="9" xfId="0" applyNumberFormat="1" applyFont="1" applyFill="1" applyBorder="1" applyAlignment="1">
      <alignment horizontal="right" vertical="top"/>
    </xf>
    <xf numFmtId="3" fontId="0" fillId="0" borderId="9" xfId="0" applyNumberFormat="1" applyFont="1" applyFill="1" applyBorder="1" applyAlignment="1">
      <alignment vertical="top"/>
    </xf>
    <xf numFmtId="0" fontId="3" fillId="0" borderId="13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3" fontId="3" fillId="0" borderId="11" xfId="0" applyNumberFormat="1" applyFont="1" applyFill="1" applyBorder="1" applyAlignment="1">
      <alignment vertical="top"/>
    </xf>
    <xf numFmtId="3" fontId="3" fillId="0" borderId="12" xfId="0" applyNumberFormat="1" applyFont="1" applyFill="1" applyBorder="1" applyAlignment="1">
      <alignment vertical="top"/>
    </xf>
    <xf numFmtId="3" fontId="3" fillId="0" borderId="13" xfId="0" applyNumberFormat="1" applyFont="1" applyFill="1" applyBorder="1" applyAlignment="1">
      <alignment vertical="top"/>
    </xf>
    <xf numFmtId="3" fontId="0" fillId="0" borderId="10" xfId="0" applyNumberFormat="1" applyFont="1" applyFill="1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3" fontId="0" fillId="0" borderId="5" xfId="0" applyNumberFormat="1" applyFont="1" applyFill="1" applyBorder="1" applyAlignment="1">
      <alignment vertical="top"/>
    </xf>
    <xf numFmtId="0" fontId="0" fillId="0" borderId="8" xfId="0" applyBorder="1" applyAlignment="1">
      <alignment horizontal="left" vertical="top"/>
    </xf>
    <xf numFmtId="3" fontId="0" fillId="0" borderId="10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0" fillId="0" borderId="0" xfId="0" applyFill="1" applyAlignment="1">
      <alignment vertical="center"/>
    </xf>
    <xf numFmtId="0" fontId="6" fillId="4" borderId="1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top" wrapText="1"/>
    </xf>
    <xf numFmtId="2" fontId="0" fillId="0" borderId="0" xfId="0" applyNumberFormat="1" applyAlignment="1">
      <alignment horizontal="right"/>
    </xf>
    <xf numFmtId="0" fontId="6" fillId="3" borderId="0" xfId="0" applyFont="1" applyFill="1" applyBorder="1" applyAlignment="1">
      <alignment horizontal="right" vertical="top" wrapText="1"/>
    </xf>
    <xf numFmtId="0" fontId="6" fillId="3" borderId="0" xfId="0" applyFont="1" applyFill="1" applyBorder="1" applyAlignment="1">
      <alignment horizontal="left" vertical="top" wrapText="1"/>
    </xf>
    <xf numFmtId="167" fontId="0" fillId="0" borderId="2" xfId="0" applyNumberFormat="1" applyBorder="1"/>
    <xf numFmtId="0" fontId="6" fillId="5" borderId="0" xfId="0" applyFont="1" applyFill="1" applyBorder="1" applyAlignment="1">
      <alignment horizontal="right" vertical="top" wrapText="1"/>
    </xf>
    <xf numFmtId="0" fontId="6" fillId="5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3" fillId="6" borderId="0" xfId="0" applyFont="1" applyFill="1" applyAlignment="1">
      <alignment horizontal="right" vertical="top" wrapText="1"/>
    </xf>
    <xf numFmtId="0" fontId="3" fillId="6" borderId="0" xfId="0" applyFont="1" applyFill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3" fontId="0" fillId="6" borderId="3" xfId="0" applyNumberFormat="1" applyFill="1" applyBorder="1" applyAlignment="1">
      <alignment horizontal="right" vertical="center"/>
    </xf>
    <xf numFmtId="3" fontId="0" fillId="6" borderId="4" xfId="0" applyNumberFormat="1" applyFill="1" applyBorder="1" applyAlignment="1">
      <alignment horizontal="right" vertical="center"/>
    </xf>
    <xf numFmtId="3" fontId="0" fillId="6" borderId="5" xfId="0" applyNumberForma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6" borderId="6" xfId="0" applyNumberFormat="1" applyFill="1" applyBorder="1" applyAlignment="1">
      <alignment horizontal="right" vertical="center"/>
    </xf>
    <xf numFmtId="3" fontId="0" fillId="6" borderId="0" xfId="0" applyNumberFormat="1" applyFill="1" applyBorder="1" applyAlignment="1">
      <alignment horizontal="right" vertical="center"/>
    </xf>
    <xf numFmtId="3" fontId="0" fillId="6" borderId="7" xfId="0" applyNumberFormat="1" applyFill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9" fontId="0" fillId="0" borderId="4" xfId="3" applyNumberFormat="1" applyFont="1" applyBorder="1" applyAlignment="1">
      <alignment horizontal="right" vertical="center"/>
    </xf>
    <xf numFmtId="9" fontId="0" fillId="0" borderId="5" xfId="3" applyNumberFormat="1" applyFont="1" applyBorder="1" applyAlignment="1">
      <alignment horizontal="right" vertical="center"/>
    </xf>
    <xf numFmtId="9" fontId="0" fillId="0" borderId="0" xfId="3" applyNumberFormat="1" applyFont="1" applyBorder="1" applyAlignment="1">
      <alignment horizontal="right" vertical="center"/>
    </xf>
    <xf numFmtId="9" fontId="0" fillId="0" borderId="7" xfId="3" applyNumberFormat="1" applyFont="1" applyBorder="1" applyAlignment="1">
      <alignment horizontal="right" vertical="center"/>
    </xf>
    <xf numFmtId="9" fontId="0" fillId="0" borderId="9" xfId="3" applyNumberFormat="1" applyFont="1" applyBorder="1" applyAlignment="1">
      <alignment horizontal="right" vertical="center"/>
    </xf>
    <xf numFmtId="9" fontId="0" fillId="0" borderId="10" xfId="3" applyNumberFormat="1" applyFont="1" applyBorder="1" applyAlignment="1">
      <alignment horizontal="right" vertical="center"/>
    </xf>
    <xf numFmtId="3" fontId="3" fillId="8" borderId="19" xfId="0" applyNumberFormat="1" applyFont="1" applyFill="1" applyBorder="1" applyAlignment="1">
      <alignment vertical="top" wrapText="1"/>
    </xf>
    <xf numFmtId="3" fontId="3" fillId="8" borderId="20" xfId="0" applyNumberFormat="1" applyFont="1" applyFill="1" applyBorder="1" applyAlignment="1">
      <alignment vertical="top" wrapText="1"/>
    </xf>
    <xf numFmtId="3" fontId="3" fillId="6" borderId="18" xfId="0" applyNumberFormat="1" applyFont="1" applyFill="1" applyBorder="1" applyAlignment="1">
      <alignment vertical="top"/>
    </xf>
    <xf numFmtId="3" fontId="3" fillId="6" borderId="19" xfId="0" applyNumberFormat="1" applyFont="1" applyFill="1" applyBorder="1" applyAlignment="1">
      <alignment vertical="top"/>
    </xf>
    <xf numFmtId="3" fontId="3" fillId="6" borderId="20" xfId="0" applyNumberFormat="1" applyFont="1" applyFill="1" applyBorder="1" applyAlignment="1">
      <alignment vertical="top"/>
    </xf>
    <xf numFmtId="3" fontId="3" fillId="6" borderId="18" xfId="0" applyNumberFormat="1" applyFont="1" applyFill="1" applyBorder="1" applyAlignment="1">
      <alignment vertical="top" wrapText="1"/>
    </xf>
    <xf numFmtId="3" fontId="3" fillId="6" borderId="19" xfId="0" applyNumberFormat="1" applyFont="1" applyFill="1" applyBorder="1" applyAlignment="1">
      <alignment vertical="top" wrapText="1"/>
    </xf>
    <xf numFmtId="3" fontId="3" fillId="6" borderId="20" xfId="0" applyNumberFormat="1" applyFont="1" applyFill="1" applyBorder="1" applyAlignment="1">
      <alignment vertical="top" wrapText="1"/>
    </xf>
    <xf numFmtId="0" fontId="3" fillId="6" borderId="18" xfId="0" applyFont="1" applyFill="1" applyBorder="1" applyAlignment="1">
      <alignment vertical="center" wrapText="1"/>
    </xf>
    <xf numFmtId="0" fontId="3" fillId="6" borderId="19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vertical="center" wrapText="1"/>
    </xf>
    <xf numFmtId="0" fontId="3" fillId="8" borderId="19" xfId="0" applyFont="1" applyFill="1" applyBorder="1" applyAlignment="1">
      <alignment vertical="center" wrapText="1"/>
    </xf>
    <xf numFmtId="0" fontId="3" fillId="8" borderId="20" xfId="0" applyFont="1" applyFill="1" applyBorder="1" applyAlignment="1">
      <alignment vertical="center" wrapText="1"/>
    </xf>
    <xf numFmtId="0" fontId="3" fillId="12" borderId="11" xfId="0" applyFont="1" applyFill="1" applyBorder="1" applyAlignment="1">
      <alignment horizontal="left" vertical="top" wrapText="1"/>
    </xf>
    <xf numFmtId="0" fontId="3" fillId="12" borderId="12" xfId="0" applyFont="1" applyFill="1" applyBorder="1" applyAlignment="1">
      <alignment horizontal="left" vertical="top" wrapText="1"/>
    </xf>
    <xf numFmtId="0" fontId="3" fillId="6" borderId="18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12" borderId="11" xfId="0" applyFont="1" applyFill="1" applyBorder="1" applyAlignment="1">
      <alignment horizontal="left" vertical="center" wrapText="1"/>
    </xf>
    <xf numFmtId="0" fontId="3" fillId="12" borderId="12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7">
    <cellStyle name="Čiarka 2" xfId="2"/>
    <cellStyle name="Hypertextové prepojenie" xfId="6" builtinId="8"/>
    <cellStyle name="Normálna" xfId="0" builtinId="0"/>
    <cellStyle name="Normálna 13" xfId="5"/>
    <cellStyle name="Normálne 2" xfId="1"/>
    <cellStyle name="Normálne 3" xfId="4"/>
    <cellStyle name="Percentá" xfId="3" builtinId="5"/>
  </cellStyles>
  <dxfs count="19"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ont>
        <b/>
        <i val="0"/>
      </font>
      <fill>
        <patternFill>
          <bgColor rgb="FF00B0F0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92D050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34998626667073579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Alokácia harmonogramu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530403979222895"/>
          <c:y val="0.12301824212271976"/>
          <c:w val="0.82650015601196658"/>
          <c:h val="0.56123137592875516"/>
        </c:manualLayout>
      </c:layout>
      <c:areaChart>
        <c:grouping val="stacked"/>
        <c:varyColors val="0"/>
        <c:ser>
          <c:idx val="0"/>
          <c:order val="0"/>
          <c:tx>
            <c:strRef>
              <c:f>Súhrn_Prehľad!$A$2</c:f>
              <c:strCache>
                <c:ptCount val="1"/>
                <c:pt idx="0">
                  <c:v>Suma projektov/stavieb vo výstavbe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Súhrn_Prehľad!$B$1:$K$1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Súhrn_Prehľad!$B$2:$K$2</c:f>
              <c:numCache>
                <c:formatCode>#,##0</c:formatCode>
                <c:ptCount val="10"/>
                <c:pt idx="0">
                  <c:v>175609715.06000003</c:v>
                </c:pt>
                <c:pt idx="1">
                  <c:v>368907724.75</c:v>
                </c:pt>
                <c:pt idx="2">
                  <c:v>354703199.99999994</c:v>
                </c:pt>
                <c:pt idx="3">
                  <c:v>80651456.329999998</c:v>
                </c:pt>
                <c:pt idx="4">
                  <c:v>2861956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9-47CA-A051-8E79FC06324C}"/>
            </c:ext>
          </c:extLst>
        </c:ser>
        <c:ser>
          <c:idx val="1"/>
          <c:order val="1"/>
          <c:tx>
            <c:strRef>
              <c:f>Súhrn_Prehľad!$A$5</c:f>
              <c:strCache>
                <c:ptCount val="1"/>
                <c:pt idx="0">
                  <c:v>Suma projektov/stavieb vo vysokom stupni prípravy, projektová príprava a štúdie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Súhrn_Prehľad!$B$1:$K$1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Súhrn_Prehľad!$B$5:$K$5</c:f>
              <c:numCache>
                <c:formatCode>#,##0</c:formatCode>
                <c:ptCount val="10"/>
                <c:pt idx="0">
                  <c:v>6387650.7699999996</c:v>
                </c:pt>
                <c:pt idx="1">
                  <c:v>82568723.092946053</c:v>
                </c:pt>
                <c:pt idx="2">
                  <c:v>186065376.86991113</c:v>
                </c:pt>
                <c:pt idx="3">
                  <c:v>254112400.02714285</c:v>
                </c:pt>
                <c:pt idx="4">
                  <c:v>406942600</c:v>
                </c:pt>
                <c:pt idx="5">
                  <c:v>407493559.98000002</c:v>
                </c:pt>
                <c:pt idx="6">
                  <c:v>115550000</c:v>
                </c:pt>
                <c:pt idx="7">
                  <c:v>54973000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9-47CA-A051-8E79FC06324C}"/>
            </c:ext>
          </c:extLst>
        </c:ser>
        <c:ser>
          <c:idx val="2"/>
          <c:order val="2"/>
          <c:tx>
            <c:strRef>
              <c:f>Súhrn_Prehľad!$A$9</c:f>
              <c:strCache>
                <c:ptCount val="1"/>
                <c:pt idx="0">
                  <c:v>Suma nových projektov podľa priorizácie, cielené a fin. návratné projekty, rezerva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Súhrn_Prehľad!$B$1:$K$1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Súhrn_Prehľad!$B$9:$K$9</c:f>
              <c:numCache>
                <c:formatCode>#,##0</c:formatCode>
                <c:ptCount val="10"/>
                <c:pt idx="0">
                  <c:v>0</c:v>
                </c:pt>
                <c:pt idx="1">
                  <c:v>21876423.583672941</c:v>
                </c:pt>
                <c:pt idx="2">
                  <c:v>31926094.100977369</c:v>
                </c:pt>
                <c:pt idx="3">
                  <c:v>36613060.370977372</c:v>
                </c:pt>
                <c:pt idx="4">
                  <c:v>97657716.340977371</c:v>
                </c:pt>
                <c:pt idx="5">
                  <c:v>117107466.18097739</c:v>
                </c:pt>
                <c:pt idx="6">
                  <c:v>332005557.97641969</c:v>
                </c:pt>
                <c:pt idx="7">
                  <c:v>439679793.09478611</c:v>
                </c:pt>
                <c:pt idx="8">
                  <c:v>444271811.09478605</c:v>
                </c:pt>
                <c:pt idx="9">
                  <c:v>455806337.63048708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C9-47CA-A051-8E79FC06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47040"/>
        <c:axId val="137237632"/>
      </c:areaChart>
      <c:lineChart>
        <c:grouping val="standard"/>
        <c:varyColors val="0"/>
        <c:ser>
          <c:idx val="4"/>
          <c:order val="3"/>
          <c:tx>
            <c:strRef>
              <c:f>Súhrn_Prehľad!$A$13</c:f>
              <c:strCache>
                <c:ptCount val="1"/>
                <c:pt idx="0">
                  <c:v>0,4% HDP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Súhrn_Prehľad!$B$13:$K$13</c:f>
              <c:numCache>
                <c:formatCode>#,##0</c:formatCode>
                <c:ptCount val="10"/>
                <c:pt idx="0">
                  <c:v>352122013.77589434</c:v>
                </c:pt>
                <c:pt idx="1">
                  <c:v>366931124.11526299</c:v>
                </c:pt>
                <c:pt idx="2">
                  <c:v>385268286.33042908</c:v>
                </c:pt>
                <c:pt idx="3">
                  <c:v>388017458.65171349</c:v>
                </c:pt>
                <c:pt idx="4">
                  <c:v>394225737.99014086</c:v>
                </c:pt>
                <c:pt idx="5">
                  <c:v>400533349.79798311</c:v>
                </c:pt>
                <c:pt idx="6">
                  <c:v>406941883.39475083</c:v>
                </c:pt>
                <c:pt idx="7">
                  <c:v>413452953.52906686</c:v>
                </c:pt>
                <c:pt idx="8">
                  <c:v>420068200.78553194</c:v>
                </c:pt>
                <c:pt idx="9">
                  <c:v>427209360.19888592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9-47CA-A051-8E79FC06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47040"/>
        <c:axId val="137237632"/>
      </c:lineChart>
      <c:catAx>
        <c:axId val="13704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7237632"/>
        <c:crosses val="autoZero"/>
        <c:auto val="1"/>
        <c:lblAlgn val="ctr"/>
        <c:lblOffset val="100"/>
        <c:noMultiLvlLbl val="0"/>
      </c:catAx>
      <c:valAx>
        <c:axId val="13723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704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29923095277438"/>
          <c:y val="0.76119246288243825"/>
          <c:w val="0.80531762201053569"/>
          <c:h val="0.21890703960512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Zdroje financovania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Súhrn_Prehľad!$A$20</c:f>
              <c:strCache>
                <c:ptCount val="1"/>
                <c:pt idx="0">
                  <c:v>Štátny rozpočet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Súhrn_Prehľad!$B$1:$K$1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Súhrn_Prehľad!$B$20:$K$20</c:f>
              <c:numCache>
                <c:formatCode>#,##0</c:formatCode>
                <c:ptCount val="10"/>
                <c:pt idx="0">
                  <c:v>57473669.270000003</c:v>
                </c:pt>
                <c:pt idx="1">
                  <c:v>206166966.00853518</c:v>
                </c:pt>
                <c:pt idx="2">
                  <c:v>163061037.82534367</c:v>
                </c:pt>
                <c:pt idx="3">
                  <c:v>101747977.1910488</c:v>
                </c:pt>
                <c:pt idx="4">
                  <c:v>98372418.340977371</c:v>
                </c:pt>
                <c:pt idx="5">
                  <c:v>97280283.160977364</c:v>
                </c:pt>
                <c:pt idx="6">
                  <c:v>281366814.97641969</c:v>
                </c:pt>
                <c:pt idx="7">
                  <c:v>410302833.09478611</c:v>
                </c:pt>
                <c:pt idx="8">
                  <c:v>444271811.09478605</c:v>
                </c:pt>
                <c:pt idx="9">
                  <c:v>455806337.63048708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E-42B0-966C-D3F1D4A3775C}"/>
            </c:ext>
          </c:extLst>
        </c:ser>
        <c:ser>
          <c:idx val="1"/>
          <c:order val="1"/>
          <c:tx>
            <c:strRef>
              <c:f>Súhrn_Prehľad!$A$21</c:f>
              <c:strCache>
                <c:ptCount val="1"/>
                <c:pt idx="0">
                  <c:v>Zdroje EÚ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Súhrn_Prehľad!$B$1:$K$1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Súhrn_Prehľad!$B$21:$K$21</c:f>
              <c:numCache>
                <c:formatCode>#,##0</c:formatCode>
                <c:ptCount val="10"/>
                <c:pt idx="0">
                  <c:v>111656761.72999999</c:v>
                </c:pt>
                <c:pt idx="1">
                  <c:v>264762354.67808381</c:v>
                </c:pt>
                <c:pt idx="2">
                  <c:v>408963633.14554471</c:v>
                </c:pt>
                <c:pt idx="3">
                  <c:v>262718939.53707144</c:v>
                </c:pt>
                <c:pt idx="4">
                  <c:v>395858854</c:v>
                </c:pt>
                <c:pt idx="5">
                  <c:v>410569743</c:v>
                </c:pt>
                <c:pt idx="6">
                  <c:v>155638743</c:v>
                </c:pt>
                <c:pt idx="7">
                  <c:v>81849960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E-42B0-966C-D3F1D4A3775C}"/>
            </c:ext>
          </c:extLst>
        </c:ser>
        <c:ser>
          <c:idx val="2"/>
          <c:order val="2"/>
          <c:tx>
            <c:strRef>
              <c:f>Súhrn_Prehľad!$A$22</c:f>
              <c:strCache>
                <c:ptCount val="1"/>
                <c:pt idx="0">
                  <c:v>Iné zdroje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Súhrn_Prehľad!$B$22:$K$22</c:f>
              <c:numCache>
                <c:formatCode>#,##0</c:formatCode>
                <c:ptCount val="10"/>
                <c:pt idx="0">
                  <c:v>12866934.830000002</c:v>
                </c:pt>
                <c:pt idx="1">
                  <c:v>2423550.7400000002</c:v>
                </c:pt>
                <c:pt idx="2">
                  <c:v>670000</c:v>
                </c:pt>
                <c:pt idx="3">
                  <c:v>6910000</c:v>
                </c:pt>
                <c:pt idx="4">
                  <c:v>13231000</c:v>
                </c:pt>
                <c:pt idx="5">
                  <c:v>16751000</c:v>
                </c:pt>
                <c:pt idx="6">
                  <c:v>10550000</c:v>
                </c:pt>
                <c:pt idx="7">
                  <c:v>2500000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8-4BE5-B047-5A90C3CF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821312"/>
        <c:axId val="149822848"/>
      </c:barChart>
      <c:catAx>
        <c:axId val="14982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9822848"/>
        <c:crosses val="autoZero"/>
        <c:auto val="1"/>
        <c:lblAlgn val="ctr"/>
        <c:lblOffset val="100"/>
        <c:noMultiLvlLbl val="0"/>
      </c:catAx>
      <c:valAx>
        <c:axId val="14982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982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23</xdr:row>
      <xdr:rowOff>19050</xdr:rowOff>
    </xdr:from>
    <xdr:to>
      <xdr:col>3</xdr:col>
      <xdr:colOff>233548</xdr:colOff>
      <xdr:row>43</xdr:row>
      <xdr:rowOff>169050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304800</xdr:colOff>
      <xdr:row>23</xdr:row>
      <xdr:rowOff>47625</xdr:rowOff>
    </xdr:from>
    <xdr:to>
      <xdr:col>10</xdr:col>
      <xdr:colOff>852675</xdr:colOff>
      <xdr:row>44</xdr:row>
      <xdr:rowOff>7125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s://www.mfsr.sk/sk/financie/institut-financnej-politiky/ekonomicke-prognozy/makroekonomicke-prognozy/57-zasadnutie-vyboru-makroekonomicke-prognozy-september-2021.html" TargetMode="External"/><Relationship Id="rId1" Type="http://schemas.openxmlformats.org/officeDocument/2006/relationships/hyperlink" Target="https://ec.europa.eu/info/publications/2021-ageing-report-economic-and-budgetary-projections-eu-member-states-2019-2070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143"/>
  <sheetViews>
    <sheetView tabSelected="1" zoomScale="70" zoomScaleNormal="70" workbookViewId="0">
      <pane ySplit="2" topLeftCell="A3" activePane="bottomLeft" state="frozen"/>
      <selection pane="bottomLeft" activeCell="D83" sqref="D83"/>
    </sheetView>
  </sheetViews>
  <sheetFormatPr defaultColWidth="9.140625" defaultRowHeight="15" x14ac:dyDescent="0.25"/>
  <cols>
    <col min="1" max="1" width="14.7109375" style="12" customWidth="1"/>
    <col min="2" max="2" width="27.42578125" style="118" customWidth="1"/>
    <col min="3" max="3" width="75.140625" style="121" customWidth="1"/>
    <col min="4" max="4" width="66.5703125" style="121" customWidth="1"/>
    <col min="5" max="5" width="31.42578125" style="121" customWidth="1"/>
    <col min="6" max="6" width="13.85546875" style="121" customWidth="1"/>
    <col min="7" max="7" width="10.140625" style="121" customWidth="1"/>
    <col min="8" max="8" width="14.85546875" style="117" customWidth="1"/>
    <col min="9" max="9" width="15" style="14" customWidth="1"/>
    <col min="10" max="10" width="12.42578125" style="14" bestFit="1" customWidth="1"/>
    <col min="11" max="11" width="11.42578125" style="14" bestFit="1" customWidth="1"/>
    <col min="12" max="13" width="12" style="14" bestFit="1" customWidth="1"/>
    <col min="14" max="14" width="11.42578125" style="14" bestFit="1" customWidth="1"/>
    <col min="15" max="16" width="12" style="14" bestFit="1" customWidth="1"/>
    <col min="17" max="20" width="11.42578125" style="14" bestFit="1" customWidth="1"/>
    <col min="21" max="21" width="16.7109375" style="14" bestFit="1" customWidth="1"/>
    <col min="22" max="16384" width="9.140625" style="14"/>
  </cols>
  <sheetData>
    <row r="1" spans="1:22" x14ac:dyDescent="0.25">
      <c r="A1" s="235"/>
      <c r="B1" s="113"/>
      <c r="C1" s="156"/>
      <c r="D1" s="156"/>
      <c r="E1" s="156"/>
      <c r="F1" s="156"/>
      <c r="G1" s="149" t="str">
        <f>IF(ISBLANK(Harmonogram!J1),"",Harmonogram!J1)</f>
        <v/>
      </c>
      <c r="H1" s="128" t="str">
        <f>IF(ISBLANK(Harmonogram!L1),"",Harmonogram!L1)</f>
        <v/>
      </c>
      <c r="I1" s="128" t="str">
        <f>IF(ISBLANK(Harmonogram!M1),"",Harmonogram!M1)</f>
        <v/>
      </c>
      <c r="J1" s="166" t="str">
        <f>IF(ISBLANK(Harmonogram!X1),"",Harmonogram!X1)</f>
        <v>Do roku 2020</v>
      </c>
      <c r="K1" s="167">
        <f>IF(ISBLANK(Harmonogram!AJ1),"",Harmonogram!AJ1)</f>
        <v>2021</v>
      </c>
      <c r="L1" s="166">
        <f>IF(ISBLANK(Harmonogram!AV1),"",Harmonogram!AV1)</f>
        <v>2022</v>
      </c>
      <c r="M1" s="166">
        <f>IF(ISBLANK(Harmonogram!BH1),"",Harmonogram!BH1)</f>
        <v>2023</v>
      </c>
      <c r="N1" s="166">
        <f>IF(ISBLANK(Harmonogram!BT1),"",Harmonogram!BT1)</f>
        <v>2024</v>
      </c>
      <c r="O1" s="166">
        <f>IF(ISBLANK(Harmonogram!CF1),"",Harmonogram!CF1)</f>
        <v>2025</v>
      </c>
      <c r="P1" s="166">
        <f>IF(ISBLANK(Harmonogram!CR1),"",Harmonogram!CR1)</f>
        <v>2026</v>
      </c>
      <c r="Q1" s="166">
        <f>IF(ISBLANK(Harmonogram!DD1),"",Harmonogram!DD1)</f>
        <v>2027</v>
      </c>
      <c r="R1" s="166">
        <f>IF(ISBLANK(Harmonogram!DP1),"",Harmonogram!DP1)</f>
        <v>2028</v>
      </c>
      <c r="S1" s="166">
        <f>IF(ISBLANK(Harmonogram!EB1),"",Harmonogram!EB1)</f>
        <v>2029</v>
      </c>
      <c r="T1" s="168">
        <f>IF(ISBLANK(Harmonogram!EN1),"",Harmonogram!EN1)</f>
        <v>2030</v>
      </c>
    </row>
    <row r="2" spans="1:22" ht="75.75" thickBot="1" x14ac:dyDescent="0.3">
      <c r="A2" s="236"/>
      <c r="B2" s="116" t="s">
        <v>337</v>
      </c>
      <c r="C2" s="158" t="str">
        <f>IF(ISBLANK(Harmonogram!G2),"",Harmonogram!G2)</f>
        <v>Charakteristika projektu</v>
      </c>
      <c r="D2" s="158" t="str">
        <f>IF(ISBLANK(Harmonogram!H2),"",Harmonogram!H2)</f>
        <v>Prínosy projektu</v>
      </c>
      <c r="E2" s="158" t="str">
        <f>IF(ISBLANK(Harmonogram!I2),"",Harmonogram!I2)</f>
        <v>Význam trate</v>
      </c>
      <c r="F2" s="160" t="s">
        <v>1532</v>
      </c>
      <c r="G2" s="165" t="str">
        <f>IF(ISBLANK(Harmonogram!J2),"",Harmonogram!J2)</f>
        <v>Kapitola priorizácie</v>
      </c>
      <c r="H2" s="164" t="str">
        <f>IF(ISBLANK(Harmonogram!L2),"",Harmonogram!L2)</f>
        <v>Fáza prípravy</v>
      </c>
      <c r="I2" s="171" t="str">
        <f>IF(ISBLANK(Harmonogram!M2),"",Harmonogram!M2)</f>
        <v>Celkové náklady projektu</v>
      </c>
      <c r="J2" s="169" t="str">
        <f>IF(ISBLANK(Harmonogram!X2),"",Harmonogram!X2)</f>
        <v>SPOLU</v>
      </c>
      <c r="K2" s="169" t="str">
        <f>IF(ISBLANK(Harmonogram!AJ2),"",Harmonogram!AJ2)</f>
        <v>SPOLU</v>
      </c>
      <c r="L2" s="169" t="str">
        <f>IF(ISBLANK(Harmonogram!AV2),"",Harmonogram!AV2)</f>
        <v>SPOLU</v>
      </c>
      <c r="M2" s="169" t="str">
        <f>IF(ISBLANK(Harmonogram!BH2),"",Harmonogram!BH2)</f>
        <v>SPOLU</v>
      </c>
      <c r="N2" s="169" t="str">
        <f>IF(ISBLANK(Harmonogram!BT2),"",Harmonogram!BT2)</f>
        <v>SPOLU</v>
      </c>
      <c r="O2" s="169" t="str">
        <f>IF(ISBLANK(Harmonogram!CF2),"",Harmonogram!CF2)</f>
        <v>SPOLU</v>
      </c>
      <c r="P2" s="169" t="str">
        <f>IF(ISBLANK(Harmonogram!CR2),"",Harmonogram!CR2)</f>
        <v>SPOLU</v>
      </c>
      <c r="Q2" s="169" t="str">
        <f>IF(ISBLANK(Harmonogram!DD2),"",Harmonogram!DD2)</f>
        <v>SPOLU</v>
      </c>
      <c r="R2" s="169" t="str">
        <f>IF(ISBLANK(Harmonogram!DP2),"",Harmonogram!DP2)</f>
        <v>SPOLU</v>
      </c>
      <c r="S2" s="169" t="str">
        <f>IF(ISBLANK(Harmonogram!EB2),"",Harmonogram!EB2)</f>
        <v>SPOLU</v>
      </c>
      <c r="T2" s="170" t="str">
        <f>IF(ISBLANK(Harmonogram!EN2),"",Harmonogram!EN2)</f>
        <v>SPOLU</v>
      </c>
    </row>
    <row r="3" spans="1:22" s="4" customFormat="1" ht="75" x14ac:dyDescent="0.25">
      <c r="A3" s="192" t="s">
        <v>1478</v>
      </c>
      <c r="B3" s="201" t="s">
        <v>986</v>
      </c>
      <c r="C3" s="188" t="str">
        <f>IFERROR(IF(IF(ISBLANK($B3),VLOOKUP($A3,Harmonogram!$A$1:$FA$162,COLUMN(Prehľad!A3)+6,FALSE),VLOOKUP(Prehľad!$B3,Harmonogram!$F$2:$EW$150,COLUMN(Prehľad!A3)+1,FALSE))=0,"",IF(ISBLANK($B3),VLOOKUP($A3,Harmonogram!$A$1:$FA$162,COLUMN(Prehľad!A3)+6,FALSE),VLOOKUP(Prehľad!$B3,Harmonogram!$F$2:$EW$150,COLUMN(Prehľad!A3)+1,FALSE))),"")</f>
        <v>V potrebnom rozsahu sa zrekonštruuje železničný zvršok, železničný spodok, zároveň sa odvodní železničná trať. Rekonštrukciou prejdú aj nástupištia v staniciach Štrba OŽ, Štrbské Pleso OŽ a v zastávke Tatranský Lieskovec. Obnovené bude aj osvetlenie nástupíšť, podlaha v hale stanice Štrba, priechody pre chodcov či oporné múry.</v>
      </c>
      <c r="D3" s="188" t="str">
        <f>IFERROR(IF(IF(ISBLANK($B3),VLOOKUP($A3,Harmonogram!$A$1:$FA$162,COLUMN(Prehľad!B3)+6,FALSE),VLOOKUP(Prehľad!$B3,Harmonogram!$F$2:$EW$150,COLUMN(Prehľad!B3)+1,FALSE))=0,"",IF(ISBLANK($B3),VLOOKUP($A3,Harmonogram!$A$1:$FA$162,COLUMN(Prehľad!B3)+6,FALSE),VLOOKUP(Prehľad!$B3,Harmonogram!$F$2:$EW$150,COLUMN(Prehľad!B3)+1,FALSE))),"")</f>
        <v>Prínosmi projektu sú:
- zvýšenie bezpečnosti a plynulosti dopravy,
- zníženie prevádzkových nákladov na údržbu a opravu ŽI,
- zvýšenie komfortu cestujúcej verejnosti.</v>
      </c>
      <c r="E3" s="202" t="str">
        <f>IFERROR(IF(IF(ISBLANK($B3),VLOOKUP($A3,Harmonogram!$A$1:$FA$162,COLUMN(Prehľad!C3)+6,FALSE),VLOOKUP(Prehľad!$B3,Harmonogram!$F$2:$EW$150,COLUMN(Prehľad!C3)+1,FALSE))=0,"",IF(ISBLANK($B3),VLOOKUP($A3,Harmonogram!$A$1:$FA$162,COLUMN(Prehľad!C3)+6,FALSE),VLOOKUP(Prehľad!$B3,Harmonogram!$F$2:$EW$150,COLUMN(Prehľad!C3)+1,FALSE))),"")</f>
        <v>Vedľajšia trať ŽSR - úzkorozchodná 1000 mm;
Dĺžka(OŽ)= 4,6km; osôb/deň= 2000; mil.hrtkm/rok=0</v>
      </c>
      <c r="F3" s="188">
        <f>IF(ISBLANK(B3),"",IFERROR(VLOOKUP(B3,Harmonogram!$F$3:$EO$97,140,FALSE),"er"))</f>
        <v>4.78</v>
      </c>
      <c r="G3" s="188" t="str">
        <f>IFERROR(IF(IF(ISBLANK($B3),VLOOKUP($A3,Harmonogram!$A$1:$FA$162,COLUMN(Prehľad!D3)+6,FALSE),VLOOKUP(Prehľad!$B3,Harmonogram!$F$2:$EW$150,COLUMN(Prehľad!D3)+1,FALSE))=0,"",IF(ISBLANK($B3),VLOOKUP($A3,Harmonogram!$A$1:$FA$162,COLUMN(Prehľad!D3)+6,FALSE),VLOOKUP(Prehľad!$B3,Harmonogram!$F$2:$EW$150,COLUMN(Prehľad!D3)+1,FALSE))),"")</f>
        <v>n/a</v>
      </c>
      <c r="H3" s="249" t="str">
        <f>IFERROR(IF(IF(ISBLANK($B3),VLOOKUP($A3,Harmonogram!$A$1:$FA$162,COLUMN(Prehľad!A3)+11,FALSE),VLOOKUP(Prehľad!$B3,Harmonogram!$F$2:$EW$150,COLUMN(Prehľad!A3)+6,FALSE))=0,"",IF(ISBLANK($B3),VLOOKUP($A3,Harmonogram!$A$1:$FA$162,COLUMN(Prehľad!A3)+11,FALSE),VLOOKUP(Prehľad!$B3,Harmonogram!$F$2:$EW$150,COLUMN(Prehľad!A3)+6,FALSE))),"")</f>
        <v>Vo výstavbe / Zmluva</v>
      </c>
      <c r="I3" s="257">
        <f>IF(LEN($B3)=0,VLOOKUP($A3,Harmonogram!$A$1:$FA$162,COLUMN(Prehľad!B3)+11,FALSE),VLOOKUP(Prehľad!$B3,Harmonogram!$F$2:$EW$150,COLUMN(Prehľad!B3)+6,FALSE))</f>
        <v>21105833.449999999</v>
      </c>
      <c r="J3" s="258">
        <f>IF(LEN($B3)=0,VLOOKUP($A3,Harmonogram!$A$1:$FA$162,COLUMN(Prehľad!A3)*12+12,FALSE),VLOOKUP(Prehľad!$B3,Harmonogram!$F$2:$EW$150,COLUMN(Prehľad!A3)*12+7,FALSE))</f>
        <v>13073099.529999999</v>
      </c>
      <c r="K3" s="257">
        <f>IF(LEN($B3)=0,VLOOKUP($A3,Harmonogram!$A$1:$FA$162,COLUMN(Prehľad!B3)*12+12,FALSE),VLOOKUP(Prehľad!$B3,Harmonogram!$F$2:$EW$150,COLUMN(Prehľad!B3)*12+7,FALSE))</f>
        <v>8032733.9199999999</v>
      </c>
      <c r="L3" s="257">
        <f>IF(LEN($B3)=0,VLOOKUP($A3,Harmonogram!$A$1:$FA$162,COLUMN(Prehľad!C3)*12+12,FALSE),VLOOKUP(Prehľad!$B3,Harmonogram!$F$2:$EW$150,COLUMN(Prehľad!C3)*12+7,FALSE))</f>
        <v>0</v>
      </c>
      <c r="M3" s="257">
        <f>IF(LEN($B3)=0,VLOOKUP($A3,Harmonogram!$A$1:$FA$162,COLUMN(Prehľad!D3)*12+12,FALSE),VLOOKUP(Prehľad!$B3,Harmonogram!$F$2:$EW$150,COLUMN(Prehľad!D3)*12+7,FALSE))</f>
        <v>0</v>
      </c>
      <c r="N3" s="257">
        <f>IF(LEN($B3)=0,VLOOKUP($A3,Harmonogram!$A$1:$FA$162,COLUMN(Prehľad!E3)*12+12,FALSE),VLOOKUP(Prehľad!$B3,Harmonogram!$F$2:$EW$150,COLUMN(Prehľad!E3)*12+7,FALSE))</f>
        <v>0</v>
      </c>
      <c r="O3" s="257">
        <f>IF(LEN($B3)=0,VLOOKUP($A3,Harmonogram!$A$1:$FA$162,COLUMN(Prehľad!F3)*12+12,FALSE),VLOOKUP(Prehľad!$B3,Harmonogram!$F$2:$EW$150,COLUMN(Prehľad!F3)*12+7,FALSE))</f>
        <v>0</v>
      </c>
      <c r="P3" s="257">
        <f>IF(LEN($B3)=0,VLOOKUP($A3,Harmonogram!$A$1:$FA$162,COLUMN(Prehľad!G3)*12+12,FALSE),VLOOKUP(Prehľad!$B3,Harmonogram!$F$2:$EW$150,COLUMN(Prehľad!G3)*12+7,FALSE))</f>
        <v>0</v>
      </c>
      <c r="Q3" s="257">
        <f>IF(LEN($B3)=0,VLOOKUP($A3,Harmonogram!$A$1:$FA$162,COLUMN(Prehľad!H3)*12+12,FALSE),VLOOKUP(Prehľad!$B3,Harmonogram!$F$2:$EW$150,COLUMN(Prehľad!H3)*12+7,FALSE))</f>
        <v>0</v>
      </c>
      <c r="R3" s="257">
        <f>IF(LEN($B3)=0,VLOOKUP($A3,Harmonogram!$A$1:$FA$162,COLUMN(Prehľad!I3)*12+12,FALSE),VLOOKUP(Prehľad!$B3,Harmonogram!$F$2:$EW$150,COLUMN(Prehľad!I3)*12+7,FALSE))</f>
        <v>0</v>
      </c>
      <c r="S3" s="257">
        <f>IF(LEN($B3)=0,VLOOKUP($A3,Harmonogram!$A$1:$FA$162,COLUMN(Prehľad!J3)*12+12,FALSE),VLOOKUP(Prehľad!$B3,Harmonogram!$F$2:$EW$150,COLUMN(Prehľad!J3)*12+7,FALSE))</f>
        <v>0</v>
      </c>
      <c r="T3" s="259">
        <f>IF(LEN($B3)=0,VLOOKUP($A3,Harmonogram!$A$1:$FA$162,COLUMN(Prehľad!K3)*12+12,FALSE),VLOOKUP(Prehľad!$B3,Harmonogram!$F$2:$EW$150,COLUMN(Prehľad!K3)*12+7,FALSE))</f>
        <v>0</v>
      </c>
    </row>
    <row r="4" spans="1:22" ht="60" x14ac:dyDescent="0.25">
      <c r="A4" s="237"/>
      <c r="B4" s="203" t="s">
        <v>989</v>
      </c>
      <c r="C4" s="177" t="str">
        <f>IFERROR(IF(IF(ISBLANK($B4),VLOOKUP($A4,Harmonogram!$A$1:$FA$162,COLUMN(Prehľad!A4)+6,FALSE),VLOOKUP(Prehľad!$B4,Harmonogram!$F$2:$EW$150,COLUMN(Prehľad!A4)+1,FALSE))=0,"",IF(ISBLANK($B4),VLOOKUP($A4,Harmonogram!$A$1:$FA$162,COLUMN(Prehľad!A4)+6,FALSE),VLOOKUP(Prehľad!$B4,Harmonogram!$F$2:$EW$150,COLUMN(Prehľad!A4)+1,FALSE))),"")</f>
        <v>Predmetom stavby je komplexná rekonštrukcia železničného zvršku, železničného spodku v potrebnom rozsahu, úpravy trakčného vedenia a zabezpečovacieho zariadenia, rekonštrukcia nástupíšť na železničnej zastávke Stankovany, vybudovanie prístreškov a osvetlenia na danej zástavke.</v>
      </c>
      <c r="D4" s="177" t="str">
        <f>IFERROR(IF(IF(ISBLANK($B4),VLOOKUP($A4,Harmonogram!$A$1:$FA$162,COLUMN(Prehľad!B4)+6,FALSE),VLOOKUP(Prehľad!$B4,Harmonogram!$F$2:$EW$150,COLUMN(Prehľad!B4)+1,FALSE))=0,"",IF(ISBLANK($B4),VLOOKUP($A4,Harmonogram!$A$1:$FA$162,COLUMN(Prehľad!B4)+6,FALSE),VLOOKUP(Prehľad!$B4,Harmonogram!$F$2:$EW$150,COLUMN(Prehľad!B4)+1,FALSE))),"")</f>
        <v>Predmetnou rekonštrukciou sa dosiahne:
- vyšší kvalitatívny štandard osobnej i nákladnej dopravy, 
- zaistenie bezpečnosti železničnej dopravy,
- zníženie rozsahu údržby železničného zvršku.</v>
      </c>
      <c r="E4" s="204" t="str">
        <f>IFERROR(IF(IF(ISBLANK($B4),VLOOKUP($A4,Harmonogram!$A$1:$FA$162,COLUMN(Prehľad!C4)+6,FALSE),VLOOKUP(Prehľad!$B4,Harmonogram!$F$2:$EW$150,COLUMN(Prehľad!C4)+1,FALSE))=0,"",IF(ISBLANK($B4),VLOOKUP($A4,Harmonogram!$A$1:$FA$162,COLUMN(Prehľad!C4)+6,FALSE),VLOOKUP(Prehľad!$B4,Harmonogram!$F$2:$EW$150,COLUMN(Prehľad!C4)+1,FALSE))),"")</f>
        <v>TEN-T core;
RFC 9 - hlavná trať
Dĺžka(180b)= 61,2km; osôb/deň= 11000; mil.hrtkm/rok=1272,2</v>
      </c>
      <c r="F4" s="177" t="str">
        <f>IF(ISBLANK(B4),"",IFERROR(VLOOKUP(B4,Harmonogram!$F$3:$EO$97,140,FALSE),"er"))</f>
        <v xml:space="preserve">3,789 - k. č. 1;
3,815 - k. č. 2 </v>
      </c>
      <c r="G4" s="177" t="str">
        <f>IFERROR(IF(IF(ISBLANK($B4),VLOOKUP($A4,Harmonogram!$A$1:$FA$162,COLUMN(Prehľad!D4)+6,FALSE),VLOOKUP(Prehľad!$B4,Harmonogram!$F$2:$EW$150,COLUMN(Prehľad!D4)+1,FALSE))=0,"",IF(ISBLANK($B4),VLOOKUP($A4,Harmonogram!$A$1:$FA$162,COLUMN(Prehľad!D4)+6,FALSE),VLOOKUP(Prehľad!$B4,Harmonogram!$F$2:$EW$150,COLUMN(Prehľad!D4)+1,FALSE))),"")</f>
        <v>1a</v>
      </c>
      <c r="H4" s="250" t="str">
        <f>IFERROR(IF(IF(ISBLANK($B4),VLOOKUP($A4,Harmonogram!$A$1:$FA$162,COLUMN(Prehľad!A4)+11,FALSE),VLOOKUP(Prehľad!$B4,Harmonogram!$F$2:$EW$150,COLUMN(Prehľad!A4)+6,FALSE))=0,"",IF(ISBLANK($B4),VLOOKUP($A4,Harmonogram!$A$1:$FA$162,COLUMN(Prehľad!A4)+11,FALSE),VLOOKUP(Prehľad!$B4,Harmonogram!$F$2:$EW$150,COLUMN(Prehľad!A4)+6,FALSE))),"")</f>
        <v>Vo výstavbe / Zmluva</v>
      </c>
      <c r="I4" s="260">
        <f>IF(LEN($B4)=0,VLOOKUP($A4,Harmonogram!$A$1:$FA$162,COLUMN(Prehľad!B4)+11,FALSE),VLOOKUP(Prehľad!$B4,Harmonogram!$F$2:$EW$150,COLUMN(Prehľad!B4)+6,FALSE))</f>
        <v>12213722.43</v>
      </c>
      <c r="J4" s="261">
        <f>IF(LEN($B4)=0,VLOOKUP($A4,Harmonogram!$A$1:$FA$162,COLUMN(Prehľad!A4)*12+12,FALSE),VLOOKUP(Prehľad!$B4,Harmonogram!$F$2:$EW$150,COLUMN(Prehľad!A4)*12+7,FALSE))</f>
        <v>7614848.6699999999</v>
      </c>
      <c r="K4" s="260">
        <f>IF(LEN($B4)=0,VLOOKUP($A4,Harmonogram!$A$1:$FA$162,COLUMN(Prehľad!B4)*12+12,FALSE),VLOOKUP(Prehľad!$B4,Harmonogram!$F$2:$EW$150,COLUMN(Prehľad!B4)*12+7,FALSE))</f>
        <v>4598873.76</v>
      </c>
      <c r="L4" s="260">
        <f>IF(LEN($B4)=0,VLOOKUP($A4,Harmonogram!$A$1:$FA$162,COLUMN(Prehľad!C4)*12+12,FALSE),VLOOKUP(Prehľad!$B4,Harmonogram!$F$2:$EW$150,COLUMN(Prehľad!C4)*12+7,FALSE))</f>
        <v>0</v>
      </c>
      <c r="M4" s="260">
        <f>IF(LEN($B4)=0,VLOOKUP($A4,Harmonogram!$A$1:$FA$162,COLUMN(Prehľad!D4)*12+12,FALSE),VLOOKUP(Prehľad!$B4,Harmonogram!$F$2:$EW$150,COLUMN(Prehľad!D4)*12+7,FALSE))</f>
        <v>0</v>
      </c>
      <c r="N4" s="260">
        <f>IF(LEN($B4)=0,VLOOKUP($A4,Harmonogram!$A$1:$FA$162,COLUMN(Prehľad!E4)*12+12,FALSE),VLOOKUP(Prehľad!$B4,Harmonogram!$F$2:$EW$150,COLUMN(Prehľad!E4)*12+7,FALSE))</f>
        <v>0</v>
      </c>
      <c r="O4" s="260">
        <f>IF(LEN($B4)=0,VLOOKUP($A4,Harmonogram!$A$1:$FA$162,COLUMN(Prehľad!F4)*12+12,FALSE),VLOOKUP(Prehľad!$B4,Harmonogram!$F$2:$EW$150,COLUMN(Prehľad!F4)*12+7,FALSE))</f>
        <v>0</v>
      </c>
      <c r="P4" s="260">
        <f>IF(LEN($B4)=0,VLOOKUP($A4,Harmonogram!$A$1:$FA$162,COLUMN(Prehľad!G4)*12+12,FALSE),VLOOKUP(Prehľad!$B4,Harmonogram!$F$2:$EW$150,COLUMN(Prehľad!G4)*12+7,FALSE))</f>
        <v>0</v>
      </c>
      <c r="Q4" s="260">
        <f>IF(LEN($B4)=0,VLOOKUP($A4,Harmonogram!$A$1:$FA$162,COLUMN(Prehľad!H4)*12+12,FALSE),VLOOKUP(Prehľad!$B4,Harmonogram!$F$2:$EW$150,COLUMN(Prehľad!H4)*12+7,FALSE))</f>
        <v>0</v>
      </c>
      <c r="R4" s="260">
        <f>IF(LEN($B4)=0,VLOOKUP($A4,Harmonogram!$A$1:$FA$162,COLUMN(Prehľad!I4)*12+12,FALSE),VLOOKUP(Prehľad!$B4,Harmonogram!$F$2:$EW$150,COLUMN(Prehľad!I4)*12+7,FALSE))</f>
        <v>0</v>
      </c>
      <c r="S4" s="260">
        <f>IF(LEN($B4)=0,VLOOKUP($A4,Harmonogram!$A$1:$FA$162,COLUMN(Prehľad!J4)*12+12,FALSE),VLOOKUP(Prehľad!$B4,Harmonogram!$F$2:$EW$150,COLUMN(Prehľad!J4)*12+7,FALSE))</f>
        <v>0</v>
      </c>
      <c r="T4" s="262">
        <f>IF(LEN($B4)=0,VLOOKUP($A4,Harmonogram!$A$1:$FA$162,COLUMN(Prehľad!K4)*12+12,FALSE),VLOOKUP(Prehľad!$B4,Harmonogram!$F$2:$EW$150,COLUMN(Prehľad!K4)*12+7,FALSE))</f>
        <v>0</v>
      </c>
    </row>
    <row r="5" spans="1:22" s="5" customFormat="1" ht="120" x14ac:dyDescent="0.25">
      <c r="A5" s="237"/>
      <c r="B5" s="203" t="s">
        <v>980</v>
      </c>
      <c r="C5" s="177" t="str">
        <f>IFERROR(IF(IF(ISBLANK($B5),VLOOKUP($A5,Harmonogram!$A$1:$FA$162,COLUMN(Prehľad!A5)+6,FALSE),VLOOKUP(Prehľad!$B5,Harmonogram!$F$2:$EW$150,COLUMN(Prehľad!A5)+1,FALSE))=0,"",IF(ISBLANK($B5),VLOOKUP($A5,Harmonogram!$A$1:$FA$162,COLUMN(Prehľad!A5)+6,FALSE),VLOOKUP(Prehľad!$B5,Harmonogram!$F$2:$EW$150,COLUMN(Prehľad!A5)+1,FALSE))),"")</f>
        <v>Jedná sa o modernizáciu železničnej trate na rýchlosť do 160 km/h. V rámci stavby sú realizované dva tunely, tunel Diel o dĺžke 1082m a tunel Milochov o dĺžke 1861m, buduje sa 14 ks nových železničných mostov (vrátane rekonštruovaných), 6ks nových cestných mostov a nadjazdov, 4ks podchodov (pre cestujúcich, verejné). Dĺžka trasy železničnej trate bude skrátená z 18,742 km pred modernizáciou, na 15,921 km po modernizácii. Významným krokom je aj príprava na zmenu trakčnej napájacej sústavy z 3 kV na 25 kV (po výstavbe TNS Žilina).            </v>
      </c>
      <c r="D5" s="177" t="str">
        <f>IFERROR(IF(IF(ISBLANK($B5),VLOOKUP($A5,Harmonogram!$A$1:$FA$162,COLUMN(Prehľad!B5)+6,FALSE),VLOOKUP(Prehľad!$B5,Harmonogram!$F$2:$EW$150,COLUMN(Prehľad!B5)+1,FALSE))=0,"",IF(ISBLANK($B5),VLOOKUP($A5,Harmonogram!$A$1:$FA$162,COLUMN(Prehľad!B5)+6,FALSE),VLOOKUP(Prehľad!$B5,Harmonogram!$F$2:$EW$150,COLUMN(Prehľad!B5)+1,FALSE))),"")</f>
        <v xml:space="preserve">1. úspora jazdného času - 27,07%; 2. úspora prevádz. nákladov vozidiel/vlakov - 50,03%; 3. úspora nákladov na nehody - 6,66%; 4. úspora nákladov na znečistenie ovzdušia - 13,66%; 5. úspora nákladov na klimatické zmeny - 1,90%; 6. úspora nákladov na hlučnosť - 0,67% </v>
      </c>
      <c r="E5" s="204" t="str">
        <f>IFERROR(IF(IF(ISBLANK($B5),VLOOKUP($A5,Harmonogram!$A$1:$FA$162,COLUMN(Prehľad!C5)+6,FALSE),VLOOKUP(Prehľad!$B5,Harmonogram!$F$2:$EW$150,COLUMN(Prehľad!C5)+1,FALSE))=0,"",IF(ISBLANK($B5),VLOOKUP($A5,Harmonogram!$A$1:$FA$162,COLUMN(Prehľad!C5)+6,FALSE),VLOOKUP(Prehľad!$B5,Harmonogram!$F$2:$EW$150,COLUMN(Prehľad!C5)+1,FALSE))),"")</f>
        <v>TEN-T core;
RFC 5 - hlavná trať
RFC 9 - hlavná trať
RFC 11 - hlavná trať
Dĺžka(120g)= 43,7km; osôb/deň= 12000; mil.hrtkm/rok=588,5</v>
      </c>
      <c r="F5" s="177">
        <f>IF(ISBLANK(B5),"",IFERROR(VLOOKUP(B5,Harmonogram!$F$3:$EO$97,140,FALSE),"er"))</f>
        <v>15.920999999999999</v>
      </c>
      <c r="G5" s="177" t="str">
        <f>IFERROR(IF(IF(ISBLANK($B5),VLOOKUP($A5,Harmonogram!$A$1:$FA$162,COLUMN(Prehľad!D5)+6,FALSE),VLOOKUP(Prehľad!$B5,Harmonogram!$F$2:$EW$150,COLUMN(Prehľad!D5)+1,FALSE))=0,"",IF(ISBLANK($B5),VLOOKUP($A5,Harmonogram!$A$1:$FA$162,COLUMN(Prehľad!D5)+6,FALSE),VLOOKUP(Prehľad!$B5,Harmonogram!$F$2:$EW$150,COLUMN(Prehľad!D5)+1,FALSE))),"")</f>
        <v>3b</v>
      </c>
      <c r="H5" s="250" t="str">
        <f>IFERROR(IF(IF(ISBLANK($B5),VLOOKUP($A5,Harmonogram!$A$1:$FA$162,COLUMN(Prehľad!A5)+11,FALSE),VLOOKUP(Prehľad!$B5,Harmonogram!$F$2:$EW$150,COLUMN(Prehľad!A5)+6,FALSE))=0,"",IF(ISBLANK($B5),VLOOKUP($A5,Harmonogram!$A$1:$FA$162,COLUMN(Prehľad!A5)+11,FALSE),VLOOKUP(Prehľad!$B5,Harmonogram!$F$2:$EW$150,COLUMN(Prehľad!A5)+6,FALSE))),"")</f>
        <v>Vo výstavbe / Zmluva</v>
      </c>
      <c r="I5" s="260">
        <f>IF(LEN($B5)=0,VLOOKUP($A5,Harmonogram!$A$1:$FA$162,COLUMN(Prehľad!B5)+11,FALSE),VLOOKUP(Prehľad!$B5,Harmonogram!$F$2:$EW$150,COLUMN(Prehľad!B5)+6,FALSE))</f>
        <v>485798189.34999996</v>
      </c>
      <c r="J5" s="261">
        <f>IF(LEN($B5)=0,VLOOKUP($A5,Harmonogram!$A$1:$FA$162,COLUMN(Prehľad!A5)*12+12,FALSE),VLOOKUP(Prehľad!$B5,Harmonogram!$F$2:$EW$150,COLUMN(Prehľad!A5)*12+7,FALSE))</f>
        <v>328985507.13</v>
      </c>
      <c r="K5" s="260">
        <f>IF(LEN($B5)=0,VLOOKUP($A5,Harmonogram!$A$1:$FA$162,COLUMN(Prehľad!B5)*12+12,FALSE),VLOOKUP(Prehľad!$B5,Harmonogram!$F$2:$EW$150,COLUMN(Prehľad!B5)*12+7,FALSE))</f>
        <v>57144914.57</v>
      </c>
      <c r="L5" s="260">
        <f>IF(LEN($B5)=0,VLOOKUP($A5,Harmonogram!$A$1:$FA$162,COLUMN(Prehľad!C5)*12+12,FALSE),VLOOKUP(Prehľad!$B5,Harmonogram!$F$2:$EW$150,COLUMN(Prehľad!C5)*12+7,FALSE))</f>
        <v>99581405.149999991</v>
      </c>
      <c r="M5" s="260">
        <f>IF(LEN($B5)=0,VLOOKUP($A5,Harmonogram!$A$1:$FA$162,COLUMN(Prehľad!D5)*12+12,FALSE),VLOOKUP(Prehľad!$B5,Harmonogram!$F$2:$EW$150,COLUMN(Prehľad!D5)*12+7,FALSE))</f>
        <v>86362.5</v>
      </c>
      <c r="N5" s="260">
        <f>IF(LEN($B5)=0,VLOOKUP($A5,Harmonogram!$A$1:$FA$162,COLUMN(Prehľad!E5)*12+12,FALSE),VLOOKUP(Prehľad!$B5,Harmonogram!$F$2:$EW$150,COLUMN(Prehľad!E5)*12+7,FALSE))</f>
        <v>0</v>
      </c>
      <c r="O5" s="260">
        <f>IF(LEN($B5)=0,VLOOKUP($A5,Harmonogram!$A$1:$FA$162,COLUMN(Prehľad!F5)*12+12,FALSE),VLOOKUP(Prehľad!$B5,Harmonogram!$F$2:$EW$150,COLUMN(Prehľad!F5)*12+7,FALSE))</f>
        <v>0</v>
      </c>
      <c r="P5" s="260">
        <f>IF(LEN($B5)=0,VLOOKUP($A5,Harmonogram!$A$1:$FA$162,COLUMN(Prehľad!G5)*12+12,FALSE),VLOOKUP(Prehľad!$B5,Harmonogram!$F$2:$EW$150,COLUMN(Prehľad!G5)*12+7,FALSE))</f>
        <v>0</v>
      </c>
      <c r="Q5" s="260">
        <f>IF(LEN($B5)=0,VLOOKUP($A5,Harmonogram!$A$1:$FA$162,COLUMN(Prehľad!H5)*12+12,FALSE),VLOOKUP(Prehľad!$B5,Harmonogram!$F$2:$EW$150,COLUMN(Prehľad!H5)*12+7,FALSE))</f>
        <v>0</v>
      </c>
      <c r="R5" s="260">
        <f>IF(LEN($B5)=0,VLOOKUP($A5,Harmonogram!$A$1:$FA$162,COLUMN(Prehľad!I5)*12+12,FALSE),VLOOKUP(Prehľad!$B5,Harmonogram!$F$2:$EW$150,COLUMN(Prehľad!I5)*12+7,FALSE))</f>
        <v>0</v>
      </c>
      <c r="S5" s="260">
        <f>IF(LEN($B5)=0,VLOOKUP($A5,Harmonogram!$A$1:$FA$162,COLUMN(Prehľad!J5)*12+12,FALSE),VLOOKUP(Prehľad!$B5,Harmonogram!$F$2:$EW$150,COLUMN(Prehľad!J5)*12+7,FALSE))</f>
        <v>0</v>
      </c>
      <c r="T5" s="262">
        <f>IF(LEN($B5)=0,VLOOKUP($A5,Harmonogram!$A$1:$FA$162,COLUMN(Prehľad!K5)*12+12,FALSE),VLOOKUP(Prehľad!$B5,Harmonogram!$F$2:$EW$150,COLUMN(Prehľad!K5)*12+7,FALSE))</f>
        <v>0</v>
      </c>
    </row>
    <row r="6" spans="1:22" ht="135" x14ac:dyDescent="0.25">
      <c r="A6" s="237"/>
      <c r="B6" s="203" t="s">
        <v>981</v>
      </c>
      <c r="C6" s="177" t="str">
        <f>IFERROR(IF(IF(ISBLANK($B6),VLOOKUP($A6,Harmonogram!$A$1:$FA$162,COLUMN(Prehľad!A6)+6,FALSE),VLOOKUP(Prehľad!$B6,Harmonogram!$F$2:$EW$150,COLUMN(Prehľad!A6)+1,FALSE))=0,"",IF(ISBLANK($B6),VLOOKUP($A6,Harmonogram!$A$1:$FA$162,COLUMN(Prehľad!A6)+6,FALSE),VLOOKUP(Prehľad!$B6,Harmonogram!$F$2:$EW$150,COLUMN(Prehľad!A6)+1,FALSE))),"")</f>
        <v>Železničný uzol Žilina je križovatkou dvoch vetiev medzinárodných železničných koridorov, kde v rámci následnej realizácie projektu dôjde k rekonštrukcii koľají a výhybiek, železničných mostov, nástupíšť, trakčného vedenia so zmenou napájania z jednosmerného na striedavý prúd, železničného oznamovacieho a zabezpečovacieho zariadenia, vybudovanie centra pre riadenie vlakov, odstráneniu úrovňových priecestí a prechodov a ich náhrada mimoúrovňovými.</v>
      </c>
      <c r="D6" s="177" t="str">
        <f>IFERROR(IF(IF(ISBLANK($B6),VLOOKUP($A6,Harmonogram!$A$1:$FA$162,COLUMN(Prehľad!B6)+6,FALSE),VLOOKUP(Prehľad!$B6,Harmonogram!$F$2:$EW$150,COLUMN(Prehľad!B6)+1,FALSE))=0,"",IF(ISBLANK($B6),VLOOKUP($A6,Harmonogram!$A$1:$FA$162,COLUMN(Prehľad!B6)+6,FALSE),VLOOKUP(Prehľad!$B6,Harmonogram!$F$2:$EW$150,COLUMN(Prehľad!B6)+1,FALSE))),"")</f>
        <v>Hlavnými cieľmi projektu sú:
- zvýšenie traťovej rýchlosti do 160 km/h (v obvode ŽST Žilina do 120 km/h),
- zvýšenie bezpečnosti a plynulosti prevádzky,
- zvýšenie bezpečnosti cestujúcich,
- zvýšenie kultúry, komfortu a plynulosti cestovania,
- zníženie negatívnych dopadov železničnej prevádzky na obyvateľstvo,
- zlepšenie a skvalitnenie životného prostredia,
- zníženie nákladov na údržbu železničnej infraštruktúry.</v>
      </c>
      <c r="E6" s="204" t="str">
        <f>IFERROR(IF(IF(ISBLANK($B6),VLOOKUP($A6,Harmonogram!$A$1:$FA$162,COLUMN(Prehľad!C6)+6,FALSE),VLOOKUP(Prehľad!$B6,Harmonogram!$F$2:$EW$150,COLUMN(Prehľad!C6)+1,FALSE))=0,"",IF(ISBLANK($B6),VLOOKUP($A6,Harmonogram!$A$1:$FA$162,COLUMN(Prehľad!C6)+6,FALSE),VLOOKUP(Prehľad!$B6,Harmonogram!$F$2:$EW$150,COLUMN(Prehľad!C6)+1,FALSE))),"")</f>
        <v>TEN-T core;
RFC 5 - hlavná trať
RFC 9 - hlavná trať
RFC 11 - hlavná trať
Dĺžka(ZAO)= 11,3km; osôb/deň= 14000; mil.hrtkm/rok=251,1
Dĺžka(ZAT)= 17,1km; osôb/deň= 0; mil.hrtkm/rok=69,2</v>
      </c>
      <c r="F6" s="177" t="str">
        <f>IF(ISBLANK(B6),"",IFERROR(VLOOKUP(B6,Harmonogram!$F$3:$EO$97,140,FALSE),"er"))</f>
        <v xml:space="preserve">cca 14 km (v smere V - Z);
2,3 km ( v smere S-J) </v>
      </c>
      <c r="G6" s="177" t="str">
        <f>IFERROR(IF(IF(ISBLANK($B6),VLOOKUP($A6,Harmonogram!$A$1:$FA$162,COLUMN(Prehľad!D6)+6,FALSE),VLOOKUP(Prehľad!$B6,Harmonogram!$F$2:$EW$150,COLUMN(Prehľad!D6)+1,FALSE))=0,"",IF(ISBLANK($B6),VLOOKUP($A6,Harmonogram!$A$1:$FA$162,COLUMN(Prehľad!D6)+6,FALSE),VLOOKUP(Prehľad!$B6,Harmonogram!$F$2:$EW$150,COLUMN(Prehľad!D6)+1,FALSE))),"")</f>
        <v>1b; 3a</v>
      </c>
      <c r="H6" s="250" t="str">
        <f>IFERROR(IF(IF(ISBLANK($B6),VLOOKUP($A6,Harmonogram!$A$1:$FA$162,COLUMN(Prehľad!A6)+11,FALSE),VLOOKUP(Prehľad!$B6,Harmonogram!$F$2:$EW$150,COLUMN(Prehľad!A6)+6,FALSE))=0,"",IF(ISBLANK($B6),VLOOKUP($A6,Harmonogram!$A$1:$FA$162,COLUMN(Prehľad!A6)+11,FALSE),VLOOKUP(Prehľad!$B6,Harmonogram!$F$2:$EW$150,COLUMN(Prehľad!A6)+6,FALSE))),"")</f>
        <v>Vo výstavbe / Zmluva</v>
      </c>
      <c r="I6" s="260">
        <f>IF(LEN($B6)=0,VLOOKUP($A6,Harmonogram!$A$1:$FA$162,COLUMN(Prehľad!B6)+11,FALSE),VLOOKUP(Prehľad!$B6,Harmonogram!$F$2:$EW$150,COLUMN(Prehľad!B6)+6,FALSE))</f>
        <v>310796926.54000002</v>
      </c>
      <c r="J6" s="261">
        <f>IF(LEN($B6)=0,VLOOKUP($A6,Harmonogram!$A$1:$FA$162,COLUMN(Prehľad!A6)*12+12,FALSE),VLOOKUP(Prehľad!$B6,Harmonogram!$F$2:$EW$150,COLUMN(Prehľad!A6)*12+7,FALSE))</f>
        <v>16754538.940000001</v>
      </c>
      <c r="K6" s="260">
        <f>IF(LEN($B6)=0,VLOOKUP($A6,Harmonogram!$A$1:$FA$162,COLUMN(Prehľad!B6)*12+12,FALSE),VLOOKUP(Prehľad!$B6,Harmonogram!$F$2:$EW$150,COLUMN(Prehľad!B6)*12+7,FALSE))</f>
        <v>52087213.010000005</v>
      </c>
      <c r="L6" s="260">
        <f>IF(LEN($B6)=0,VLOOKUP($A6,Harmonogram!$A$1:$FA$162,COLUMN(Prehľad!C6)*12+12,FALSE),VLOOKUP(Prehľad!$B6,Harmonogram!$F$2:$EW$150,COLUMN(Prehľad!C6)*12+7,FALSE))</f>
        <v>88196714.530000001</v>
      </c>
      <c r="M6" s="260">
        <f>IF(LEN($B6)=0,VLOOKUP($A6,Harmonogram!$A$1:$FA$162,COLUMN(Prehľad!D6)*12+12,FALSE),VLOOKUP(Prehľad!$B6,Harmonogram!$F$2:$EW$150,COLUMN(Prehľad!D6)*12+7,FALSE))</f>
        <v>120284984.35999998</v>
      </c>
      <c r="N6" s="260">
        <f>IF(LEN($B6)=0,VLOOKUP($A6,Harmonogram!$A$1:$FA$162,COLUMN(Prehľad!E6)*12+12,FALSE),VLOOKUP(Prehľad!$B6,Harmonogram!$F$2:$EW$150,COLUMN(Prehľad!E6)*12+7,FALSE))</f>
        <v>33473475.699999996</v>
      </c>
      <c r="O6" s="260">
        <f>IF(LEN($B6)=0,VLOOKUP($A6,Harmonogram!$A$1:$FA$162,COLUMN(Prehľad!F6)*12+12,FALSE),VLOOKUP(Prehľad!$B6,Harmonogram!$F$2:$EW$150,COLUMN(Prehľad!F6)*12+7,FALSE))</f>
        <v>0</v>
      </c>
      <c r="P6" s="260">
        <f>IF(LEN($B6)=0,VLOOKUP($A6,Harmonogram!$A$1:$FA$162,COLUMN(Prehľad!G6)*12+12,FALSE),VLOOKUP(Prehľad!$B6,Harmonogram!$F$2:$EW$150,COLUMN(Prehľad!G6)*12+7,FALSE))</f>
        <v>0</v>
      </c>
      <c r="Q6" s="260">
        <f>IF(LEN($B6)=0,VLOOKUP($A6,Harmonogram!$A$1:$FA$162,COLUMN(Prehľad!H6)*12+12,FALSE),VLOOKUP(Prehľad!$B6,Harmonogram!$F$2:$EW$150,COLUMN(Prehľad!H6)*12+7,FALSE))</f>
        <v>0</v>
      </c>
      <c r="R6" s="260">
        <f>IF(LEN($B6)=0,VLOOKUP($A6,Harmonogram!$A$1:$FA$162,COLUMN(Prehľad!I6)*12+12,FALSE),VLOOKUP(Prehľad!$B6,Harmonogram!$F$2:$EW$150,COLUMN(Prehľad!I6)*12+7,FALSE))</f>
        <v>0</v>
      </c>
      <c r="S6" s="260">
        <f>IF(LEN($B6)=0,VLOOKUP($A6,Harmonogram!$A$1:$FA$162,COLUMN(Prehľad!J6)*12+12,FALSE),VLOOKUP(Prehľad!$B6,Harmonogram!$F$2:$EW$150,COLUMN(Prehľad!J6)*12+7,FALSE))</f>
        <v>0</v>
      </c>
      <c r="T6" s="262">
        <f>IF(LEN($B6)=0,VLOOKUP($A6,Harmonogram!$A$1:$FA$162,COLUMN(Prehľad!K6)*12+12,FALSE),VLOOKUP(Prehľad!$B6,Harmonogram!$F$2:$EW$150,COLUMN(Prehľad!K6)*12+7,FALSE))</f>
        <v>0</v>
      </c>
    </row>
    <row r="7" spans="1:22" ht="240" x14ac:dyDescent="0.25">
      <c r="A7" s="237"/>
      <c r="B7" s="205" t="s">
        <v>1283</v>
      </c>
      <c r="C7" s="206" t="str">
        <f>IFERROR(IF(IF(ISBLANK($B7),VLOOKUP($A7,Harmonogram!$A$1:$FA$162,COLUMN(Prehľad!A7)+6,FALSE),VLOOKUP(Prehľad!$B7,Harmonogram!$F$2:$EW$150,COLUMN(Prehľad!A7)+1,FALSE))=0,"",IF(ISBLANK($B7),VLOOKUP($A7,Harmonogram!$A$1:$FA$162,COLUMN(Prehľad!A7)+6,FALSE),VLOOKUP(Prehľad!$B7,Harmonogram!$F$2:$EW$150,COLUMN(Prehľad!A7)+1,FALSE))),"")</f>
        <v>Oba úseky sú integrálnou súčasťou vopred určeného cezhraničného úseku Bratislava - Břeclav. Akcia je súčasťou Medzinárodného projektu spájajúceho slovensko-českú hranicu cez Bratislavu so slovensko-maďarskou hranicou. Ciele projektu sú odstránenie prekážok v dvoch vybraných úsekoch železničnej trate, zabezpečenie optimálnej úrovne integrácie a interoperability v súlade s Nariadením (EÚ) č. 1299/2014 a Smernicou o interoperabilite 2008/57/ES, skrátenie cestovného času, modernizácia železničných staníc a zastávok, zvýšenie kvality infraštruktúry z hľadiska bezpečnosti, spoľahlivosti a účinnosti, podpora rozdelenia používania jednotlivých druhov dopravy podporovaním využívania železničnej dopravy, zvyšovanie bezpečnosti na železničných tratiach odstraňovaním úrovňových križovatiek križovaní žel. trate s pozemnými komunikáciami a ich nahrádzaním mimoúrovňovými križovaním (nadjazdy, podjazdy, podchody), znižovanie hlukového a atmosférického znečistenia.</v>
      </c>
      <c r="D7" s="206" t="str">
        <f>IFERROR(IF(IF(ISBLANK($B7),VLOOKUP($A7,Harmonogram!$A$1:$FA$162,COLUMN(Prehľad!B7)+6,FALSE),VLOOKUP(Prehľad!$B7,Harmonogram!$F$2:$EW$150,COLUMN(Prehľad!B7)+1,FALSE))=0,"",IF(ISBLANK($B7),VLOOKUP($A7,Harmonogram!$A$1:$FA$162,COLUMN(Prehľad!B7)+6,FALSE),VLOOKUP(Prehľad!$B7,Harmonogram!$F$2:$EW$150,COLUMN(Prehľad!B7)+1,FALSE))),"")</f>
        <v>Ciele projektu sú nasledovné:
- Odstránenie prekážok v dvoch vybraných úsekoch železničnej trate;
- Zabezpečenie optimálnej úrovne integrácie a interoperability v súlade s Nariadením (EÚ) č. 1299/2014 a Smernicou o interoperabilite 2008/57/ES;
- Skrátenie cestovného času;
- Modernizácia železničných staníc a zastávok;
- Zvýšenie kvality infraštruktúry z hľadiska bezpečnosti, spoľahlivosti a účinnosti;
- Podpora rozdelenia používania jednotlivých druhov dopravy podporovaním využívania železničnej dopravy;
- Zvyšovanie bezpečnosti na železničných tratiach odstraňovaním úrovňových križovatiek križovaní žel. trate s pozemnými komunikáciami a ich nahrádzaním mimoúrovňovými križovatkami; križovaním (nadjazdy, podjazdy, podchody)
- Znižovanie hlukového a atmosférického znečistenia.</v>
      </c>
      <c r="E7" s="207" t="str">
        <f>IFERROR(IF(IF(ISBLANK($B7),VLOOKUP($A7,Harmonogram!$A$1:$FA$162,COLUMN(Prehľad!C7)+6,FALSE),VLOOKUP(Prehľad!$B7,Harmonogram!$F$2:$EW$150,COLUMN(Prehľad!C7)+1,FALSE))=0,"",IF(ISBLANK($B7),VLOOKUP($A7,Harmonogram!$A$1:$FA$162,COLUMN(Prehľad!C7)+6,FALSE),VLOOKUP(Prehľad!$B7,Harmonogram!$F$2:$EW$150,COLUMN(Prehľad!C7)+1,FALSE))),"")</f>
        <v>TEN-T core;
RFC 7 - hlavná trať
Dĺžka(110a)= 6,4km; osôb/deň= 5000; mil.hrtkm/rok=170,9
Dĺžka(110b)= 26,5km; osôb/deň= 9000; mil.hrtkm/rok=690,6
Dĺžka(110c)= 23,6km; osôb/deň= 12000; mil.hrtkm/rok=530,7</v>
      </c>
      <c r="F7" s="206" t="str">
        <f>IF(ISBLANK(B7),"",IFERROR(VLOOKUP(B7,Harmonogram!$F$3:$EO$97,140,FALSE),"er"))</f>
        <v>DNV - MA - 24,286;
KU - št. hr. - 10,320</v>
      </c>
      <c r="G7" s="177" t="str">
        <f>IFERROR(IF(IF(ISBLANK($B7),VLOOKUP($A7,Harmonogram!$A$1:$FA$162,COLUMN(Prehľad!D7)+6,FALSE),VLOOKUP(Prehľad!$B7,Harmonogram!$F$2:$EW$150,COLUMN(Prehľad!D7)+1,FALSE))=0,"",IF(ISBLANK($B7),VLOOKUP($A7,Harmonogram!$A$1:$FA$162,COLUMN(Prehľad!D7)+6,FALSE),VLOOKUP(Prehľad!$B7,Harmonogram!$F$2:$EW$150,COLUMN(Prehľad!D7)+1,FALSE))),"")</f>
        <v>1b; 3a; 3b</v>
      </c>
      <c r="H7" s="250" t="str">
        <f>IFERROR(IF(IF(ISBLANK($B7),VLOOKUP($A7,Harmonogram!$A$1:$FA$162,COLUMN(Prehľad!A7)+11,FALSE),VLOOKUP(Prehľad!$B7,Harmonogram!$F$2:$EW$150,COLUMN(Prehľad!A7)+6,FALSE))=0,"",IF(ISBLANK($B7),VLOOKUP($A7,Harmonogram!$A$1:$FA$162,COLUMN(Prehľad!A7)+11,FALSE),VLOOKUP(Prehľad!$B7,Harmonogram!$F$2:$EW$150,COLUMN(Prehľad!A7)+6,FALSE))),"")</f>
        <v>Zmluva na žltý Fidic/DRS</v>
      </c>
      <c r="I7" s="260">
        <f>IF(LEN($B7)=0,VLOOKUP($A7,Harmonogram!$A$1:$FA$162,COLUMN(Prehľad!B7)+11,FALSE),VLOOKUP(Prehľad!$B7,Harmonogram!$F$2:$EW$150,COLUMN(Prehľad!B7)+6,FALSE))</f>
        <v>275930509.08000004</v>
      </c>
      <c r="J7" s="261">
        <f>IF(LEN($B7)=0,VLOOKUP($A7,Harmonogram!$A$1:$FA$162,COLUMN(Prehľad!A7)*12+12,FALSE),VLOOKUP(Prehľad!$B7,Harmonogram!$F$2:$EW$150,COLUMN(Prehľad!A7)*12+7,FALSE))</f>
        <v>0</v>
      </c>
      <c r="K7" s="260">
        <f>IF(LEN($B7)=0,VLOOKUP($A7,Harmonogram!$A$1:$FA$162,COLUMN(Prehľad!B7)*12+12,FALSE),VLOOKUP(Prehľad!$B7,Harmonogram!$F$2:$EW$150,COLUMN(Prehľad!B7)*12+7,FALSE))</f>
        <v>3499440.41</v>
      </c>
      <c r="L7" s="260">
        <f>IF(LEN($B7)=0,VLOOKUP($A7,Harmonogram!$A$1:$FA$162,COLUMN(Prehľad!C7)*12+12,FALSE),VLOOKUP(Prehľad!$B7,Harmonogram!$F$2:$EW$150,COLUMN(Prehľad!C7)*12+7,FALSE))</f>
        <v>62828053.18</v>
      </c>
      <c r="M7" s="260">
        <f>IF(LEN($B7)=0,VLOOKUP($A7,Harmonogram!$A$1:$FA$162,COLUMN(Prehľad!D7)*12+12,FALSE),VLOOKUP(Prehľad!$B7,Harmonogram!$F$2:$EW$150,COLUMN(Prehľad!D7)*12+7,FALSE))</f>
        <v>179650075.55000001</v>
      </c>
      <c r="N7" s="260">
        <f>IF(LEN($B7)=0,VLOOKUP($A7,Harmonogram!$A$1:$FA$162,COLUMN(Prehľad!E7)*12+12,FALSE),VLOOKUP(Prehľad!$B7,Harmonogram!$F$2:$EW$150,COLUMN(Prehľad!E7)*12+7,FALSE))</f>
        <v>29952939.940000001</v>
      </c>
      <c r="O7" s="260">
        <f>IF(LEN($B7)=0,VLOOKUP($A7,Harmonogram!$A$1:$FA$162,COLUMN(Prehľad!F7)*12+12,FALSE),VLOOKUP(Prehľad!$B7,Harmonogram!$F$2:$EW$150,COLUMN(Prehľad!F7)*12+7,FALSE))</f>
        <v>0</v>
      </c>
      <c r="P7" s="260">
        <f>IF(LEN($B7)=0,VLOOKUP($A7,Harmonogram!$A$1:$FA$162,COLUMN(Prehľad!G7)*12+12,FALSE),VLOOKUP(Prehľad!$B7,Harmonogram!$F$2:$EW$150,COLUMN(Prehľad!G7)*12+7,FALSE))</f>
        <v>0</v>
      </c>
      <c r="Q7" s="260">
        <f>IF(LEN($B7)=0,VLOOKUP($A7,Harmonogram!$A$1:$FA$162,COLUMN(Prehľad!H7)*12+12,FALSE),VLOOKUP(Prehľad!$B7,Harmonogram!$F$2:$EW$150,COLUMN(Prehľad!H7)*12+7,FALSE))</f>
        <v>0</v>
      </c>
      <c r="R7" s="260">
        <f>IF(LEN($B7)=0,VLOOKUP($A7,Harmonogram!$A$1:$FA$162,COLUMN(Prehľad!I7)*12+12,FALSE),VLOOKUP(Prehľad!$B7,Harmonogram!$F$2:$EW$150,COLUMN(Prehľad!I7)*12+7,FALSE))</f>
        <v>0</v>
      </c>
      <c r="S7" s="260">
        <f>IF(LEN($B7)=0,VLOOKUP($A7,Harmonogram!$A$1:$FA$162,COLUMN(Prehľad!J7)*12+12,FALSE),VLOOKUP(Prehľad!$B7,Harmonogram!$F$2:$EW$150,COLUMN(Prehľad!J7)*12+7,FALSE))</f>
        <v>0</v>
      </c>
      <c r="T7" s="262">
        <f>IF(LEN($B7)=0,VLOOKUP($A7,Harmonogram!$A$1:$FA$162,COLUMN(Prehľad!K7)*12+12,FALSE),VLOOKUP(Prehľad!$B7,Harmonogram!$F$2:$EW$150,COLUMN(Prehľad!K7)*12+7,FALSE))</f>
        <v>0</v>
      </c>
    </row>
    <row r="8" spans="1:22" ht="135" x14ac:dyDescent="0.25">
      <c r="A8" s="237"/>
      <c r="B8" s="203" t="s">
        <v>982</v>
      </c>
      <c r="C8" s="177" t="str">
        <f>IFERROR(IF(IF(ISBLANK($B8),VLOOKUP($A8,Harmonogram!$A$1:$FA$162,COLUMN(Prehľad!A8)+6,FALSE),VLOOKUP(Prehľad!$B8,Harmonogram!$F$2:$EW$150,COLUMN(Prehľad!A8)+1,FALSE))=0,"",IF(ISBLANK($B8),VLOOKUP($A8,Harmonogram!$A$1:$FA$162,COLUMN(Prehľad!A8)+6,FALSE),VLOOKUP(Prehľad!$B8,Harmonogram!$F$2:$EW$150,COLUMN(Prehľad!A8)+1,FALSE))),"")</f>
        <v>Projekt rieši modernizáciu železničnej trate v úseku Poprad - Štrba (Lučivná) v celkovej dĺžke v súčasnom stave 12,868 km. Modernizáciou trate sa dosiahne nová úroveň technickej vybavenosti a použiteľnosti zabudovaním najmodernejších a najprogresívnejších prvkov a tým skvalitnenie a zlepšenie jej technických parametrov ako celku. Predmetom stavby je najmä modernizácia železničného zvršku a spodku, modernizácia trakčného vedenia, modernizácia zabezpečovacieho zariadenia.</v>
      </c>
      <c r="D8" s="177" t="str">
        <f>IFERROR(IF(IF(ISBLANK($B8),VLOOKUP($A8,Harmonogram!$A$1:$FA$162,COLUMN(Prehľad!B8)+6,FALSE),VLOOKUP(Prehľad!$B8,Harmonogram!$F$2:$EW$150,COLUMN(Prehľad!B8)+1,FALSE))=0,"",IF(ISBLANK($B8),VLOOKUP($A8,Harmonogram!$A$1:$FA$162,COLUMN(Prehľad!B8)+6,FALSE),VLOOKUP(Prehľad!$B8,Harmonogram!$F$2:$EW$150,COLUMN(Prehľad!B8)+1,FALSE))),"")</f>
        <v>Hlavnými cieľmi projektu sú:
- zvýšenie traťovej rýchlosti do 160 km/h (pre vlaky s výkvnými srkiňami do 200 km/h),
- zvýšenie bezpečnosti a plynulosti prevádzky,
- zvýšenie bezpečnosti cestujúcich,
- zvýšenie kultúry, komfortu a plynulosti cestovania,
- zníženie negatívnych dopadov železničnej prevádzky na obyvateľstvo,
- zlepšenie a skvalitnenie životného prostredia,
- zníženie nákladov na údržbu železničnej infraštruktúry.</v>
      </c>
      <c r="E8" s="204" t="str">
        <f>IFERROR(IF(IF(ISBLANK($B8),VLOOKUP($A8,Harmonogram!$A$1:$FA$162,COLUMN(Prehľad!C8)+6,FALSE),VLOOKUP(Prehľad!$B8,Harmonogram!$F$2:$EW$150,COLUMN(Prehľad!C8)+1,FALSE))=0,"",IF(ISBLANK($B8),VLOOKUP($A8,Harmonogram!$A$1:$FA$162,COLUMN(Prehľad!C8)+6,FALSE),VLOOKUP(Prehľad!$B8,Harmonogram!$F$2:$EW$150,COLUMN(Prehľad!C8)+1,FALSE))),"")</f>
        <v>TEN-T core;
RFC 9 - hlavná trať
Dĺžka(180e)= 17,9km; osôb/deň= 9000; mil.hrtkm/rok=415,5</v>
      </c>
      <c r="F8" s="177">
        <f>IF(ISBLANK(B8),"",IFERROR(VLOOKUP(B8,Harmonogram!$F$3:$EO$97,140,FALSE),"er"))</f>
        <v>12.868</v>
      </c>
      <c r="G8" s="177" t="str">
        <f>IFERROR(IF(IF(ISBLANK($B8),VLOOKUP($A8,Harmonogram!$A$1:$FA$162,COLUMN(Prehľad!D8)+6,FALSE),VLOOKUP(Prehľad!$B8,Harmonogram!$F$2:$EW$150,COLUMN(Prehľad!D8)+1,FALSE))=0,"",IF(ISBLANK($B8),VLOOKUP($A8,Harmonogram!$A$1:$FA$162,COLUMN(Prehľad!D8)+6,FALSE),VLOOKUP(Prehľad!$B8,Harmonogram!$F$2:$EW$150,COLUMN(Prehľad!D8)+1,FALSE))),"")</f>
        <v>1b; 3a; 3b</v>
      </c>
      <c r="H8" s="250" t="str">
        <f>IFERROR(IF(IF(ISBLANK($B8),VLOOKUP($A8,Harmonogram!$A$1:$FA$162,COLUMN(Prehľad!A8)+11,FALSE),VLOOKUP(Prehľad!$B8,Harmonogram!$F$2:$EW$150,COLUMN(Prehľad!A8)+6,FALSE))=0,"",IF(ISBLANK($B8),VLOOKUP($A8,Harmonogram!$A$1:$FA$162,COLUMN(Prehľad!A8)+11,FALSE),VLOOKUP(Prehľad!$B8,Harmonogram!$F$2:$EW$150,COLUMN(Prehľad!A8)+6,FALSE))),"")</f>
        <v>Vo výstavbe / Zmluva</v>
      </c>
      <c r="I8" s="260">
        <f>IF(LEN($B8)=0,VLOOKUP($A8,Harmonogram!$A$1:$FA$162,COLUMN(Prehľad!B8)+11,FALSE),VLOOKUP(Prehľad!$B8,Harmonogram!$F$2:$EW$150,COLUMN(Prehľad!B8)+6,FALSE))</f>
        <v>122251710.53</v>
      </c>
      <c r="J8" s="261">
        <f>IF(LEN($B8)=0,VLOOKUP($A8,Harmonogram!$A$1:$FA$162,COLUMN(Prehľad!A8)*12+12,FALSE),VLOOKUP(Prehľad!$B8,Harmonogram!$F$2:$EW$150,COLUMN(Prehľad!A8)*12+7,FALSE))</f>
        <v>17935643.289999999</v>
      </c>
      <c r="K8" s="260">
        <f>IF(LEN($B8)=0,VLOOKUP($A8,Harmonogram!$A$1:$FA$162,COLUMN(Prehľad!B8)*12+12,FALSE),VLOOKUP(Prehľad!$B8,Harmonogram!$F$2:$EW$150,COLUMN(Prehľad!B8)*12+7,FALSE))</f>
        <v>38888473.520000003</v>
      </c>
      <c r="L8" s="260">
        <f>IF(LEN($B8)=0,VLOOKUP($A8,Harmonogram!$A$1:$FA$162,COLUMN(Prehľad!C8)*12+12,FALSE),VLOOKUP(Prehľad!$B8,Harmonogram!$F$2:$EW$150,COLUMN(Prehľad!C8)*12+7,FALSE))</f>
        <v>64998518.719999999</v>
      </c>
      <c r="M8" s="260">
        <f>IF(LEN($B8)=0,VLOOKUP($A8,Harmonogram!$A$1:$FA$162,COLUMN(Prehľad!D8)*12+12,FALSE),VLOOKUP(Prehľad!$B8,Harmonogram!$F$2:$EW$150,COLUMN(Prehľad!D8)*12+7,FALSE))</f>
        <v>429075</v>
      </c>
      <c r="N8" s="260">
        <f>IF(LEN($B8)=0,VLOOKUP($A8,Harmonogram!$A$1:$FA$162,COLUMN(Prehľad!E8)*12+12,FALSE),VLOOKUP(Prehľad!$B8,Harmonogram!$F$2:$EW$150,COLUMN(Prehľad!E8)*12+7,FALSE))</f>
        <v>0</v>
      </c>
      <c r="O8" s="260">
        <f>IF(LEN($B8)=0,VLOOKUP($A8,Harmonogram!$A$1:$FA$162,COLUMN(Prehľad!F8)*12+12,FALSE),VLOOKUP(Prehľad!$B8,Harmonogram!$F$2:$EW$150,COLUMN(Prehľad!F8)*12+7,FALSE))</f>
        <v>0</v>
      </c>
      <c r="P8" s="260">
        <f>IF(LEN($B8)=0,VLOOKUP($A8,Harmonogram!$A$1:$FA$162,COLUMN(Prehľad!G8)*12+12,FALSE),VLOOKUP(Prehľad!$B8,Harmonogram!$F$2:$EW$150,COLUMN(Prehľad!G8)*12+7,FALSE))</f>
        <v>0</v>
      </c>
      <c r="Q8" s="260">
        <f>IF(LEN($B8)=0,VLOOKUP($A8,Harmonogram!$A$1:$FA$162,COLUMN(Prehľad!H8)*12+12,FALSE),VLOOKUP(Prehľad!$B8,Harmonogram!$F$2:$EW$150,COLUMN(Prehľad!H8)*12+7,FALSE))</f>
        <v>0</v>
      </c>
      <c r="R8" s="260">
        <f>IF(LEN($B8)=0,VLOOKUP($A8,Harmonogram!$A$1:$FA$162,COLUMN(Prehľad!I8)*12+12,FALSE),VLOOKUP(Prehľad!$B8,Harmonogram!$F$2:$EW$150,COLUMN(Prehľad!I8)*12+7,FALSE))</f>
        <v>0</v>
      </c>
      <c r="S8" s="260">
        <f>IF(LEN($B8)=0,VLOOKUP($A8,Harmonogram!$A$1:$FA$162,COLUMN(Prehľad!J8)*12+12,FALSE),VLOOKUP(Prehľad!$B8,Harmonogram!$F$2:$EW$150,COLUMN(Prehľad!J8)*12+7,FALSE))</f>
        <v>0</v>
      </c>
      <c r="T8" s="262">
        <f>IF(LEN($B8)=0,VLOOKUP($A8,Harmonogram!$A$1:$FA$162,COLUMN(Prehľad!K8)*12+12,FALSE),VLOOKUP(Prehľad!$B8,Harmonogram!$F$2:$EW$150,COLUMN(Prehľad!K8)*12+7,FALSE))</f>
        <v>0</v>
      </c>
    </row>
    <row r="9" spans="1:22" ht="90" x14ac:dyDescent="0.25">
      <c r="A9" s="237"/>
      <c r="B9" s="208" t="s">
        <v>983</v>
      </c>
      <c r="C9" s="183" t="str">
        <f>IFERROR(IF(IF(ISBLANK($B9),VLOOKUP($A9,Harmonogram!$A$1:$FA$162,COLUMN(Prehľad!A9)+6,FALSE),VLOOKUP(Prehľad!$B9,Harmonogram!$F$2:$EW$150,COLUMN(Prehľad!A9)+1,FALSE))=0,"",IF(ISBLANK($B9),VLOOKUP($A9,Harmonogram!$A$1:$FA$162,COLUMN(Prehľad!A9)+6,FALSE),VLOOKUP(Prehľad!$B9,Harmonogram!$F$2:$EW$150,COLUMN(Prehľad!A9)+1,FALSE))),"")</f>
        <v>Projekt rieši nasadenie GSM-R na železničnej trati Varín - Košice - Čierna nad Tisou dlhej 329,374 km. Zahŕňa 4 aktivity - prípravné úlohy, dohľad nad stavebnými prácami, stavebné práce a projektový manažment. GSM-R sa bude používať na hlasovú a dátovú komunikáciu a umožní budúce fungovanie úseku s úrovňou ETCS 2 a vyššou.</v>
      </c>
      <c r="D9" s="183" t="str">
        <f>IFERROR(IF(IF(ISBLANK($B9),VLOOKUP($A9,Harmonogram!$A$1:$FA$162,COLUMN(Prehľad!B9)+6,FALSE),VLOOKUP(Prehľad!$B9,Harmonogram!$F$2:$EW$150,COLUMN(Prehľad!B9)+1,FALSE))=0,"",IF(ISBLANK($B9),VLOOKUP($A9,Harmonogram!$A$1:$FA$162,COLUMN(Prehľad!B9)+6,FALSE),VLOOKUP(Prehľad!$B9,Harmonogram!$F$2:$EW$150,COLUMN(Prehľad!B9)+1,FALSE))),"")</f>
        <v>Hlavným účelom stavby je modernizovať technickú infraštruktúru železničných tratí ŽSR na štandardy definované v medzinárodných dohodách, skvalitnenie dopravnej infraštruktúry, dosiahnutie interoperability vybraných tratí ŽSR a ich začlenenie do medzinárodných trás a tiež zvýšenie bezpečnosti prevádzky a cestujúcich.</v>
      </c>
      <c r="E9" s="209" t="str">
        <f>IFERROR(IF(IF(ISBLANK($B9),VLOOKUP($A9,Harmonogram!$A$1:$FA$162,COLUMN(Prehľad!C9)+6,FALSE),VLOOKUP(Prehľad!$B9,Harmonogram!$F$2:$EW$150,COLUMN(Prehľad!C9)+1,FALSE))=0,"",IF(ISBLANK($B9),VLOOKUP($A9,Harmonogram!$A$1:$FA$162,COLUMN(Prehľad!C9)+6,FALSE),VLOOKUP(Prehľad!$B9,Harmonogram!$F$2:$EW$150,COLUMN(Prehľad!C9)+1,FALSE))),"")</f>
        <v>TEN-T core;
RFC 9 - hlavná trať
RFC 11 - hlavná trať</v>
      </c>
      <c r="F9" s="183">
        <f>IF(ISBLANK(B9),"",IFERROR(VLOOKUP(B9,Harmonogram!$F$3:$EO$97,140,FALSE),"er"))</f>
        <v>329.37400000000002</v>
      </c>
      <c r="G9" s="177" t="str">
        <f>IFERROR(IF(IF(ISBLANK($B9),VLOOKUP($A9,Harmonogram!$A$1:$FA$162,COLUMN(Prehľad!D9)+6,FALSE),VLOOKUP(Prehľad!$B9,Harmonogram!$F$2:$EW$150,COLUMN(Prehľad!D9)+1,FALSE))=0,"",IF(ISBLANK($B9),VLOOKUP($A9,Harmonogram!$A$1:$FA$162,COLUMN(Prehľad!D9)+6,FALSE),VLOOKUP(Prehľad!$B9,Harmonogram!$F$2:$EW$150,COLUMN(Prehľad!D9)+1,FALSE))),"")</f>
        <v/>
      </c>
      <c r="H9" s="250" t="str">
        <f>IFERROR(IF(IF(ISBLANK($B9),VLOOKUP($A9,Harmonogram!$A$1:$FA$162,COLUMN(Prehľad!A9)+11,FALSE),VLOOKUP(Prehľad!$B9,Harmonogram!$F$2:$EW$150,COLUMN(Prehľad!A9)+6,FALSE))=0,"",IF(ISBLANK($B9),VLOOKUP($A9,Harmonogram!$A$1:$FA$162,COLUMN(Prehľad!A9)+11,FALSE),VLOOKUP(Prehľad!$B9,Harmonogram!$F$2:$EW$150,COLUMN(Prehľad!A9)+6,FALSE))),"")</f>
        <v>DSPRS</v>
      </c>
      <c r="I9" s="260">
        <f>IF(LEN($B9)=0,VLOOKUP($A9,Harmonogram!$A$1:$FA$162,COLUMN(Prehľad!B9)+11,FALSE),VLOOKUP(Prehľad!$B9,Harmonogram!$F$2:$EW$150,COLUMN(Prehľad!B9)+6,FALSE))</f>
        <v>32322094.570000004</v>
      </c>
      <c r="J9" s="261">
        <f>IF(LEN($B9)=0,VLOOKUP($A9,Harmonogram!$A$1:$FA$162,COLUMN(Prehľad!A9)*12+12,FALSE),VLOOKUP(Prehľad!$B9,Harmonogram!$F$2:$EW$150,COLUMN(Prehľad!A9)*12+7,FALSE))</f>
        <v>1092759.28</v>
      </c>
      <c r="K9" s="260">
        <f>IF(LEN($B9)=0,VLOOKUP($A9,Harmonogram!$A$1:$FA$162,COLUMN(Prehľad!B9)*12+12,FALSE),VLOOKUP(Prehľad!$B9,Harmonogram!$F$2:$EW$150,COLUMN(Prehľad!B9)*12+7,FALSE))</f>
        <v>514214.77999999997</v>
      </c>
      <c r="L9" s="260">
        <f>IF(LEN($B9)=0,VLOOKUP($A9,Harmonogram!$A$1:$FA$162,COLUMN(Prehľad!C9)*12+12,FALSE),VLOOKUP(Prehľad!$B9,Harmonogram!$F$2:$EW$150,COLUMN(Prehľad!C9)*12+7,FALSE))</f>
        <v>164835</v>
      </c>
      <c r="M9" s="260">
        <f>IF(LEN($B9)=0,VLOOKUP($A9,Harmonogram!$A$1:$FA$162,COLUMN(Prehľad!D9)*12+12,FALSE),VLOOKUP(Prehľad!$B9,Harmonogram!$F$2:$EW$150,COLUMN(Prehľad!D9)*12+7,FALSE))</f>
        <v>10848483.51</v>
      </c>
      <c r="N9" s="260">
        <f>IF(LEN($B9)=0,VLOOKUP($A9,Harmonogram!$A$1:$FA$162,COLUMN(Prehľad!E9)*12+12,FALSE),VLOOKUP(Prehľad!$B9,Harmonogram!$F$2:$EW$150,COLUMN(Prehľad!E9)*12+7,FALSE))</f>
        <v>16839846.000000004</v>
      </c>
      <c r="O9" s="260">
        <f>IF(LEN($B9)=0,VLOOKUP($A9,Harmonogram!$A$1:$FA$162,COLUMN(Prehľad!F9)*12+12,FALSE),VLOOKUP(Prehľad!$B9,Harmonogram!$F$2:$EW$150,COLUMN(Prehľad!F9)*12+7,FALSE))</f>
        <v>2861956</v>
      </c>
      <c r="P9" s="260">
        <f>IF(LEN($B9)=0,VLOOKUP($A9,Harmonogram!$A$1:$FA$162,COLUMN(Prehľad!G9)*12+12,FALSE),VLOOKUP(Prehľad!$B9,Harmonogram!$F$2:$EW$150,COLUMN(Prehľad!G9)*12+7,FALSE))</f>
        <v>0</v>
      </c>
      <c r="Q9" s="260">
        <f>IF(LEN($B9)=0,VLOOKUP($A9,Harmonogram!$A$1:$FA$162,COLUMN(Prehľad!H9)*12+12,FALSE),VLOOKUP(Prehľad!$B9,Harmonogram!$F$2:$EW$150,COLUMN(Prehľad!H9)*12+7,FALSE))</f>
        <v>0</v>
      </c>
      <c r="R9" s="260">
        <f>IF(LEN($B9)=0,VLOOKUP($A9,Harmonogram!$A$1:$FA$162,COLUMN(Prehľad!I9)*12+12,FALSE),VLOOKUP(Prehľad!$B9,Harmonogram!$F$2:$EW$150,COLUMN(Prehľad!I9)*12+7,FALSE))</f>
        <v>0</v>
      </c>
      <c r="S9" s="260">
        <f>IF(LEN($B9)=0,VLOOKUP($A9,Harmonogram!$A$1:$FA$162,COLUMN(Prehľad!J9)*12+12,FALSE),VLOOKUP(Prehľad!$B9,Harmonogram!$F$2:$EW$150,COLUMN(Prehľad!J9)*12+7,FALSE))</f>
        <v>0</v>
      </c>
      <c r="T9" s="262">
        <f>IF(LEN($B9)=0,VLOOKUP($A9,Harmonogram!$A$1:$FA$162,COLUMN(Prehľad!K9)*12+12,FALSE),VLOOKUP(Prehľad!$B9,Harmonogram!$F$2:$EW$150,COLUMN(Prehľad!K9)*12+7,FALSE))</f>
        <v>0</v>
      </c>
    </row>
    <row r="10" spans="1:22" ht="105" x14ac:dyDescent="0.25">
      <c r="A10" s="237"/>
      <c r="B10" s="203" t="s">
        <v>992</v>
      </c>
      <c r="C10" s="177" t="str">
        <f>IFERROR(IF(IF(ISBLANK($B10),VLOOKUP($A10,Harmonogram!$A$1:$FA$162,COLUMN(Prehľad!A10)+6,FALSE),VLOOKUP(Prehľad!$B10,Harmonogram!$F$2:$EW$150,COLUMN(Prehľad!A10)+1,FALSE))=0,"",IF(ISBLANK($B10),VLOOKUP($A10,Harmonogram!$A$1:$FA$162,COLUMN(Prehľad!A10)+6,FALSE),VLOOKUP(Prehľad!$B10,Harmonogram!$F$2:$EW$150,COLUMN(Prehľad!A10)+1,FALSE))),"")</f>
        <v>Predmetom sú stavebné práce spočívajúce v predĺžení všetkých koľají nepárnej skupiny a v úprave malej osovej vzdialenosti koľají č. 1š – 2š, pričom zmena konfigurácie zhlavia si vyžiada nové usporiadanie výhybiek, úpravy súčasného zabezpečovacieho zariadenia a úpravu trakčného vedenia.</v>
      </c>
      <c r="D10" s="177" t="str">
        <f>IFERROR(IF(IF(ISBLANK($B10),VLOOKUP($A10,Harmonogram!$A$1:$FA$162,COLUMN(Prehľad!B10)+6,FALSE),VLOOKUP(Prehľad!$B10,Harmonogram!$F$2:$EW$150,COLUMN(Prehľad!B10)+1,FALSE))=0,"",IF(ISBLANK($B10),VLOOKUP($A10,Harmonogram!$A$1:$FA$162,COLUMN(Prehľad!B10)+6,FALSE),VLOOKUP(Prehľad!$B10,Harmonogram!$F$2:$EW$150,COLUMN(Prehľad!B10)+1,FALSE))),"")</f>
        <v>Realizácia stavby výrazne prispeje k zvýšeniu bezpečnosti a plynulosti na železničnej dopravnej ceste, obmedzí neefektívne vynakladanie finančných prostriedkov na udržiavacie práce a odstráni jestvujúce obmedzenie železničnej prevádzky. Rekonštrukciou zhlavia a jeho odsunom smerom na Hanisku p/K ŠRT sa dosiahnu predpísané dĺžky koľají vzhľadom na dĺžky vlakov a bezproblémový prísun a odsun súprav z a do ŽST Maťovce ŠRT.</v>
      </c>
      <c r="E10" s="204" t="str">
        <f>IFERROR(IF(IF(ISBLANK($B10),VLOOKUP($A10,Harmonogram!$A$1:$FA$162,COLUMN(Prehľad!C10)+6,FALSE),VLOOKUP(Prehľad!$B10,Harmonogram!$F$2:$EW$150,COLUMN(Prehľad!C10)+1,FALSE))=0,"",IF(ISBLANK($B10),VLOOKUP($A10,Harmonogram!$A$1:$FA$162,COLUMN(Prehľad!C10)+6,FALSE),VLOOKUP(Prehľad!$B10,Harmonogram!$F$2:$EW$150,COLUMN(Prehľad!C10)+1,FALSE))),"")</f>
        <v>Vedľajšia trať ŽSR
RFC 9 - alternatívna trať
Dĺžka(195a)= 32,2km; osôb/deň= 100; mil.hrtkm/rok=45</v>
      </c>
      <c r="F10" s="177" t="str">
        <f>IF(ISBLANK(B10),"",IFERROR(VLOOKUP(B10,Harmonogram!$F$3:$EO$97,140,FALSE),"er"))</f>
        <v>stavba do 3 km</v>
      </c>
      <c r="G10" s="177" t="str">
        <f>IFERROR(IF(IF(ISBLANK($B10),VLOOKUP($A10,Harmonogram!$A$1:$FA$162,COLUMN(Prehľad!D10)+6,FALSE),VLOOKUP(Prehľad!$B10,Harmonogram!$F$2:$EW$150,COLUMN(Prehľad!D10)+1,FALSE))=0,"",IF(ISBLANK($B10),VLOOKUP($A10,Harmonogram!$A$1:$FA$162,COLUMN(Prehľad!D10)+6,FALSE),VLOOKUP(Prehľad!$B10,Harmonogram!$F$2:$EW$150,COLUMN(Prehľad!D10)+1,FALSE))),"")</f>
        <v>1b</v>
      </c>
      <c r="H10" s="250" t="str">
        <f>IFERROR(IF(IF(ISBLANK($B10),VLOOKUP($A10,Harmonogram!$A$1:$FA$162,COLUMN(Prehľad!A10)+11,FALSE),VLOOKUP(Prehľad!$B10,Harmonogram!$F$2:$EW$150,COLUMN(Prehľad!A10)+6,FALSE))=0,"",IF(ISBLANK($B10),VLOOKUP($A10,Harmonogram!$A$1:$FA$162,COLUMN(Prehľad!A10)+11,FALSE),VLOOKUP(Prehľad!$B10,Harmonogram!$F$2:$EW$150,COLUMN(Prehľad!A10)+6,FALSE))),"")</f>
        <v>Vo výstavbe / Zmluva</v>
      </c>
      <c r="I10" s="260">
        <f>IF(LEN($B10)=0,VLOOKUP($A10,Harmonogram!$A$1:$FA$162,COLUMN(Prehľad!B10)+11,FALSE),VLOOKUP(Prehľad!$B10,Harmonogram!$F$2:$EW$150,COLUMN(Prehľad!B10)+6,FALSE))</f>
        <v>6316450.5099999998</v>
      </c>
      <c r="J10" s="261">
        <f>IF(LEN($B10)=0,VLOOKUP($A10,Harmonogram!$A$1:$FA$162,COLUMN(Prehľad!A10)*12+12,FALSE),VLOOKUP(Prehľad!$B10,Harmonogram!$F$2:$EW$150,COLUMN(Prehľad!A10)*12+7,FALSE))</f>
        <v>111095</v>
      </c>
      <c r="K10" s="260">
        <f>IF(LEN($B10)=0,VLOOKUP($A10,Harmonogram!$A$1:$FA$162,COLUMN(Prehľad!B10)*12+12,FALSE),VLOOKUP(Prehľad!$B10,Harmonogram!$F$2:$EW$150,COLUMN(Prehľad!B10)*12+7,FALSE))</f>
        <v>0</v>
      </c>
      <c r="L10" s="260">
        <f>IF(LEN($B10)=0,VLOOKUP($A10,Harmonogram!$A$1:$FA$162,COLUMN(Prehľad!C10)*12+12,FALSE),VLOOKUP(Prehľad!$B10,Harmonogram!$F$2:$EW$150,COLUMN(Prehľad!C10)*12+7,FALSE))</f>
        <v>6205355.5099999998</v>
      </c>
      <c r="M10" s="260">
        <f>IF(LEN($B10)=0,VLOOKUP($A10,Harmonogram!$A$1:$FA$162,COLUMN(Prehľad!D10)*12+12,FALSE),VLOOKUP(Prehľad!$B10,Harmonogram!$F$2:$EW$150,COLUMN(Prehľad!D10)*12+7,FALSE))</f>
        <v>0</v>
      </c>
      <c r="N10" s="260">
        <f>IF(LEN($B10)=0,VLOOKUP($A10,Harmonogram!$A$1:$FA$162,COLUMN(Prehľad!E10)*12+12,FALSE),VLOOKUP(Prehľad!$B10,Harmonogram!$F$2:$EW$150,COLUMN(Prehľad!E10)*12+7,FALSE))</f>
        <v>0</v>
      </c>
      <c r="O10" s="260">
        <f>IF(LEN($B10)=0,VLOOKUP($A10,Harmonogram!$A$1:$FA$162,COLUMN(Prehľad!F10)*12+12,FALSE),VLOOKUP(Prehľad!$B10,Harmonogram!$F$2:$EW$150,COLUMN(Prehľad!F10)*12+7,FALSE))</f>
        <v>0</v>
      </c>
      <c r="P10" s="260">
        <f>IF(LEN($B10)=0,VLOOKUP($A10,Harmonogram!$A$1:$FA$162,COLUMN(Prehľad!G10)*12+12,FALSE),VLOOKUP(Prehľad!$B10,Harmonogram!$F$2:$EW$150,COLUMN(Prehľad!G10)*12+7,FALSE))</f>
        <v>0</v>
      </c>
      <c r="Q10" s="260">
        <f>IF(LEN($B10)=0,VLOOKUP($A10,Harmonogram!$A$1:$FA$162,COLUMN(Prehľad!H10)*12+12,FALSE),VLOOKUP(Prehľad!$B10,Harmonogram!$F$2:$EW$150,COLUMN(Prehľad!H10)*12+7,FALSE))</f>
        <v>0</v>
      </c>
      <c r="R10" s="260">
        <f>IF(LEN($B10)=0,VLOOKUP($A10,Harmonogram!$A$1:$FA$162,COLUMN(Prehľad!I10)*12+12,FALSE),VLOOKUP(Prehľad!$B10,Harmonogram!$F$2:$EW$150,COLUMN(Prehľad!I10)*12+7,FALSE))</f>
        <v>0</v>
      </c>
      <c r="S10" s="260">
        <f>IF(LEN($B10)=0,VLOOKUP($A10,Harmonogram!$A$1:$FA$162,COLUMN(Prehľad!J10)*12+12,FALSE),VLOOKUP(Prehľad!$B10,Harmonogram!$F$2:$EW$150,COLUMN(Prehľad!J10)*12+7,FALSE))</f>
        <v>0</v>
      </c>
      <c r="T10" s="262">
        <f>IF(LEN($B10)=0,VLOOKUP($A10,Harmonogram!$A$1:$FA$162,COLUMN(Prehľad!K10)*12+12,FALSE),VLOOKUP(Prehľad!$B10,Harmonogram!$F$2:$EW$150,COLUMN(Prehľad!K10)*12+7,FALSE))</f>
        <v>0</v>
      </c>
    </row>
    <row r="11" spans="1:22" ht="165" x14ac:dyDescent="0.25">
      <c r="A11" s="237"/>
      <c r="B11" s="203" t="s">
        <v>988</v>
      </c>
      <c r="C11" s="177" t="str">
        <f>IFERROR(IF(IF(ISBLANK($B11),VLOOKUP($A11,Harmonogram!$A$1:$FA$162,COLUMN(Prehľad!A11)+6,FALSE),VLOOKUP(Prehľad!$B11,Harmonogram!$F$2:$EW$150,COLUMN(Prehľad!A11)+1,FALSE))=0,"",IF(ISBLANK($B11),VLOOKUP($A11,Harmonogram!$A$1:$FA$162,COLUMN(Prehľad!A11)+6,FALSE),VLOOKUP(Prehľad!$B11,Harmonogram!$F$2:$EW$150,COLUMN(Prehľad!A11)+1,FALSE))),"")</f>
        <v>V rámci rekonštrukcie sa bude riešiť úpravu nástupíšť č. 2 a 3 vrátane smerovej a výškovej úpravy koľají č. 5, 3a, 1, 8 priľahlých k nástupným hranám nástupíšť, komplexná rekonštrukcia železničného zvršku koľ. 1b, úpravy trakčného vedenia pre koľaj č. 1b z dôvodu zriadenia nástupišťa aj pri tejto koľaji, odstránenie 1 ks rozhlasového stožiara umiestneného v priechode pre peších, brániaceho vo voľnom prístupe k nástupištiam a 1 ks osvetľovacieho stožiara z rovnakého dôvodu, úpravy priechodov pre cestujúcich pre prístup k úrovňovým nástupištiam, rekonštrukcia zastrešenia nástupíšť tzv. lastovičiek, výstupov z podchodov, zastrešenia výstupu z batožinového tunela, rekonštrukcia (zriadenie) výťahu, úprava staničného zabezpečovacieho zariadenia ŽST Košice osobná stanica pre doplnenie vybavenia obvodu St.3.</v>
      </c>
      <c r="D11" s="177" t="str">
        <f>IFERROR(IF(IF(ISBLANK($B11),VLOOKUP($A11,Harmonogram!$A$1:$FA$162,COLUMN(Prehľad!B11)+6,FALSE),VLOOKUP(Prehľad!$B11,Harmonogram!$F$2:$EW$150,COLUMN(Prehľad!B11)+1,FALSE))=0,"",IF(ISBLANK($B11),VLOOKUP($A11,Harmonogram!$A$1:$FA$162,COLUMN(Prehľad!B11)+6,FALSE),VLOOKUP(Prehľad!$B11,Harmonogram!$F$2:$EW$150,COLUMN(Prehľad!B11)+1,FALSE))),"")</f>
        <v xml:space="preserve"> Rekonštrukciou nástupíšť sa zvýši úroveň a komfort prostredia pre cestujúcu verejnosť. Úpravou staničného zabezpečovacieho zriadenia sa zvýši bezpečnosť vlakovej dopravy.</v>
      </c>
      <c r="E11" s="204" t="str">
        <f>IFERROR(IF(IF(ISBLANK($B11),VLOOKUP($A11,Harmonogram!$A$1:$FA$162,COLUMN(Prehľad!C11)+6,FALSE),VLOOKUP(Prehľad!$B11,Harmonogram!$F$2:$EW$150,COLUMN(Prehľad!C11)+1,FALSE))=0,"",IF(ISBLANK($B11),VLOOKUP($A11,Harmonogram!$A$1:$FA$162,COLUMN(Prehľad!C11)+6,FALSE),VLOOKUP(Prehľad!$B11,Harmonogram!$F$2:$EW$150,COLUMN(Prehľad!C11)+1,FALSE))),"")</f>
        <v>TEN-T core;
RFC 9 - hlavná trať
RFC 11 - hlavná trať
Dĺžka(180i)= 15,6km; osôb/deň= 14000; mil.hrtkm/rok=390,7</v>
      </c>
      <c r="F11" s="177" t="str">
        <f>IF(ISBLANK(B11),"",IFERROR(VLOOKUP(B11,Harmonogram!$F$3:$EO$97,140,FALSE),"er"))</f>
        <v>4,147; - KR koľají</v>
      </c>
      <c r="G11" s="177" t="str">
        <f>IFERROR(IF(IF(ISBLANK($B11),VLOOKUP($A11,Harmonogram!$A$1:$FA$162,COLUMN(Prehľad!D11)+6,FALSE),VLOOKUP(Prehľad!$B11,Harmonogram!$F$2:$EW$150,COLUMN(Prehľad!D11)+1,FALSE))=0,"",IF(ISBLANK($B11),VLOOKUP($A11,Harmonogram!$A$1:$FA$162,COLUMN(Prehľad!D11)+6,FALSE),VLOOKUP(Prehľad!$B11,Harmonogram!$F$2:$EW$150,COLUMN(Prehľad!D11)+1,FALSE))),"")</f>
        <v>1b</v>
      </c>
      <c r="H11" s="250" t="str">
        <f>IFERROR(IF(IF(ISBLANK($B11),VLOOKUP($A11,Harmonogram!$A$1:$FA$162,COLUMN(Prehľad!A11)+11,FALSE),VLOOKUP(Prehľad!$B11,Harmonogram!$F$2:$EW$150,COLUMN(Prehľad!A11)+6,FALSE))=0,"",IF(ISBLANK($B11),VLOOKUP($A11,Harmonogram!$A$1:$FA$162,COLUMN(Prehľad!A11)+11,FALSE),VLOOKUP(Prehľad!$B11,Harmonogram!$F$2:$EW$150,COLUMN(Prehľad!A11)+6,FALSE))),"")</f>
        <v>Vo výstavbe</v>
      </c>
      <c r="I11" s="260">
        <f>IF(LEN($B11)=0,VLOOKUP($A11,Harmonogram!$A$1:$FA$162,COLUMN(Prehľad!B11)+11,FALSE),VLOOKUP(Prehľad!$B11,Harmonogram!$F$2:$EW$150,COLUMN(Prehľad!B11)+6,FALSE))</f>
        <v>14383240.460000001</v>
      </c>
      <c r="J11" s="261">
        <f>IF(LEN($B11)=0,VLOOKUP($A11,Harmonogram!$A$1:$FA$162,COLUMN(Prehľad!A11)*12+12,FALSE),VLOOKUP(Prehľad!$B11,Harmonogram!$F$2:$EW$150,COLUMN(Prehľad!A11)*12+7,FALSE))</f>
        <v>284937.15000000002</v>
      </c>
      <c r="K11" s="260">
        <f>IF(LEN($B11)=0,VLOOKUP($A11,Harmonogram!$A$1:$FA$162,COLUMN(Prehľad!B11)*12+12,FALSE),VLOOKUP(Prehľad!$B11,Harmonogram!$F$2:$EW$150,COLUMN(Prehľad!B11)*12+7,FALSE))</f>
        <v>1398303.31</v>
      </c>
      <c r="L11" s="260">
        <f>IF(LEN($B11)=0,VLOOKUP($A11,Harmonogram!$A$1:$FA$162,COLUMN(Prehľad!C11)*12+12,FALSE),VLOOKUP(Prehľad!$B11,Harmonogram!$F$2:$EW$150,COLUMN(Prehľad!C11)*12+7,FALSE))</f>
        <v>7600000</v>
      </c>
      <c r="M11" s="260">
        <f>IF(LEN($B11)=0,VLOOKUP($A11,Harmonogram!$A$1:$FA$162,COLUMN(Prehľad!D11)*12+12,FALSE),VLOOKUP(Prehľad!$B11,Harmonogram!$F$2:$EW$150,COLUMN(Prehľad!D11)*12+7,FALSE))</f>
        <v>5100000</v>
      </c>
      <c r="N11" s="260">
        <f>IF(LEN($B11)=0,VLOOKUP($A11,Harmonogram!$A$1:$FA$162,COLUMN(Prehľad!E11)*12+12,FALSE),VLOOKUP(Prehľad!$B11,Harmonogram!$F$2:$EW$150,COLUMN(Prehľad!E11)*12+7,FALSE))</f>
        <v>0</v>
      </c>
      <c r="O11" s="260">
        <f>IF(LEN($B11)=0,VLOOKUP($A11,Harmonogram!$A$1:$FA$162,COLUMN(Prehľad!F11)*12+12,FALSE),VLOOKUP(Prehľad!$B11,Harmonogram!$F$2:$EW$150,COLUMN(Prehľad!F11)*12+7,FALSE))</f>
        <v>0</v>
      </c>
      <c r="P11" s="260">
        <f>IF(LEN($B11)=0,VLOOKUP($A11,Harmonogram!$A$1:$FA$162,COLUMN(Prehľad!G11)*12+12,FALSE),VLOOKUP(Prehľad!$B11,Harmonogram!$F$2:$EW$150,COLUMN(Prehľad!G11)*12+7,FALSE))</f>
        <v>0</v>
      </c>
      <c r="Q11" s="260">
        <f>IF(LEN($B11)=0,VLOOKUP($A11,Harmonogram!$A$1:$FA$162,COLUMN(Prehľad!H11)*12+12,FALSE),VLOOKUP(Prehľad!$B11,Harmonogram!$F$2:$EW$150,COLUMN(Prehľad!H11)*12+7,FALSE))</f>
        <v>0</v>
      </c>
      <c r="R11" s="260">
        <f>IF(LEN($B11)=0,VLOOKUP($A11,Harmonogram!$A$1:$FA$162,COLUMN(Prehľad!I11)*12+12,FALSE),VLOOKUP(Prehľad!$B11,Harmonogram!$F$2:$EW$150,COLUMN(Prehľad!I11)*12+7,FALSE))</f>
        <v>0</v>
      </c>
      <c r="S11" s="260">
        <f>IF(LEN($B11)=0,VLOOKUP($A11,Harmonogram!$A$1:$FA$162,COLUMN(Prehľad!J11)*12+12,FALSE),VLOOKUP(Prehľad!$B11,Harmonogram!$F$2:$EW$150,COLUMN(Prehľad!J11)*12+7,FALSE))</f>
        <v>0</v>
      </c>
      <c r="T11" s="262">
        <f>IF(LEN($B11)=0,VLOOKUP($A11,Harmonogram!$A$1:$FA$162,COLUMN(Prehľad!K11)*12+12,FALSE),VLOOKUP(Prehľad!$B11,Harmonogram!$F$2:$EW$150,COLUMN(Prehľad!K11)*12+7,FALSE))</f>
        <v>0</v>
      </c>
    </row>
    <row r="12" spans="1:22" s="5" customFormat="1" ht="135" x14ac:dyDescent="0.25">
      <c r="A12" s="237"/>
      <c r="B12" s="203" t="s">
        <v>1172</v>
      </c>
      <c r="C12" s="177" t="str">
        <f>IFERROR(IF(IF(ISBLANK($B12),VLOOKUP($A12,Harmonogram!$A$1:$FA$162,COLUMN(Prehľad!A12)+6,FALSE),VLOOKUP(Prehľad!$B12,Harmonogram!$F$2:$EW$150,COLUMN(Prehľad!A12)+1,FALSE))=0,"",IF(ISBLANK($B12),VLOOKUP($A12,Harmonogram!$A$1:$FA$162,COLUMN(Prehľad!A12)+6,FALSE),VLOOKUP(Prehľad!$B12,Harmonogram!$F$2:$EW$150,COLUMN(Prehľad!A12)+1,FALSE))),"")</f>
        <v>Predmetný projekt zahŕňa elektrifikáciu traťového úseku Haniska pri Košiciach - Moldava nad Bodvou mesto, v rámci ktorého sa vybudujú zariadenia nevyhnutné pre jazdu elektrických vlakov (trakčné vedenie, transformačné stanice...), čiastočne sa zmodernizuje železničný vršok a spodok a zvýši sa rýchlosť vo vybraných oblúkoch, vymenia sa staničné a traťové zabezpečovacie zariadenia (okrem stanice Haniska) s inštaláciou ich diaľkového zariadenia a kompletne sa vymenia nástupištia.</v>
      </c>
      <c r="D12" s="177" t="str">
        <f>IFERROR(IF(IF(ISBLANK($B12),VLOOKUP($A12,Harmonogram!$A$1:$FA$162,COLUMN(Prehľad!B12)+6,FALSE),VLOOKUP(Prehľad!$B12,Harmonogram!$F$2:$EW$150,COLUMN(Prehľad!B12)+1,FALSE))=0,"",IF(ISBLANK($B12),VLOOKUP($A12,Harmonogram!$A$1:$FA$162,COLUMN(Prehľad!B12)+6,FALSE),VLOOKUP(Prehľad!$B12,Harmonogram!$F$2:$EW$150,COLUMN(Prehľad!B12)+1,FALSE))),"")</f>
        <v>Realizáciou projektu budú dosahované požadované hodnoty merateľných ukazovateľov:
- Celková dĺžka rekonštruovaných alebo zrenovovaných železničných tratí,
- Celková dĺžka rekonštruovaných alebo zrenovovaných železničných tratí v sieti TEN-T,
-Úspora času v železničnej doprave,
-Úspora produkcie emisií NO2 (vplyvom elektrifikácie tratí),
- Úspora produkcie emisií PM10 (vplyvom elektrifikácie tratí).</v>
      </c>
      <c r="E12" s="204" t="str">
        <f>IFERROR(IF(IF(ISBLANK($B12),VLOOKUP($A12,Harmonogram!$A$1:$FA$162,COLUMN(Prehľad!C12)+6,FALSE),VLOOKUP(Prehľad!$B12,Harmonogram!$F$2:$EW$150,COLUMN(Prehľad!C12)+1,FALSE))=0,"",IF(ISBLANK($B12),VLOOKUP($A12,Harmonogram!$A$1:$FA$162,COLUMN(Prehľad!C12)+6,FALSE),VLOOKUP(Prehľad!$B12,Harmonogram!$F$2:$EW$150,COLUMN(Prehľad!C12)+1,FALSE))),"")</f>
        <v>TEN-T comprehensive;
Dĺžka(160f)= 24,3km; osôb/deň= 2000; mil.hrtkm/rok=160,9</v>
      </c>
      <c r="F12" s="177">
        <f>IF(ISBLANK(B12),"",IFERROR(VLOOKUP(B12,Harmonogram!$F$3:$EO$97,140,FALSE),"er"))</f>
        <v>21.51</v>
      </c>
      <c r="G12" s="177" t="str">
        <f>IFERROR(IF(IF(ISBLANK($B12),VLOOKUP($A12,Harmonogram!$A$1:$FA$162,COLUMN(Prehľad!D12)+6,FALSE),VLOOKUP(Prehľad!$B12,Harmonogram!$F$2:$EW$150,COLUMN(Prehľad!D12)+1,FALSE))=0,"",IF(ISBLANK($B12),VLOOKUP($A12,Harmonogram!$A$1:$FA$162,COLUMN(Prehľad!D12)+6,FALSE),VLOOKUP(Prehľad!$B12,Harmonogram!$F$2:$EW$150,COLUMN(Prehľad!D12)+1,FALSE))),"")</f>
        <v>4b</v>
      </c>
      <c r="H12" s="250" t="str">
        <f>IFERROR(IF(IF(ISBLANK($B12),VLOOKUP($A12,Harmonogram!$A$1:$FA$162,COLUMN(Prehľad!A12)+11,FALSE),VLOOKUP(Prehľad!$B12,Harmonogram!$F$2:$EW$150,COLUMN(Prehľad!A12)+6,FALSE))=0,"",IF(ISBLANK($B12),VLOOKUP($A12,Harmonogram!$A$1:$FA$162,COLUMN(Prehľad!A12)+11,FALSE),VLOOKUP(Prehľad!$B12,Harmonogram!$F$2:$EW$150,COLUMN(Prehľad!A12)+6,FALSE))),"")</f>
        <v>Vo výstavbe</v>
      </c>
      <c r="I12" s="260">
        <f>IF(LEN($B12)=0,VLOOKUP($A12,Harmonogram!$A$1:$FA$162,COLUMN(Prehľad!B12)+11,FALSE),VLOOKUP(Prehľad!$B12,Harmonogram!$F$2:$EW$150,COLUMN(Prehľad!B12)+6,FALSE))</f>
        <v>70664605.169999987</v>
      </c>
      <c r="J12" s="261">
        <f>IF(LEN($B12)=0,VLOOKUP($A12,Harmonogram!$A$1:$FA$162,COLUMN(Prehľad!A12)*12+12,FALSE),VLOOKUP(Prehľad!$B12,Harmonogram!$F$2:$EW$150,COLUMN(Prehľad!A12)*12+7,FALSE))</f>
        <v>2273703.9499999997</v>
      </c>
      <c r="K12" s="260">
        <f>IF(LEN($B12)=0,VLOOKUP($A12,Harmonogram!$A$1:$FA$162,COLUMN(Prehľad!B12)*12+12,FALSE),VLOOKUP(Prehľad!$B12,Harmonogram!$F$2:$EW$150,COLUMN(Prehľad!B12)*12+7,FALSE))</f>
        <v>831267.36</v>
      </c>
      <c r="L12" s="260">
        <f>IF(LEN($B12)=0,VLOOKUP($A12,Harmonogram!$A$1:$FA$162,COLUMN(Prehľad!C12)*12+12,FALSE),VLOOKUP(Prehľad!$B12,Harmonogram!$F$2:$EW$150,COLUMN(Prehľad!C12)*12+7,FALSE))</f>
        <v>28870220.09</v>
      </c>
      <c r="M12" s="260">
        <f>IF(LEN($B12)=0,VLOOKUP($A12,Harmonogram!$A$1:$FA$162,COLUMN(Prehľad!D12)*12+12,FALSE),VLOOKUP(Prehľad!$B12,Harmonogram!$F$2:$EW$150,COLUMN(Prehľad!D12)*12+7,FALSE))</f>
        <v>38304219.079999998</v>
      </c>
      <c r="N12" s="260">
        <f>IF(LEN($B12)=0,VLOOKUP($A12,Harmonogram!$A$1:$FA$162,COLUMN(Prehľad!E12)*12+12,FALSE),VLOOKUP(Prehľad!$B12,Harmonogram!$F$2:$EW$150,COLUMN(Prehľad!E12)*12+7,FALSE))</f>
        <v>385194.69</v>
      </c>
      <c r="O12" s="260">
        <f>IF(LEN($B12)=0,VLOOKUP($A12,Harmonogram!$A$1:$FA$162,COLUMN(Prehľad!F12)*12+12,FALSE),VLOOKUP(Prehľad!$B12,Harmonogram!$F$2:$EW$150,COLUMN(Prehľad!F12)*12+7,FALSE))</f>
        <v>0</v>
      </c>
      <c r="P12" s="260">
        <f>IF(LEN($B12)=0,VLOOKUP($A12,Harmonogram!$A$1:$FA$162,COLUMN(Prehľad!G12)*12+12,FALSE),VLOOKUP(Prehľad!$B12,Harmonogram!$F$2:$EW$150,COLUMN(Prehľad!G12)*12+7,FALSE))</f>
        <v>0</v>
      </c>
      <c r="Q12" s="260">
        <f>IF(LEN($B12)=0,VLOOKUP($A12,Harmonogram!$A$1:$FA$162,COLUMN(Prehľad!H12)*12+12,FALSE),VLOOKUP(Prehľad!$B12,Harmonogram!$F$2:$EW$150,COLUMN(Prehľad!H12)*12+7,FALSE))</f>
        <v>0</v>
      </c>
      <c r="R12" s="260">
        <f>IF(LEN($B12)=0,VLOOKUP($A12,Harmonogram!$A$1:$FA$162,COLUMN(Prehľad!I12)*12+12,FALSE),VLOOKUP(Prehľad!$B12,Harmonogram!$F$2:$EW$150,COLUMN(Prehľad!I12)*12+7,FALSE))</f>
        <v>0</v>
      </c>
      <c r="S12" s="260">
        <f>IF(LEN($B12)=0,VLOOKUP($A12,Harmonogram!$A$1:$FA$162,COLUMN(Prehľad!J12)*12+12,FALSE),VLOOKUP(Prehľad!$B12,Harmonogram!$F$2:$EW$150,COLUMN(Prehľad!J12)*12+7,FALSE))</f>
        <v>0</v>
      </c>
      <c r="T12" s="262">
        <f>IF(LEN($B12)=0,VLOOKUP($A12,Harmonogram!$A$1:$FA$162,COLUMN(Prehľad!K12)*12+12,FALSE),VLOOKUP(Prehľad!$B12,Harmonogram!$F$2:$EW$150,COLUMN(Prehľad!K12)*12+7,FALSE))</f>
        <v>0</v>
      </c>
      <c r="U12" s="91"/>
      <c r="V12" s="91"/>
    </row>
    <row r="13" spans="1:22" ht="90" x14ac:dyDescent="0.25">
      <c r="A13" s="237"/>
      <c r="B13" s="203" t="s">
        <v>1032</v>
      </c>
      <c r="C13" s="177" t="str">
        <f>IFERROR(IF(IF(ISBLANK($B13),VLOOKUP($A13,Harmonogram!$A$1:$FA$162,COLUMN(Prehľad!A13)+6,FALSE),VLOOKUP(Prehľad!$B13,Harmonogram!$F$2:$EW$150,COLUMN(Prehľad!A13)+1,FALSE))=0,"",IF(ISBLANK($B13),VLOOKUP($A13,Harmonogram!$A$1:$FA$162,COLUMN(Prehľad!A13)+6,FALSE),VLOOKUP(Prehľad!$B13,Harmonogram!$F$2:$EW$150,COLUMN(Prehľad!A13)+1,FALSE))),"")</f>
        <v>Realizáciou prác sa zabezpečí dlhodobá stabilita telesa dráhy a jej súčastí vrátane odstránenia porúch
v GPK. Po ukončení prác je možné odstrániť TOTR, čo bude mať priaznivý vplyv na jazdu vlakov v medzistaničnom úseku. V rámci stavby sa zrealizuje úprava železničného zvršku, sanácia zemného telesa od km 16,740 po km 19,400, úprava trakčného vedenia a ochrana káblov zab. zar a oznam. zar..</v>
      </c>
      <c r="D13" s="177" t="str">
        <f>IFERROR(IF(IF(ISBLANK($B13),VLOOKUP($A13,Harmonogram!$A$1:$FA$162,COLUMN(Prehľad!B13)+6,FALSE),VLOOKUP(Prehľad!$B13,Harmonogram!$F$2:$EW$150,COLUMN(Prehľad!B13)+1,FALSE))=0,"",IF(ISBLANK($B13),VLOOKUP($A13,Harmonogram!$A$1:$FA$162,COLUMN(Prehľad!B13)+6,FALSE),VLOOKUP(Prehľad!$B13,Harmonogram!$F$2:$EW$150,COLUMN(Prehľad!B13)+1,FALSE))),"")</f>
        <v>Realizácia stavieb výrazne prispeje k zvýšeniu bezpečnosti a plynulosti železničnej dopravy a obmedzí neefektívne vynakladanie finančných prostriedkov na údržbu. Realizáciou sa odstráneni havarijný stav, zrušenie obmedzenia traťovej rýchlosti, rekonštrukcia zvršku a spodku trate, sanácia svahov telesa násypu, zníženie nákladov na údržbu, zvýšenie bezpečnosti prevádzky, zvýšenie komfortu cestujúcich.</v>
      </c>
      <c r="E13" s="204" t="str">
        <f>IFERROR(IF(IF(ISBLANK($B13),VLOOKUP($A13,Harmonogram!$A$1:$FA$162,COLUMN(Prehľad!C13)+6,FALSE),VLOOKUP(Prehľad!$B13,Harmonogram!$F$2:$EW$150,COLUMN(Prehľad!C13)+1,FALSE))=0,"",IF(ISBLANK($B13),VLOOKUP($A13,Harmonogram!$A$1:$FA$162,COLUMN(Prehľad!C13)+6,FALSE),VLOOKUP(Prehľad!$B13,Harmonogram!$F$2:$EW$150,COLUMN(Prehľad!C13)+1,FALSE))),"")</f>
        <v>TEN-T comprehensive;
Dĺžka(150b)= 41,2km; osôb/deň= 4000; mil.hrtkm/rok=145,9</v>
      </c>
      <c r="F13" s="177">
        <f>IF(ISBLANK(B13),"",IFERROR(VLOOKUP(B13,Harmonogram!$F$3:$EO$97,140,FALSE),"er"))</f>
        <v>2.66</v>
      </c>
      <c r="G13" s="177" t="str">
        <f>IFERROR(IF(IF(ISBLANK($B13),VLOOKUP($A13,Harmonogram!$A$1:$FA$162,COLUMN(Prehľad!D13)+6,FALSE),VLOOKUP(Prehľad!$B13,Harmonogram!$F$2:$EW$150,COLUMN(Prehľad!D13)+1,FALSE))=0,"",IF(ISBLANK($B13),VLOOKUP($A13,Harmonogram!$A$1:$FA$162,COLUMN(Prehľad!D13)+6,FALSE),VLOOKUP(Prehľad!$B13,Harmonogram!$F$2:$EW$150,COLUMN(Prehľad!D13)+1,FALSE))),"")</f>
        <v>1b</v>
      </c>
      <c r="H13" s="250" t="str">
        <f>IFERROR(IF(IF(ISBLANK($B13),VLOOKUP($A13,Harmonogram!$A$1:$FA$162,COLUMN(Prehľad!A13)+11,FALSE),VLOOKUP(Prehľad!$B13,Harmonogram!$F$2:$EW$150,COLUMN(Prehľad!A13)+6,FALSE))=0,"",IF(ISBLANK($B13),VLOOKUP($A13,Harmonogram!$A$1:$FA$162,COLUMN(Prehľad!A13)+11,FALSE),VLOOKUP(Prehľad!$B13,Harmonogram!$F$2:$EW$150,COLUMN(Prehľad!A13)+6,FALSE))),"")</f>
        <v>Zmluva</v>
      </c>
      <c r="I13" s="260">
        <f>IF(LEN($B13)=0,VLOOKUP($A13,Harmonogram!$A$1:$FA$162,COLUMN(Prehľad!B13)+11,FALSE),VLOOKUP(Prehľad!$B13,Harmonogram!$F$2:$EW$150,COLUMN(Prehľad!B13)+6,FALSE))</f>
        <v>5549375.8500000006</v>
      </c>
      <c r="J13" s="261">
        <f>IF(LEN($B13)=0,VLOOKUP($A13,Harmonogram!$A$1:$FA$162,COLUMN(Prehľad!A13)*12+12,FALSE),VLOOKUP(Prehľad!$B13,Harmonogram!$F$2:$EW$150,COLUMN(Prehľad!A13)*12+7,FALSE))</f>
        <v>261845.51</v>
      </c>
      <c r="K13" s="260">
        <f>IF(LEN($B13)=0,VLOOKUP($A13,Harmonogram!$A$1:$FA$162,COLUMN(Prehľad!B13)*12+12,FALSE),VLOOKUP(Prehľad!$B13,Harmonogram!$F$2:$EW$150,COLUMN(Prehľad!B13)*12+7,FALSE))</f>
        <v>56375.85</v>
      </c>
      <c r="L13" s="260">
        <f>IF(LEN($B13)=0,VLOOKUP($A13,Harmonogram!$A$1:$FA$162,COLUMN(Prehľad!C13)*12+12,FALSE),VLOOKUP(Prehľad!$B13,Harmonogram!$F$2:$EW$150,COLUMN(Prehľad!C13)*12+7,FALSE))</f>
        <v>5231154.49</v>
      </c>
      <c r="M13" s="260">
        <f>IF(LEN($B13)=0,VLOOKUP($A13,Harmonogram!$A$1:$FA$162,COLUMN(Prehľad!D13)*12+12,FALSE),VLOOKUP(Prehľad!$B13,Harmonogram!$F$2:$EW$150,COLUMN(Prehľad!D13)*12+7,FALSE))</f>
        <v>0</v>
      </c>
      <c r="N13" s="260">
        <f>IF(LEN($B13)=0,VLOOKUP($A13,Harmonogram!$A$1:$FA$162,COLUMN(Prehľad!E13)*12+12,FALSE),VLOOKUP(Prehľad!$B13,Harmonogram!$F$2:$EW$150,COLUMN(Prehľad!E13)*12+7,FALSE))</f>
        <v>0</v>
      </c>
      <c r="O13" s="260">
        <f>IF(LEN($B13)=0,VLOOKUP($A13,Harmonogram!$A$1:$FA$162,COLUMN(Prehľad!F13)*12+12,FALSE),VLOOKUP(Prehľad!$B13,Harmonogram!$F$2:$EW$150,COLUMN(Prehľad!F13)*12+7,FALSE))</f>
        <v>0</v>
      </c>
      <c r="P13" s="260">
        <f>IF(LEN($B13)=0,VLOOKUP($A13,Harmonogram!$A$1:$FA$162,COLUMN(Prehľad!G13)*12+12,FALSE),VLOOKUP(Prehľad!$B13,Harmonogram!$F$2:$EW$150,COLUMN(Prehľad!G13)*12+7,FALSE))</f>
        <v>0</v>
      </c>
      <c r="Q13" s="260">
        <f>IF(LEN($B13)=0,VLOOKUP($A13,Harmonogram!$A$1:$FA$162,COLUMN(Prehľad!H13)*12+12,FALSE),VLOOKUP(Prehľad!$B13,Harmonogram!$F$2:$EW$150,COLUMN(Prehľad!H13)*12+7,FALSE))</f>
        <v>0</v>
      </c>
      <c r="R13" s="260">
        <f>IF(LEN($B13)=0,VLOOKUP($A13,Harmonogram!$A$1:$FA$162,COLUMN(Prehľad!I13)*12+12,FALSE),VLOOKUP(Prehľad!$B13,Harmonogram!$F$2:$EW$150,COLUMN(Prehľad!I13)*12+7,FALSE))</f>
        <v>0</v>
      </c>
      <c r="S13" s="260">
        <f>IF(LEN($B13)=0,VLOOKUP($A13,Harmonogram!$A$1:$FA$162,COLUMN(Prehľad!J13)*12+12,FALSE),VLOOKUP(Prehľad!$B13,Harmonogram!$F$2:$EW$150,COLUMN(Prehľad!J13)*12+7,FALSE))</f>
        <v>0</v>
      </c>
      <c r="T13" s="262">
        <f>IF(LEN($B13)=0,VLOOKUP($A13,Harmonogram!$A$1:$FA$162,COLUMN(Prehľad!K13)*12+12,FALSE),VLOOKUP(Prehľad!$B13,Harmonogram!$F$2:$EW$150,COLUMN(Prehľad!K13)*12+7,FALSE))</f>
        <v>0</v>
      </c>
    </row>
    <row r="14" spans="1:22" s="11" customFormat="1" ht="105.75" thickBot="1" x14ac:dyDescent="0.3">
      <c r="A14" s="238"/>
      <c r="B14" s="210" t="s">
        <v>1310</v>
      </c>
      <c r="C14" s="189" t="str">
        <f>IFERROR(IF(IF(ISBLANK($B14),VLOOKUP($A14,Harmonogram!$A$1:$FA$162,COLUMN(Prehľad!A14)+6,FALSE),VLOOKUP(Prehľad!$B14,Harmonogram!$F$2:$EW$150,COLUMN(Prehľad!A14)+1,FALSE))=0,"",IF(ISBLANK($B14),VLOOKUP($A14,Harmonogram!$A$1:$FA$162,COLUMN(Prehľad!A14)+6,FALSE),VLOOKUP(Prehľad!$B14,Harmonogram!$F$2:$EW$150,COLUMN(Prehľad!A14)+1,FALSE))),"")</f>
        <v>Účelom realizácie stavby je nahradenie existujúceho fyzicky a morálne opotrebovaného trakčného vedenia (TV) v medzistaničnom úseku Púchov – Lúky pod Makytou a v konečnom dôsledku zmena trakčnej sústavy so začiatkom prevádzkovania jednofázovej trakčnej sústavy 25 kV, 50 Hz na ramene Púchov – Lúky pod Makytou – št. hr. SR/ČR. Zmena trakčnej sústavy vyvoláva úpravu zabezpečovacích a oznamovacích zariadení, demontáž nepotrebnej technológie existujúcej TM Púchov, pripojenie TNS Púchov na trakčné vedenie.</v>
      </c>
      <c r="D14" s="189" t="str">
        <f>IFERROR(IF(IF(ISBLANK($B14),VLOOKUP($A14,Harmonogram!$A$1:$FA$162,COLUMN(Prehľad!B14)+6,FALSE),VLOOKUP(Prehľad!$B14,Harmonogram!$F$2:$EW$150,COLUMN(Prehľad!B14)+1,FALSE))=0,"",IF(ISBLANK($B14),VLOOKUP($A14,Harmonogram!$A$1:$FA$162,COLUMN(Prehľad!B14)+6,FALSE),VLOOKUP(Prehľad!$B14,Harmonogram!$F$2:$EW$150,COLUMN(Prehľad!B14)+1,FALSE))),"")</f>
        <v>Realizácia predmetu zákazky sleduje zámer obstarávateľa o zvýšenie plynulosti a bezpečnosti prevádzky železničnej infraštruktúry, skvalitnenie služieb a skultúrnenie prostredia pre cestujúcu verejnosť, ktorý nadväzuje na ukončenú modernizáciu ŽST Púchov.</v>
      </c>
      <c r="E14" s="211" t="str">
        <f>IFERROR(IF(IF(ISBLANK($B14),VLOOKUP($A14,Harmonogram!$A$1:$FA$162,COLUMN(Prehľad!C14)+6,FALSE),VLOOKUP(Prehľad!$B14,Harmonogram!$F$2:$EW$150,COLUMN(Prehľad!C14)+1,FALSE))=0,"",IF(ISBLANK($B14),VLOOKUP($A14,Harmonogram!$A$1:$FA$162,COLUMN(Prehľad!C14)+6,FALSE),VLOOKUP(Prehľad!$B14,Harmonogram!$F$2:$EW$150,COLUMN(Prehľad!C14)+1,FALSE))),"")</f>
        <v>TEN-T core;
RFC 9 - hlavná trať
Dĺžka(125a)= 20,3km; osôb/deň= 1500; mil.hrtkm/rok=83,9</v>
      </c>
      <c r="F14" s="177">
        <f>IF(ISBLANK(B14),"",IFERROR(VLOOKUP(B14,Harmonogram!$F$3:$EO$97,140,FALSE),"er"))</f>
        <v>20.216000000000001</v>
      </c>
      <c r="G14" s="177" t="str">
        <f>IFERROR(IF(IF(ISBLANK($B14),VLOOKUP($A14,Harmonogram!$A$1:$FA$162,COLUMN(Prehľad!D14)+6,FALSE),VLOOKUP(Prehľad!$B14,Harmonogram!$F$2:$EW$150,COLUMN(Prehľad!D14)+1,FALSE))=0,"",IF(ISBLANK($B14),VLOOKUP($A14,Harmonogram!$A$1:$FA$162,COLUMN(Prehľad!D14)+6,FALSE),VLOOKUP(Prehľad!$B14,Harmonogram!$F$2:$EW$150,COLUMN(Prehľad!D14)+1,FALSE))),"")</f>
        <v>1b</v>
      </c>
      <c r="H14" s="250" t="str">
        <f>IFERROR(IF(IF(ISBLANK($B14),VLOOKUP($A14,Harmonogram!$A$1:$FA$162,COLUMN(Prehľad!A14)+11,FALSE),VLOOKUP(Prehľad!$B14,Harmonogram!$F$2:$EW$150,COLUMN(Prehľad!A14)+6,FALSE))=0,"",IF(ISBLANK($B14),VLOOKUP($A14,Harmonogram!$A$1:$FA$162,COLUMN(Prehľad!A14)+11,FALSE),VLOOKUP(Prehľad!$B14,Harmonogram!$F$2:$EW$150,COLUMN(Prehľad!A14)+6,FALSE))),"")</f>
        <v>Vo výstavbe</v>
      </c>
      <c r="I14" s="260">
        <f>IF(LEN($B14)=0,VLOOKUP($A14,Harmonogram!$A$1:$FA$162,COLUMN(Prehľad!B14)+11,FALSE),VLOOKUP(Prehľad!$B14,Harmonogram!$F$2:$EW$150,COLUMN(Prehľad!B14)+6,FALSE))</f>
        <v>32451365.350000001</v>
      </c>
      <c r="J14" s="261">
        <f>IF(LEN($B14)=0,VLOOKUP($A14,Harmonogram!$A$1:$FA$162,COLUMN(Prehľad!A14)*12+12,FALSE),VLOOKUP(Prehľad!$B14,Harmonogram!$F$2:$EW$150,COLUMN(Prehľad!A14)*12+7,FALSE))</f>
        <v>28270907.490000002</v>
      </c>
      <c r="K14" s="260">
        <f>IF(LEN($B14)=0,VLOOKUP($A14,Harmonogram!$A$1:$FA$162,COLUMN(Prehľad!B14)*12+12,FALSE),VLOOKUP(Prehľad!$B14,Harmonogram!$F$2:$EW$150,COLUMN(Prehľad!B14)*12+7,FALSE))</f>
        <v>1385457.8600000003</v>
      </c>
      <c r="L14" s="260">
        <f>IF(LEN($B14)=0,VLOOKUP($A14,Harmonogram!$A$1:$FA$162,COLUMN(Prehľad!C14)*12+12,FALSE),VLOOKUP(Prehľad!$B14,Harmonogram!$F$2:$EW$150,COLUMN(Prehľad!C14)*12+7,FALSE))</f>
        <v>2795000</v>
      </c>
      <c r="M14" s="260">
        <f>IF(LEN($B14)=0,VLOOKUP($A14,Harmonogram!$A$1:$FA$162,COLUMN(Prehľad!D14)*12+12,FALSE),VLOOKUP(Prehľad!$B14,Harmonogram!$F$2:$EW$150,COLUMN(Prehľad!D14)*12+7,FALSE))</f>
        <v>0</v>
      </c>
      <c r="N14" s="260">
        <f>IF(LEN($B14)=0,VLOOKUP($A14,Harmonogram!$A$1:$FA$162,COLUMN(Prehľad!E14)*12+12,FALSE),VLOOKUP(Prehľad!$B14,Harmonogram!$F$2:$EW$150,COLUMN(Prehľad!E14)*12+7,FALSE))</f>
        <v>0</v>
      </c>
      <c r="O14" s="260">
        <f>IF(LEN($B14)=0,VLOOKUP($A14,Harmonogram!$A$1:$FA$162,COLUMN(Prehľad!F14)*12+12,FALSE),VLOOKUP(Prehľad!$B14,Harmonogram!$F$2:$EW$150,COLUMN(Prehľad!F14)*12+7,FALSE))</f>
        <v>0</v>
      </c>
      <c r="P14" s="260">
        <f>IF(LEN($B14)=0,VLOOKUP($A14,Harmonogram!$A$1:$FA$162,COLUMN(Prehľad!G14)*12+12,FALSE),VLOOKUP(Prehľad!$B14,Harmonogram!$F$2:$EW$150,COLUMN(Prehľad!G14)*12+7,FALSE))</f>
        <v>0</v>
      </c>
      <c r="Q14" s="260">
        <f>IF(LEN($B14)=0,VLOOKUP($A14,Harmonogram!$A$1:$FA$162,COLUMN(Prehľad!H14)*12+12,FALSE),VLOOKUP(Prehľad!$B14,Harmonogram!$F$2:$EW$150,COLUMN(Prehľad!H14)*12+7,FALSE))</f>
        <v>0</v>
      </c>
      <c r="R14" s="260">
        <f>IF(LEN($B14)=0,VLOOKUP($A14,Harmonogram!$A$1:$FA$162,COLUMN(Prehľad!I14)*12+12,FALSE),VLOOKUP(Prehľad!$B14,Harmonogram!$F$2:$EW$150,COLUMN(Prehľad!I14)*12+7,FALSE))</f>
        <v>0</v>
      </c>
      <c r="S14" s="260">
        <f>IF(LEN($B14)=0,VLOOKUP($A14,Harmonogram!$A$1:$FA$162,COLUMN(Prehľad!J14)*12+12,FALSE),VLOOKUP(Prehľad!$B14,Harmonogram!$F$2:$EW$150,COLUMN(Prehľad!J14)*12+7,FALSE))</f>
        <v>0</v>
      </c>
      <c r="T14" s="262">
        <f>IF(LEN($B14)=0,VLOOKUP($A14,Harmonogram!$A$1:$FA$162,COLUMN(Prehľad!K14)*12+12,FALSE),VLOOKUP(Prehľad!$B14,Harmonogram!$F$2:$EW$150,COLUMN(Prehľad!K14)*12+7,FALSE))</f>
        <v>0</v>
      </c>
    </row>
    <row r="15" spans="1:22" s="11" customFormat="1" ht="15.75" thickBot="1" x14ac:dyDescent="0.3">
      <c r="A15" s="239" t="s">
        <v>1186</v>
      </c>
      <c r="B15" s="212"/>
      <c r="C15" s="213"/>
      <c r="D15" s="213"/>
      <c r="E15" s="213"/>
      <c r="F15" s="251" t="str">
        <f>IF(ISBLANK(B15),"",IFERROR(VLOOKUP(B15,Harmonogram!$F$3:$EO$97,140,FALSE),"er"))</f>
        <v/>
      </c>
      <c r="G15" s="177" t="str">
        <f>IFERROR(IF(IF(ISBLANK($B15),VLOOKUP($A15,Harmonogram!$A$1:$FA$162,COLUMN(Prehľad!D15)+6,FALSE),VLOOKUP(Prehľad!$B15,Harmonogram!$F$2:$EW$150,COLUMN(Prehľad!D15)+1,FALSE))=0,"",IF(ISBLANK($B15),VLOOKUP($A15,Harmonogram!$A$1:$FA$162,COLUMN(Prehľad!D15)+6,FALSE),VLOOKUP(Prehľad!$B15,Harmonogram!$F$2:$EW$150,COLUMN(Prehľad!D15)+1,FALSE))),"")</f>
        <v/>
      </c>
      <c r="H15" s="250" t="str">
        <f>IFERROR(IF(IF(ISBLANK($B15),VLOOKUP($A15,Harmonogram!$A$1:$FA$162,COLUMN(Prehľad!A15)+11,FALSE),VLOOKUP(Prehľad!$B15,Harmonogram!$F$2:$EW$150,COLUMN(Prehľad!A15)+6,FALSE))=0,"",IF(ISBLANK($B15),VLOOKUP($A15,Harmonogram!$A$1:$FA$162,COLUMN(Prehľad!A15)+11,FALSE),VLOOKUP(Prehľad!$B15,Harmonogram!$F$2:$EW$150,COLUMN(Prehľad!A15)+6,FALSE))),"")</f>
        <v/>
      </c>
      <c r="I15" s="260">
        <f>IF(LEN($B15)=0,VLOOKUP($A15,Harmonogram!$A$1:$FA$162,COLUMN(Prehľad!B15)+11,FALSE),VLOOKUP(Prehľad!$B15,Harmonogram!$F$2:$EW$150,COLUMN(Prehľad!B15)+6,FALSE))</f>
        <v>1389784023.2899997</v>
      </c>
      <c r="J15" s="261">
        <f>IF(LEN($B15)=0,VLOOKUP($A15,Harmonogram!$A$1:$FA$162,COLUMN(Prehľad!A15)*12+12,FALSE),VLOOKUP(Prehľad!$B15,Harmonogram!$F$2:$EW$150,COLUMN(Prehľad!A15)*12+7,FALSE))</f>
        <v>416658885.93999994</v>
      </c>
      <c r="K15" s="260">
        <f>IF(LEN($B15)=0,VLOOKUP($A15,Harmonogram!$A$1:$FA$162,COLUMN(Prehľad!B15)*12+12,FALSE),VLOOKUP(Prehľad!$B15,Harmonogram!$F$2:$EW$150,COLUMN(Prehľad!B15)*12+7,FALSE))</f>
        <v>168437268.35000002</v>
      </c>
      <c r="L15" s="260">
        <f>IF(LEN($B15)=0,VLOOKUP($A15,Harmonogram!$A$1:$FA$162,COLUMN(Prehľad!C15)*12+12,FALSE),VLOOKUP(Prehľad!$B15,Harmonogram!$F$2:$EW$150,COLUMN(Prehľad!C15)*12+7,FALSE))</f>
        <v>366471256.67000002</v>
      </c>
      <c r="M15" s="260">
        <f>IF(LEN($B15)=0,VLOOKUP($A15,Harmonogram!$A$1:$FA$162,COLUMN(Prehľad!D15)*12+12,FALSE),VLOOKUP(Prehľad!$B15,Harmonogram!$F$2:$EW$150,COLUMN(Prehľad!D15)*12+7,FALSE))</f>
        <v>354703199.99999994</v>
      </c>
      <c r="N15" s="260">
        <f>IF(LEN($B15)=0,VLOOKUP($A15,Harmonogram!$A$1:$FA$162,COLUMN(Prehľad!E15)*12+12,FALSE),VLOOKUP(Prehľad!$B15,Harmonogram!$F$2:$EW$150,COLUMN(Prehľad!E15)*12+7,FALSE))</f>
        <v>80651456.329999998</v>
      </c>
      <c r="O15" s="260">
        <f>IF(LEN($B15)=0,VLOOKUP($A15,Harmonogram!$A$1:$FA$162,COLUMN(Prehľad!F15)*12+12,FALSE),VLOOKUP(Prehľad!$B15,Harmonogram!$F$2:$EW$150,COLUMN(Prehľad!F15)*12+7,FALSE))</f>
        <v>2861956</v>
      </c>
      <c r="P15" s="260">
        <f>IF(LEN($B15)=0,VLOOKUP($A15,Harmonogram!$A$1:$FA$162,COLUMN(Prehľad!G15)*12+12,FALSE),VLOOKUP(Prehľad!$B15,Harmonogram!$F$2:$EW$150,COLUMN(Prehľad!G15)*12+7,FALSE))</f>
        <v>0</v>
      </c>
      <c r="Q15" s="260">
        <f>IF(LEN($B15)=0,VLOOKUP($A15,Harmonogram!$A$1:$FA$162,COLUMN(Prehľad!H15)*12+12,FALSE),VLOOKUP(Prehľad!$B15,Harmonogram!$F$2:$EW$150,COLUMN(Prehľad!H15)*12+7,FALSE))</f>
        <v>0</v>
      </c>
      <c r="R15" s="260">
        <f>IF(LEN($B15)=0,VLOOKUP($A15,Harmonogram!$A$1:$FA$162,COLUMN(Prehľad!I15)*12+12,FALSE),VLOOKUP(Prehľad!$B15,Harmonogram!$F$2:$EW$150,COLUMN(Prehľad!I15)*12+7,FALSE))</f>
        <v>0</v>
      </c>
      <c r="S15" s="260">
        <f>IF(LEN($B15)=0,VLOOKUP($A15,Harmonogram!$A$1:$FA$162,COLUMN(Prehľad!J15)*12+12,FALSE),VLOOKUP(Prehľad!$B15,Harmonogram!$F$2:$EW$150,COLUMN(Prehľad!J15)*12+7,FALSE))</f>
        <v>0</v>
      </c>
      <c r="T15" s="262">
        <f>IF(LEN($B15)=0,VLOOKUP($A15,Harmonogram!$A$1:$FA$162,COLUMN(Prehľad!K15)*12+12,FALSE),VLOOKUP(Prehľad!$B15,Harmonogram!$F$2:$EW$150,COLUMN(Prehľad!K15)*12+7,FALSE))</f>
        <v>0</v>
      </c>
    </row>
    <row r="16" spans="1:22" s="11" customFormat="1" ht="15.75" thickBot="1" x14ac:dyDescent="0.3">
      <c r="A16" s="239" t="s">
        <v>1187</v>
      </c>
      <c r="B16" s="214"/>
      <c r="C16" s="213"/>
      <c r="D16" s="213"/>
      <c r="E16" s="213"/>
      <c r="F16" s="251" t="str">
        <f>IF(ISBLANK(B16),"",IFERROR(VLOOKUP(B16,Harmonogram!$F$3:$EO$97,140,FALSE),"er"))</f>
        <v/>
      </c>
      <c r="G16" s="177" t="str">
        <f>IFERROR(IF(IF(ISBLANK($B16),VLOOKUP($A16,Harmonogram!$A$1:$FA$162,COLUMN(Prehľad!D16)+6,FALSE),VLOOKUP(Prehľad!$B16,Harmonogram!$F$2:$EW$150,COLUMN(Prehľad!D16)+1,FALSE))=0,"",IF(ISBLANK($B16),VLOOKUP($A16,Harmonogram!$A$1:$FA$162,COLUMN(Prehľad!D16)+6,FALSE),VLOOKUP(Prehľad!$B16,Harmonogram!$F$2:$EW$150,COLUMN(Prehľad!D16)+1,FALSE))),"")</f>
        <v/>
      </c>
      <c r="H16" s="250" t="str">
        <f>IFERROR(IF(IF(ISBLANK($B16),VLOOKUP($A16,Harmonogram!$A$1:$FA$162,COLUMN(Prehľad!A16)+11,FALSE),VLOOKUP(Prehľad!$B16,Harmonogram!$F$2:$EW$150,COLUMN(Prehľad!A16)+6,FALSE))=0,"",IF(ISBLANK($B16),VLOOKUP($A16,Harmonogram!$A$1:$FA$162,COLUMN(Prehľad!A16)+11,FALSE),VLOOKUP(Prehľad!$B16,Harmonogram!$F$2:$EW$150,COLUMN(Prehľad!A16)+6,FALSE))),"")</f>
        <v/>
      </c>
      <c r="I16" s="260">
        <f>IF(LEN($B16)=0,VLOOKUP($A16,Harmonogram!$A$1:$FA$162,COLUMN(Prehľad!B16)+11,FALSE),VLOOKUP(Prehľad!$B16,Harmonogram!$F$2:$EW$150,COLUMN(Prehľad!B16)+6,FALSE))</f>
        <v>11895993.359999999</v>
      </c>
      <c r="J16" s="261">
        <f>IF(LEN($B16)=0,VLOOKUP($A16,Harmonogram!$A$1:$FA$162,COLUMN(Prehľad!A16)*12+12,FALSE),VLOOKUP(Prehľad!$B16,Harmonogram!$F$2:$EW$150,COLUMN(Prehľad!A16)*12+7,FALSE))</f>
        <v>2287078.5700000003</v>
      </c>
      <c r="K16" s="260">
        <f>IF(LEN($B16)=0,VLOOKUP($A16,Harmonogram!$A$1:$FA$162,COLUMN(Prehľad!B16)*12+12,FALSE),VLOOKUP(Prehľad!$B16,Harmonogram!$F$2:$EW$150,COLUMN(Prehľad!B16)*12+7,FALSE))</f>
        <v>7172446.71</v>
      </c>
      <c r="L16" s="260">
        <f>IF(LEN($B16)=0,VLOOKUP($A16,Harmonogram!$A$1:$FA$162,COLUMN(Prehľad!C16)*12+12,FALSE),VLOOKUP(Prehľad!$B16,Harmonogram!$F$2:$EW$150,COLUMN(Prehľad!C16)*12+7,FALSE))</f>
        <v>2436468.08</v>
      </c>
      <c r="M16" s="260">
        <f>IF(LEN($B16)=0,VLOOKUP($A16,Harmonogram!$A$1:$FA$162,COLUMN(Prehľad!D16)*12+12,FALSE),VLOOKUP(Prehľad!$B16,Harmonogram!$F$2:$EW$150,COLUMN(Prehľad!D16)*12+7,FALSE))</f>
        <v>0</v>
      </c>
      <c r="N16" s="260">
        <f>IF(LEN($B16)=0,VLOOKUP($A16,Harmonogram!$A$1:$FA$162,COLUMN(Prehľad!E16)*12+12,FALSE),VLOOKUP(Prehľad!$B16,Harmonogram!$F$2:$EW$150,COLUMN(Prehľad!E16)*12+7,FALSE))</f>
        <v>0</v>
      </c>
      <c r="O16" s="260">
        <f>IF(LEN($B16)=0,VLOOKUP($A16,Harmonogram!$A$1:$FA$162,COLUMN(Prehľad!F16)*12+12,FALSE),VLOOKUP(Prehľad!$B16,Harmonogram!$F$2:$EW$150,COLUMN(Prehľad!F16)*12+7,FALSE))</f>
        <v>0</v>
      </c>
      <c r="P16" s="260">
        <f>IF(LEN($B16)=0,VLOOKUP($A16,Harmonogram!$A$1:$FA$162,COLUMN(Prehľad!G16)*12+12,FALSE),VLOOKUP(Prehľad!$B16,Harmonogram!$F$2:$EW$150,COLUMN(Prehľad!G16)*12+7,FALSE))</f>
        <v>0</v>
      </c>
      <c r="Q16" s="260">
        <f>IF(LEN($B16)=0,VLOOKUP($A16,Harmonogram!$A$1:$FA$162,COLUMN(Prehľad!H16)*12+12,FALSE),VLOOKUP(Prehľad!$B16,Harmonogram!$F$2:$EW$150,COLUMN(Prehľad!H16)*12+7,FALSE))</f>
        <v>0</v>
      </c>
      <c r="R16" s="260">
        <f>IF(LEN($B16)=0,VLOOKUP($A16,Harmonogram!$A$1:$FA$162,COLUMN(Prehľad!I16)*12+12,FALSE),VLOOKUP(Prehľad!$B16,Harmonogram!$F$2:$EW$150,COLUMN(Prehľad!I16)*12+7,FALSE))</f>
        <v>0</v>
      </c>
      <c r="S16" s="260">
        <f>IF(LEN($B16)=0,VLOOKUP($A16,Harmonogram!$A$1:$FA$162,COLUMN(Prehľad!J16)*12+12,FALSE),VLOOKUP(Prehľad!$B16,Harmonogram!$F$2:$EW$150,COLUMN(Prehľad!J16)*12+7,FALSE))</f>
        <v>0</v>
      </c>
      <c r="T16" s="262">
        <f>IF(LEN($B16)=0,VLOOKUP($A16,Harmonogram!$A$1:$FA$162,COLUMN(Prehľad!K16)*12+12,FALSE),VLOOKUP(Prehľad!$B16,Harmonogram!$F$2:$EW$150,COLUMN(Prehľad!K16)*12+7,FALSE))</f>
        <v>0</v>
      </c>
    </row>
    <row r="17" spans="1:22" ht="15.75" thickBot="1" x14ac:dyDescent="0.3">
      <c r="A17" s="239" t="s">
        <v>1129</v>
      </c>
      <c r="B17" s="215"/>
      <c r="C17" s="213"/>
      <c r="D17" s="213"/>
      <c r="E17" s="213"/>
      <c r="F17" s="251" t="str">
        <f>IF(ISBLANK(B17),"",IFERROR(VLOOKUP(B17,Harmonogram!$F$3:$EO$97,140,FALSE),"er"))</f>
        <v/>
      </c>
      <c r="G17" s="177" t="str">
        <f>IFERROR(IF(IF(ISBLANK($B17),VLOOKUP($A17,Harmonogram!$A$1:$FA$162,COLUMN(Prehľad!D17)+6,FALSE),VLOOKUP(Prehľad!$B17,Harmonogram!$F$2:$EW$150,COLUMN(Prehľad!D17)+1,FALSE))=0,"",IF(ISBLANK($B17),VLOOKUP($A17,Harmonogram!$A$1:$FA$162,COLUMN(Prehľad!D17)+6,FALSE),VLOOKUP(Prehľad!$B17,Harmonogram!$F$2:$EW$150,COLUMN(Prehľad!D17)+1,FALSE))),"")</f>
        <v/>
      </c>
      <c r="H17" s="250" t="str">
        <f>IFERROR(IF(IF(ISBLANK($B17),VLOOKUP($A17,Harmonogram!$A$1:$FA$162,COLUMN(Prehľad!A17)+11,FALSE),VLOOKUP(Prehľad!$B17,Harmonogram!$F$2:$EW$150,COLUMN(Prehľad!A17)+6,FALSE))=0,"",IF(ISBLANK($B17),VLOOKUP($A17,Harmonogram!$A$1:$FA$162,COLUMN(Prehľad!A17)+11,FALSE),VLOOKUP(Prehľad!$B17,Harmonogram!$F$2:$EW$150,COLUMN(Prehľad!A17)+6,FALSE))),"")</f>
        <v/>
      </c>
      <c r="I17" s="260">
        <f>IF(LEN($B17)=0,VLOOKUP($A17,Harmonogram!$A$1:$FA$162,COLUMN(Prehľad!B17)+11,FALSE),VLOOKUP(Prehľad!$B17,Harmonogram!$F$2:$EW$150,COLUMN(Prehľad!B17)+6,FALSE))</f>
        <v>1401680016.6499996</v>
      </c>
      <c r="J17" s="261">
        <f>IF(LEN($B17)=0,VLOOKUP($A17,Harmonogram!$A$1:$FA$162,COLUMN(Prehľad!A17)*12+12,FALSE),VLOOKUP(Prehľad!$B17,Harmonogram!$F$2:$EW$150,COLUMN(Prehľad!A17)*12+7,FALSE))</f>
        <v>418945964.50999993</v>
      </c>
      <c r="K17" s="260">
        <f>IF(LEN($B17)=0,VLOOKUP($A17,Harmonogram!$A$1:$FA$162,COLUMN(Prehľad!B17)*12+12,FALSE),VLOOKUP(Prehľad!$B17,Harmonogram!$F$2:$EW$150,COLUMN(Prehľad!B17)*12+7,FALSE))</f>
        <v>175609715.06000003</v>
      </c>
      <c r="L17" s="260">
        <f>IF(LEN($B17)=0,VLOOKUP($A17,Harmonogram!$A$1:$FA$162,COLUMN(Prehľad!C17)*12+12,FALSE),VLOOKUP(Prehľad!$B17,Harmonogram!$F$2:$EW$150,COLUMN(Prehľad!C17)*12+7,FALSE))</f>
        <v>368907724.75</v>
      </c>
      <c r="M17" s="260">
        <f>IF(LEN($B17)=0,VLOOKUP($A17,Harmonogram!$A$1:$FA$162,COLUMN(Prehľad!D17)*12+12,FALSE),VLOOKUP(Prehľad!$B17,Harmonogram!$F$2:$EW$150,COLUMN(Prehľad!D17)*12+7,FALSE))</f>
        <v>354703199.99999994</v>
      </c>
      <c r="N17" s="260">
        <f>IF(LEN($B17)=0,VLOOKUP($A17,Harmonogram!$A$1:$FA$162,COLUMN(Prehľad!E17)*12+12,FALSE),VLOOKUP(Prehľad!$B17,Harmonogram!$F$2:$EW$150,COLUMN(Prehľad!E17)*12+7,FALSE))</f>
        <v>80651456.329999998</v>
      </c>
      <c r="O17" s="260">
        <f>IF(LEN($B17)=0,VLOOKUP($A17,Harmonogram!$A$1:$FA$162,COLUMN(Prehľad!F17)*12+12,FALSE),VLOOKUP(Prehľad!$B17,Harmonogram!$F$2:$EW$150,COLUMN(Prehľad!F17)*12+7,FALSE))</f>
        <v>2861956</v>
      </c>
      <c r="P17" s="260">
        <f>IF(LEN($B17)=0,VLOOKUP($A17,Harmonogram!$A$1:$FA$162,COLUMN(Prehľad!G17)*12+12,FALSE),VLOOKUP(Prehľad!$B17,Harmonogram!$F$2:$EW$150,COLUMN(Prehľad!G17)*12+7,FALSE))</f>
        <v>0</v>
      </c>
      <c r="Q17" s="260">
        <f>IF(LEN($B17)=0,VLOOKUP($A17,Harmonogram!$A$1:$FA$162,COLUMN(Prehľad!H17)*12+12,FALSE),VLOOKUP(Prehľad!$B17,Harmonogram!$F$2:$EW$150,COLUMN(Prehľad!H17)*12+7,FALSE))</f>
        <v>0</v>
      </c>
      <c r="R17" s="260">
        <f>IF(LEN($B17)=0,VLOOKUP($A17,Harmonogram!$A$1:$FA$162,COLUMN(Prehľad!I17)*12+12,FALSE),VLOOKUP(Prehľad!$B17,Harmonogram!$F$2:$EW$150,COLUMN(Prehľad!I17)*12+7,FALSE))</f>
        <v>0</v>
      </c>
      <c r="S17" s="260">
        <f>IF(LEN($B17)=0,VLOOKUP($A17,Harmonogram!$A$1:$FA$162,COLUMN(Prehľad!J17)*12+12,FALSE),VLOOKUP(Prehľad!$B17,Harmonogram!$F$2:$EW$150,COLUMN(Prehľad!J17)*12+7,FALSE))</f>
        <v>0</v>
      </c>
      <c r="T17" s="262">
        <f>IF(LEN($B17)=0,VLOOKUP($A17,Harmonogram!$A$1:$FA$162,COLUMN(Prehľad!K17)*12+12,FALSE),VLOOKUP(Prehľad!$B17,Harmonogram!$F$2:$EW$150,COLUMN(Prehľad!K17)*12+7,FALSE))</f>
        <v>0</v>
      </c>
    </row>
    <row r="18" spans="1:22" ht="180" x14ac:dyDescent="0.25">
      <c r="A18" s="203" t="s">
        <v>1298</v>
      </c>
      <c r="B18" s="201" t="s">
        <v>1009</v>
      </c>
      <c r="C18" s="188" t="str">
        <f>IFERROR(IF(IF(ISBLANK($B18),VLOOKUP($A18,Harmonogram!$A$1:$FA$162,COLUMN(Prehľad!A18)+6,FALSE),VLOOKUP(Prehľad!$B18,Harmonogram!$F$2:$EW$150,COLUMN(Prehľad!A18)+1,FALSE))=0,"",IF(ISBLANK($B18),VLOOKUP($A18,Harmonogram!$A$1:$FA$162,COLUMN(Prehľad!A18)+6,FALSE),VLOOKUP(Prehľad!$B18,Harmonogram!$F$2:$EW$150,COLUMN(Prehľad!A18)+1,FALSE))),"")</f>
        <v>Variant vyvoláva kompletnú výmenu prebudovanie koľajiska a súvisiacich objektov a súborov. Variant obsahuje zmenu trasovania voči súčasnosti v úseku zastávky Svrčinovec. Dotknuté sú najmä mostné objekty, cesty, nadchod pre cestujúcich, TV, zab. zar. a objekty pozemných stavieb. Smerové a výškové vedenie trasy modernizovaného úseku je navrhované  pre traťovú rýchlosť V = 120km/h. Zabezpečovacie zariadenie a trakčné vedenie je v tejto stavbe navrhnuté na rýchlosť 160km/h. Križovania sú riešené mimoúrovňovo resp. zrušené bez náhrady ale tak, aby bola zabezpečená dostupnosť a obslužnosť územia.</v>
      </c>
      <c r="D18" s="188" t="str">
        <f>IFERROR(IF(IF(ISBLANK($B18),VLOOKUP($A18,Harmonogram!$A$1:$FA$162,COLUMN(Prehľad!B18)+6,FALSE),VLOOKUP(Prehľad!$B18,Harmonogram!$F$2:$EW$150,COLUMN(Prehľad!B18)+1,FALSE))=0,"",IF(ISBLANK($B18),VLOOKUP($A18,Harmonogram!$A$1:$FA$162,COLUMN(Prehľad!B18)+6,FALSE),VLOOKUP(Prehľad!$B18,Harmonogram!$F$2:$EW$150,COLUMN(Prehľad!B18)+1,FALSE))),"")</f>
        <v>V rámci realizácie celého projektu (všetky 3 etapy projektu Krásno nad Kysucou - Čadca št. hr.) sa podľa akutalizovanej štúdie ukustočniteľnosti 11/21 uvažuje s nasledujúcimi prinosmi pre Variant C "kombinovaný" (optimalizácia trate) stavby: 
- prevádzkové náklady = 47 900 905 €;
- čas cestujúcich = 7 919 984 €;
- čas tovaru = 100 221 561 €;
- prevádzkové náklady vozidiel = 7 054 153 €;
- bezpečnosť = 545 972 €,
- znečistujúce látky = 517 828 €;
- skleníkové plyny = 1 340 833 €;
- hluk = 336 372 €.</v>
      </c>
      <c r="E18" s="202" t="str">
        <f>IFERROR(IF(IF(ISBLANK($B18),VLOOKUP($A18,Harmonogram!$A$1:$FA$162,COLUMN(Prehľad!C18)+6,FALSE),VLOOKUP(Prehľad!$B18,Harmonogram!$F$2:$EW$150,COLUMN(Prehľad!C18)+1,FALSE))=0,"",IF(ISBLANK($B18),VLOOKUP($A18,Harmonogram!$A$1:$FA$162,COLUMN(Prehľad!C18)+6,FALSE),VLOOKUP(Prehľad!$B18,Harmonogram!$F$2:$EW$150,COLUMN(Prehľad!C18)+1,FALSE))),"")</f>
        <v>TEN-T core;
RFC 5 - hlavná trať
RFC 9 - hlavná trať
Dĺžka(127a)= 6,5km; osôb/deň= 3000; mil.hrtkm/rok=142</v>
      </c>
      <c r="F18" s="177">
        <f>IF(ISBLANK(B18),"",IFERROR(VLOOKUP(B18,Harmonogram!$F$3:$EO$97,140,FALSE),"er"))</f>
        <v>4.9370000000000003</v>
      </c>
      <c r="G18" s="177" t="str">
        <f>IFERROR(IF(IF(ISBLANK($B18),VLOOKUP($A18,Harmonogram!$A$1:$FA$162,COLUMN(Prehľad!D18)+6,FALSE),VLOOKUP(Prehľad!$B18,Harmonogram!$F$2:$EW$150,COLUMN(Prehľad!D18)+1,FALSE))=0,"",IF(ISBLANK($B18),VLOOKUP($A18,Harmonogram!$A$1:$FA$162,COLUMN(Prehľad!D18)+6,FALSE),VLOOKUP(Prehľad!$B18,Harmonogram!$F$2:$EW$150,COLUMN(Prehľad!D18)+1,FALSE))),"")</f>
        <v>1b; 3b</v>
      </c>
      <c r="H18" s="250" t="str">
        <f>IFERROR(IF(IF(ISBLANK($B18),VLOOKUP($A18,Harmonogram!$A$1:$FA$162,COLUMN(Prehľad!A18)+11,FALSE),VLOOKUP(Prehľad!$B18,Harmonogram!$F$2:$EW$150,COLUMN(Prehľad!A18)+6,FALSE))=0,"",IF(ISBLANK($B18),VLOOKUP($A18,Harmonogram!$A$1:$FA$162,COLUMN(Prehľad!A18)+11,FALSE),VLOOKUP(Prehľad!$B18,Harmonogram!$F$2:$EW$150,COLUMN(Prehľad!A18)+6,FALSE))),"")</f>
        <v>Príprava VO na realizáciu</v>
      </c>
      <c r="I18" s="260">
        <f>IF(LEN($B18)=0,VLOOKUP($A18,Harmonogram!$A$1:$FA$162,COLUMN(Prehľad!B18)+11,FALSE),VLOOKUP(Prehľad!$B18,Harmonogram!$F$2:$EW$150,COLUMN(Prehľad!B18)+6,FALSE))</f>
        <v>90064990.61999999</v>
      </c>
      <c r="J18" s="261">
        <f>IF(LEN($B18)=0,VLOOKUP($A18,Harmonogram!$A$1:$FA$162,COLUMN(Prehľad!A18)*12+12,FALSE),VLOOKUP(Prehľad!$B18,Harmonogram!$F$2:$EW$150,COLUMN(Prehľad!A18)*12+7,FALSE))</f>
        <v>8366832.3499999996</v>
      </c>
      <c r="K18" s="260">
        <f>IF(LEN($B18)=0,VLOOKUP($A18,Harmonogram!$A$1:$FA$162,COLUMN(Prehľad!B18)*12+12,FALSE),VLOOKUP(Prehľad!$B18,Harmonogram!$F$2:$EW$150,COLUMN(Prehľad!B18)*12+7,FALSE))</f>
        <v>50000</v>
      </c>
      <c r="L18" s="260">
        <f>IF(LEN($B18)=0,VLOOKUP($A18,Harmonogram!$A$1:$FA$162,COLUMN(Prehľad!C18)*12+12,FALSE),VLOOKUP(Prehľad!$B18,Harmonogram!$F$2:$EW$150,COLUMN(Prehľad!C18)*12+7,FALSE))</f>
        <v>18642750</v>
      </c>
      <c r="M18" s="260">
        <f>IF(LEN($B18)=0,VLOOKUP($A18,Harmonogram!$A$1:$FA$162,COLUMN(Prehľad!D18)*12+12,FALSE),VLOOKUP(Prehľad!$B18,Harmonogram!$F$2:$EW$150,COLUMN(Prehľad!D18)*12+7,FALSE))</f>
        <v>41788000</v>
      </c>
      <c r="N18" s="260">
        <f>IF(LEN($B18)=0,VLOOKUP($A18,Harmonogram!$A$1:$FA$162,COLUMN(Prehľad!E18)*12+12,FALSE),VLOOKUP(Prehľad!$B18,Harmonogram!$F$2:$EW$150,COLUMN(Prehľad!E18)*12+7,FALSE))</f>
        <v>21217408.27</v>
      </c>
      <c r="O18" s="260">
        <f>IF(LEN($B18)=0,VLOOKUP($A18,Harmonogram!$A$1:$FA$162,COLUMN(Prehľad!F18)*12+12,FALSE),VLOOKUP(Prehľad!$B18,Harmonogram!$F$2:$EW$150,COLUMN(Prehľad!F18)*12+7,FALSE))</f>
        <v>0</v>
      </c>
      <c r="P18" s="260">
        <f>IF(LEN($B18)=0,VLOOKUP($A18,Harmonogram!$A$1:$FA$162,COLUMN(Prehľad!G18)*12+12,FALSE),VLOOKUP(Prehľad!$B18,Harmonogram!$F$2:$EW$150,COLUMN(Prehľad!G18)*12+7,FALSE))</f>
        <v>0</v>
      </c>
      <c r="Q18" s="260">
        <f>IF(LEN($B18)=0,VLOOKUP($A18,Harmonogram!$A$1:$FA$162,COLUMN(Prehľad!H18)*12+12,FALSE),VLOOKUP(Prehľad!$B18,Harmonogram!$F$2:$EW$150,COLUMN(Prehľad!H18)*12+7,FALSE))</f>
        <v>0</v>
      </c>
      <c r="R18" s="260">
        <f>IF(LEN($B18)=0,VLOOKUP($A18,Harmonogram!$A$1:$FA$162,COLUMN(Prehľad!I18)*12+12,FALSE),VLOOKUP(Prehľad!$B18,Harmonogram!$F$2:$EW$150,COLUMN(Prehľad!I18)*12+7,FALSE))</f>
        <v>0</v>
      </c>
      <c r="S18" s="260">
        <f>IF(LEN($B18)=0,VLOOKUP($A18,Harmonogram!$A$1:$FA$162,COLUMN(Prehľad!J18)*12+12,FALSE),VLOOKUP(Prehľad!$B18,Harmonogram!$F$2:$EW$150,COLUMN(Prehľad!J18)*12+7,FALSE))</f>
        <v>0</v>
      </c>
      <c r="T18" s="262">
        <f>IF(LEN($B18)=0,VLOOKUP($A18,Harmonogram!$A$1:$FA$162,COLUMN(Prehľad!K18)*12+12,FALSE),VLOOKUP(Prehľad!$B18,Harmonogram!$F$2:$EW$150,COLUMN(Prehľad!K18)*12+7,FALSE))</f>
        <v>0</v>
      </c>
      <c r="U18" s="104"/>
      <c r="V18" s="104"/>
    </row>
    <row r="19" spans="1:22" ht="120" x14ac:dyDescent="0.25">
      <c r="A19" s="203"/>
      <c r="B19" s="203" t="s">
        <v>1012</v>
      </c>
      <c r="C19" s="177" t="str">
        <f>IFERROR(IF(IF(ISBLANK($B19),VLOOKUP($A19,Harmonogram!$A$1:$FA$162,COLUMN(Prehľad!A19)+6,FALSE),VLOOKUP(Prehľad!$B19,Harmonogram!$F$2:$EW$150,COLUMN(Prehľad!A19)+1,FALSE))=0,"",IF(ISBLANK($B19),VLOOKUP($A19,Harmonogram!$A$1:$FA$162,COLUMN(Prehľad!A19)+6,FALSE),VLOOKUP(Prehľad!$B19,Harmonogram!$F$2:$EW$150,COLUMN(Prehľad!A19)+1,FALSE))),"")</f>
        <v>Projekt má za cieľ realizovať modernizáciu koľaje č. 1 a koľaje č. 2 v ŽST Palárikovo – ŽST Nové Zámky, s cieľom zvýšenia traťovej rýchlosti, dosiahnutia normového stavu a zlepšenia bezpečnosti a plynulosti železničnej dopravy, zníženia nákladov na údržbu železničného zvršku a spodku a dosiahnutia vyššieho kvalitatívneho štandardu osobnej dopravy.</v>
      </c>
      <c r="D19" s="177" t="str">
        <f>IFERROR(IF(IF(ISBLANK($B19),VLOOKUP($A19,Harmonogram!$A$1:$FA$162,COLUMN(Prehľad!B19)+6,FALSE),VLOOKUP(Prehľad!$B19,Harmonogram!$F$2:$EW$150,COLUMN(Prehľad!B19)+1,FALSE))=0,"",IF(ISBLANK($B19),VLOOKUP($A19,Harmonogram!$A$1:$FA$162,COLUMN(Prehľad!B19)+6,FALSE),VLOOKUP(Prehľad!$B19,Harmonogram!$F$2:$EW$150,COLUMN(Prehľad!B19)+1,FALSE))),"")</f>
        <v xml:space="preserve">Realizáciou stavby príde k nasledovným prínosom:
- dosiahnutie normového stavu;
- zníženie prevádzkových nákladov na údržbu;
- zvýšenie traťovej rýchlosti na 140 km/h;
- zvýšenie bezpečnosti;
- zvýšenie komfortu cestujúcich realizáciou nástupíšť 550 mm nad STKP v zastávke Ľudovítov.
</v>
      </c>
      <c r="E19" s="204" t="str">
        <f>IFERROR(IF(IF(ISBLANK($B19),VLOOKUP($A19,Harmonogram!$A$1:$FA$162,COLUMN(Prehľad!C19)+6,FALSE),VLOOKUP(Prehľad!$B19,Harmonogram!$F$2:$EW$150,COLUMN(Prehľad!C19)+1,FALSE))=0,"",IF(ISBLANK($B19),VLOOKUP($A19,Harmonogram!$A$1:$FA$162,COLUMN(Prehľad!C19)+6,FALSE),VLOOKUP(Prehľad!$B19,Harmonogram!$F$2:$EW$150,COLUMN(Prehľad!C19)+1,FALSE))),"")</f>
        <v>TEN-T core;
RFC 7 - hlavná trať
RFC 11 - hlavná trať
Dĺžka(130d)= 9,9km; osôb/deň= 16000; mil.hrtkm/rok=155,7</v>
      </c>
      <c r="F19" s="177" t="str">
        <f>IF(ISBLANK(B19),"",IFERROR(VLOOKUP(B19,Harmonogram!$F$3:$EO$97,140,FALSE),"er"))</f>
        <v>7,691 - k. č. 1;
7,778 - k. č. 2; 
spolu = 15,469</v>
      </c>
      <c r="G19" s="177" t="str">
        <f>IFERROR(IF(IF(ISBLANK($B19),VLOOKUP($A19,Harmonogram!$A$1:$FA$162,COLUMN(Prehľad!D19)+6,FALSE),VLOOKUP(Prehľad!$B19,Harmonogram!$F$2:$EW$150,COLUMN(Prehľad!D19)+1,FALSE))=0,"",IF(ISBLANK($B19),VLOOKUP($A19,Harmonogram!$A$1:$FA$162,COLUMN(Prehľad!D19)+6,FALSE),VLOOKUP(Prehľad!$B19,Harmonogram!$F$2:$EW$150,COLUMN(Prehľad!D19)+1,FALSE))),"")</f>
        <v>1b</v>
      </c>
      <c r="H19" s="250" t="str">
        <f>IFERROR(IF(IF(ISBLANK($B19),VLOOKUP($A19,Harmonogram!$A$1:$FA$162,COLUMN(Prehľad!A19)+11,FALSE),VLOOKUP(Prehľad!$B19,Harmonogram!$F$2:$EW$150,COLUMN(Prehľad!A19)+6,FALSE))=0,"",IF(ISBLANK($B19),VLOOKUP($A19,Harmonogram!$A$1:$FA$162,COLUMN(Prehľad!A19)+11,FALSE),VLOOKUP(Prehľad!$B19,Harmonogram!$F$2:$EW$150,COLUMN(Prehľad!A19)+6,FALSE))),"")</f>
        <v>Príprava VO na realizáciu</v>
      </c>
      <c r="I19" s="260">
        <f>IF(LEN($B19)=0,VLOOKUP($A19,Harmonogram!$A$1:$FA$162,COLUMN(Prehľad!B19)+11,FALSE),VLOOKUP(Prehľad!$B19,Harmonogram!$F$2:$EW$150,COLUMN(Prehľad!B19)+6,FALSE))</f>
        <v>30301016.039999999</v>
      </c>
      <c r="J19" s="261">
        <f>IF(LEN($B19)=0,VLOOKUP($A19,Harmonogram!$A$1:$FA$162,COLUMN(Prehľad!A19)*12+12,FALSE),VLOOKUP(Prehľad!$B19,Harmonogram!$F$2:$EW$150,COLUMN(Prehľad!A19)*12+7,FALSE))</f>
        <v>258311.84</v>
      </c>
      <c r="K19" s="260">
        <f>IF(LEN($B19)=0,VLOOKUP($A19,Harmonogram!$A$1:$FA$162,COLUMN(Prehľad!B19)*12+12,FALSE),VLOOKUP(Prehľad!$B19,Harmonogram!$F$2:$EW$150,COLUMN(Prehľad!B19)*12+7,FALSE))</f>
        <v>61700</v>
      </c>
      <c r="L19" s="260">
        <f>IF(LEN($B19)=0,VLOOKUP($A19,Harmonogram!$A$1:$FA$162,COLUMN(Prehľad!C19)*12+12,FALSE),VLOOKUP(Prehľad!$B19,Harmonogram!$F$2:$EW$150,COLUMN(Prehľad!C19)*12+7,FALSE))</f>
        <v>1000000</v>
      </c>
      <c r="M19" s="260">
        <f>IF(LEN($B19)=0,VLOOKUP($A19,Harmonogram!$A$1:$FA$162,COLUMN(Prehľad!D19)*12+12,FALSE),VLOOKUP(Prehľad!$B19,Harmonogram!$F$2:$EW$150,COLUMN(Prehľad!D19)*12+7,FALSE))</f>
        <v>28981004.199999999</v>
      </c>
      <c r="N19" s="260">
        <f>IF(LEN($B19)=0,VLOOKUP($A19,Harmonogram!$A$1:$FA$162,COLUMN(Prehľad!E19)*12+12,FALSE),VLOOKUP(Prehľad!$B19,Harmonogram!$F$2:$EW$150,COLUMN(Prehľad!E19)*12+7,FALSE))</f>
        <v>0</v>
      </c>
      <c r="O19" s="260">
        <f>IF(LEN($B19)=0,VLOOKUP($A19,Harmonogram!$A$1:$FA$162,COLUMN(Prehľad!F19)*12+12,FALSE),VLOOKUP(Prehľad!$B19,Harmonogram!$F$2:$EW$150,COLUMN(Prehľad!F19)*12+7,FALSE))</f>
        <v>0</v>
      </c>
      <c r="P19" s="260">
        <f>IF(LEN($B19)=0,VLOOKUP($A19,Harmonogram!$A$1:$FA$162,COLUMN(Prehľad!G19)*12+12,FALSE),VLOOKUP(Prehľad!$B19,Harmonogram!$F$2:$EW$150,COLUMN(Prehľad!G19)*12+7,FALSE))</f>
        <v>0</v>
      </c>
      <c r="Q19" s="260">
        <f>IF(LEN($B19)=0,VLOOKUP($A19,Harmonogram!$A$1:$FA$162,COLUMN(Prehľad!H19)*12+12,FALSE),VLOOKUP(Prehľad!$B19,Harmonogram!$F$2:$EW$150,COLUMN(Prehľad!H19)*12+7,FALSE))</f>
        <v>0</v>
      </c>
      <c r="R19" s="260">
        <f>IF(LEN($B19)=0,VLOOKUP($A19,Harmonogram!$A$1:$FA$162,COLUMN(Prehľad!I19)*12+12,FALSE),VLOOKUP(Prehľad!$B19,Harmonogram!$F$2:$EW$150,COLUMN(Prehľad!I19)*12+7,FALSE))</f>
        <v>0</v>
      </c>
      <c r="S19" s="260">
        <f>IF(LEN($B19)=0,VLOOKUP($A19,Harmonogram!$A$1:$FA$162,COLUMN(Prehľad!J19)*12+12,FALSE),VLOOKUP(Prehľad!$B19,Harmonogram!$F$2:$EW$150,COLUMN(Prehľad!J19)*12+7,FALSE))</f>
        <v>0</v>
      </c>
      <c r="T19" s="262">
        <f>IF(LEN($B19)=0,VLOOKUP($A19,Harmonogram!$A$1:$FA$162,COLUMN(Prehľad!K19)*12+12,FALSE),VLOOKUP(Prehľad!$B19,Harmonogram!$F$2:$EW$150,COLUMN(Prehľad!K19)*12+7,FALSE))</f>
        <v>0</v>
      </c>
    </row>
    <row r="20" spans="1:22" ht="120" x14ac:dyDescent="0.25">
      <c r="A20" s="240"/>
      <c r="B20" s="203" t="s">
        <v>1029</v>
      </c>
      <c r="C20" s="177" t="str">
        <f>IFERROR(IF(IF(ISBLANK($B20),VLOOKUP($A20,Harmonogram!$A$1:$FA$162,COLUMN(Prehľad!A20)+6,FALSE),VLOOKUP(Prehľad!$B20,Harmonogram!$F$2:$EW$150,COLUMN(Prehľad!A20)+1,FALSE))=0,"",IF(ISBLANK($B20),VLOOKUP($A20,Harmonogram!$A$1:$FA$162,COLUMN(Prehľad!A20)+6,FALSE),VLOOKUP(Prehľad!$B20,Harmonogram!$F$2:$EW$150,COLUMN(Prehľad!A20)+1,FALSE))),"")</f>
        <v>Predmetom projektu je modernizácia 7 výhybiek na novozámockom zhlaví žst. z dôvodu prevádzkového opotrebovania a s ním spojených dlhodobých prevádzkových obmedzení. Hlavným cieľom je zaistiť dlhodobo bezpečnosť železničnej prevádzky v danom úseku.</v>
      </c>
      <c r="D20" s="177" t="str">
        <f>IFERROR(IF(IF(ISBLANK($B20),VLOOKUP($A20,Harmonogram!$A$1:$FA$162,COLUMN(Prehľad!B20)+6,FALSE),VLOOKUP(Prehľad!$B20,Harmonogram!$F$2:$EW$150,COLUMN(Prehľad!B20)+1,FALSE))=0,"",IF(ISBLANK($B20),VLOOKUP($A20,Harmonogram!$A$1:$FA$162,COLUMN(Prehľad!B20)+6,FALSE),VLOOKUP(Prehľad!$B20,Harmonogram!$F$2:$EW$150,COLUMN(Prehľad!B20)+1,FALSE))),"")</f>
        <v>Hlavnými cieľmi projektu sú:
- odstránenie obmedzení rýchlosti
- zvýšenie bezpečnosti a plynulosti prevádzky,
- zvýšenie bezpečnosti cestujúcich,
- zvýšenie kultúry, komfortu a plynulosti cestovania,
- zníženie negatívnych dopadov železničnej prevádzky na obyvateľstvo,
- zlepšenie a skvalitnenie životného prostredia,
- zníženie nákladov na údržbu železničnej infraštruktúry.</v>
      </c>
      <c r="E20" s="204" t="str">
        <f>IFERROR(IF(IF(ISBLANK($B20),VLOOKUP($A20,Harmonogram!$A$1:$FA$162,COLUMN(Prehľad!C20)+6,FALSE),VLOOKUP(Prehľad!$B20,Harmonogram!$F$2:$EW$150,COLUMN(Prehľad!C20)+1,FALSE))=0,"",IF(ISBLANK($B20),VLOOKUP($A20,Harmonogram!$A$1:$FA$162,COLUMN(Prehľad!C20)+6,FALSE),VLOOKUP(Prehľad!$B20,Harmonogram!$F$2:$EW$150,COLUMN(Prehľad!C20)+1,FALSE))),"")</f>
        <v>TEN-T core;
RFC 7 - hlavná trať
RFC 11 - hlavná trať
Dĺžka(130e)= 46,2km; osôb/deň= 5000; mil.hrtkm/rok=535,7</v>
      </c>
      <c r="F20" s="177" t="str">
        <f>IF(ISBLANK(B20),"",IFERROR(VLOOKUP(B20,Harmonogram!$F$3:$EO$97,140,FALSE),"er"))</f>
        <v>7 ks v.j.</v>
      </c>
      <c r="G20" s="177" t="str">
        <f>IFERROR(IF(IF(ISBLANK($B20),VLOOKUP($A20,Harmonogram!$A$1:$FA$162,COLUMN(Prehľad!D20)+6,FALSE),VLOOKUP(Prehľad!$B20,Harmonogram!$F$2:$EW$150,COLUMN(Prehľad!D20)+1,FALSE))=0,"",IF(ISBLANK($B20),VLOOKUP($A20,Harmonogram!$A$1:$FA$162,COLUMN(Prehľad!D20)+6,FALSE),VLOOKUP(Prehľad!$B20,Harmonogram!$F$2:$EW$150,COLUMN(Prehľad!D20)+1,FALSE))),"")</f>
        <v>1b</v>
      </c>
      <c r="H20" s="250" t="str">
        <f>IFERROR(IF(IF(ISBLANK($B20),VLOOKUP($A20,Harmonogram!$A$1:$FA$162,COLUMN(Prehľad!A20)+11,FALSE),VLOOKUP(Prehľad!$B20,Harmonogram!$F$2:$EW$150,COLUMN(Prehľad!A20)+6,FALSE))=0,"",IF(ISBLANK($B20),VLOOKUP($A20,Harmonogram!$A$1:$FA$162,COLUMN(Prehľad!A20)+11,FALSE),VLOOKUP(Prehľad!$B20,Harmonogram!$F$2:$EW$150,COLUMN(Prehľad!A20)+6,FALSE))),"")</f>
        <v>SP vydané/Príprava VO na realizáciu</v>
      </c>
      <c r="I20" s="260">
        <f>IF(LEN($B20)=0,VLOOKUP($A20,Harmonogram!$A$1:$FA$162,COLUMN(Prehľad!B20)+11,FALSE),VLOOKUP(Prehľad!$B20,Harmonogram!$F$2:$EW$150,COLUMN(Prehľad!B20)+6,FALSE))</f>
        <v>10461301.41</v>
      </c>
      <c r="J20" s="261">
        <f>IF(LEN($B20)=0,VLOOKUP($A20,Harmonogram!$A$1:$FA$162,COLUMN(Prehľad!A20)*12+12,FALSE),VLOOKUP(Prehľad!$B20,Harmonogram!$F$2:$EW$150,COLUMN(Prehľad!A20)*12+7,FALSE))</f>
        <v>112277.35</v>
      </c>
      <c r="K20" s="260">
        <f>IF(LEN($B20)=0,VLOOKUP($A20,Harmonogram!$A$1:$FA$162,COLUMN(Prehľad!B20)*12+12,FALSE),VLOOKUP(Prehľad!$B20,Harmonogram!$F$2:$EW$150,COLUMN(Prehľad!B20)*12+7,FALSE))</f>
        <v>37950</v>
      </c>
      <c r="L20" s="260">
        <f>IF(LEN($B20)=0,VLOOKUP($A20,Harmonogram!$A$1:$FA$162,COLUMN(Prehľad!C20)*12+12,FALSE),VLOOKUP(Prehľad!$B20,Harmonogram!$F$2:$EW$150,COLUMN(Prehľad!C20)*12+7,FALSE))</f>
        <v>500000</v>
      </c>
      <c r="M20" s="260">
        <f>IF(LEN($B20)=0,VLOOKUP($A20,Harmonogram!$A$1:$FA$162,COLUMN(Prehľad!D20)*12+12,FALSE),VLOOKUP(Prehľad!$B20,Harmonogram!$F$2:$EW$150,COLUMN(Prehľad!D20)*12+7,FALSE))</f>
        <v>9811074.0600000005</v>
      </c>
      <c r="N20" s="260">
        <f>IF(LEN($B20)=0,VLOOKUP($A20,Harmonogram!$A$1:$FA$162,COLUMN(Prehľad!E20)*12+12,FALSE),VLOOKUP(Prehľad!$B20,Harmonogram!$F$2:$EW$150,COLUMN(Prehľad!E20)*12+7,FALSE))</f>
        <v>0</v>
      </c>
      <c r="O20" s="260">
        <f>IF(LEN($B20)=0,VLOOKUP($A20,Harmonogram!$A$1:$FA$162,COLUMN(Prehľad!F20)*12+12,FALSE),VLOOKUP(Prehľad!$B20,Harmonogram!$F$2:$EW$150,COLUMN(Prehľad!F20)*12+7,FALSE))</f>
        <v>0</v>
      </c>
      <c r="P20" s="260">
        <f>IF(LEN($B20)=0,VLOOKUP($A20,Harmonogram!$A$1:$FA$162,COLUMN(Prehľad!G20)*12+12,FALSE),VLOOKUP(Prehľad!$B20,Harmonogram!$F$2:$EW$150,COLUMN(Prehľad!G20)*12+7,FALSE))</f>
        <v>0</v>
      </c>
      <c r="Q20" s="260">
        <f>IF(LEN($B20)=0,VLOOKUP($A20,Harmonogram!$A$1:$FA$162,COLUMN(Prehľad!H20)*12+12,FALSE),VLOOKUP(Prehľad!$B20,Harmonogram!$F$2:$EW$150,COLUMN(Prehľad!H20)*12+7,FALSE))</f>
        <v>0</v>
      </c>
      <c r="R20" s="260">
        <f>IF(LEN($B20)=0,VLOOKUP($A20,Harmonogram!$A$1:$FA$162,COLUMN(Prehľad!I20)*12+12,FALSE),VLOOKUP(Prehľad!$B20,Harmonogram!$F$2:$EW$150,COLUMN(Prehľad!I20)*12+7,FALSE))</f>
        <v>0</v>
      </c>
      <c r="S20" s="260">
        <f>IF(LEN($B20)=0,VLOOKUP($A20,Harmonogram!$A$1:$FA$162,COLUMN(Prehľad!J20)*12+12,FALSE),VLOOKUP(Prehľad!$B20,Harmonogram!$F$2:$EW$150,COLUMN(Prehľad!J20)*12+7,FALSE))</f>
        <v>0</v>
      </c>
      <c r="T20" s="262">
        <f>IF(LEN($B20)=0,VLOOKUP($A20,Harmonogram!$A$1:$FA$162,COLUMN(Prehľad!K20)*12+12,FALSE),VLOOKUP(Prehľad!$B20,Harmonogram!$F$2:$EW$150,COLUMN(Prehľad!K20)*12+7,FALSE))</f>
        <v>0</v>
      </c>
    </row>
    <row r="21" spans="1:22" ht="105" x14ac:dyDescent="0.25">
      <c r="A21" s="240"/>
      <c r="B21" s="203" t="s">
        <v>1038</v>
      </c>
      <c r="C21" s="177" t="str">
        <f>IFERROR(IF(IF(ISBLANK($B21),VLOOKUP($A21,Harmonogram!$A$1:$FA$162,COLUMN(Prehľad!A21)+6,FALSE),VLOOKUP(Prehľad!$B21,Harmonogram!$F$2:$EW$150,COLUMN(Prehľad!A21)+1,FALSE))=0,"",IF(ISBLANK($B21),VLOOKUP($A21,Harmonogram!$A$1:$FA$162,COLUMN(Prehľad!A21)+6,FALSE),VLOOKUP(Prehľad!$B21,Harmonogram!$F$2:$EW$150,COLUMN(Prehľad!A21)+1,FALSE))),"")</f>
        <v>Dvojkoľajná, elektrifikovaná, železničná trať Devínska Nová Ves - Štúrovo v úseku ŽST Bratislava hl.st., je vedená v Bratislavskom tuneli č. 2. Vzhľadom na rozrušené horninové nadložie tunela a tiež postupné dožívanie izolačných materiálov použitých pri výstavbe, sa nepriaznivý vplyv poveternostných podmienok okamžite prejaví v značnom zavodnení obmurovky ostenia tunela. Silné zavodnenie spôsobuje ďalšie poruchy, ktoré vplývajú na tunelové ostenie a jeho stabilitu.</v>
      </c>
      <c r="D21" s="177" t="str">
        <f>IFERROR(IF(IF(ISBLANK($B21),VLOOKUP($A21,Harmonogram!$A$1:$FA$162,COLUMN(Prehľad!B21)+6,FALSE),VLOOKUP(Prehľad!$B21,Harmonogram!$F$2:$EW$150,COLUMN(Prehľad!B21)+1,FALSE))=0,"",IF(ISBLANK($B21),VLOOKUP($A21,Harmonogram!$A$1:$FA$162,COLUMN(Prehľad!B21)+6,FALSE),VLOOKUP(Prehľad!$B21,Harmonogram!$F$2:$EW$150,COLUMN(Prehľad!B21)+1,FALSE))),"")</f>
        <v>Realizáciou navrhnutých sanačných opatrení sa má dosiahnuť:
- praktická suchosť pre elektrifikovaný tunel, 
- predĺženie životnosti tunela,
- zníženie prevádzkových nákladov na údržbu,
- zaistenie bezpečnosti železničnej dopravy v tuneli.</v>
      </c>
      <c r="E21" s="204" t="str">
        <f>IFERROR(IF(IF(ISBLANK($B21),VLOOKUP($A21,Harmonogram!$A$1:$FA$162,COLUMN(Prehľad!C21)+6,FALSE),VLOOKUP(Prehľad!$B21,Harmonogram!$F$2:$EW$150,COLUMN(Prehľad!C21)+1,FALSE))=0,"",IF(ISBLANK($B21),VLOOKUP($A21,Harmonogram!$A$1:$FA$162,COLUMN(Prehľad!C21)+6,FALSE),VLOOKUP(Prehľad!$B21,Harmonogram!$F$2:$EW$150,COLUMN(Prehľad!C21)+1,FALSE))),"")</f>
        <v>TEN-T core;
RFC 5 - alternatívna trať
RFC 7 - hlavná trať</v>
      </c>
      <c r="F21" s="177">
        <f>IF(ISBLANK(B21),"",IFERROR(VLOOKUP(B21,Harmonogram!$F$3:$EO$97,140,FALSE),"er"))</f>
        <v>0.69599999999999995</v>
      </c>
      <c r="G21" s="177" t="str">
        <f>IFERROR(IF(IF(ISBLANK($B21),VLOOKUP($A21,Harmonogram!$A$1:$FA$162,COLUMN(Prehľad!D21)+6,FALSE),VLOOKUP(Prehľad!$B21,Harmonogram!$F$2:$EW$150,COLUMN(Prehľad!D21)+1,FALSE))=0,"",IF(ISBLANK($B21),VLOOKUP($A21,Harmonogram!$A$1:$FA$162,COLUMN(Prehľad!D21)+6,FALSE),VLOOKUP(Prehľad!$B21,Harmonogram!$F$2:$EW$150,COLUMN(Prehľad!D21)+1,FALSE))),"")</f>
        <v>1b</v>
      </c>
      <c r="H21" s="250" t="str">
        <f>IFERROR(IF(IF(ISBLANK($B21),VLOOKUP($A21,Harmonogram!$A$1:$FA$162,COLUMN(Prehľad!A21)+11,FALSE),VLOOKUP(Prehľad!$B21,Harmonogram!$F$2:$EW$150,COLUMN(Prehľad!A21)+6,FALSE))=0,"",IF(ISBLANK($B21),VLOOKUP($A21,Harmonogram!$A$1:$FA$162,COLUMN(Prehľad!A21)+11,FALSE),VLOOKUP(Prehľad!$B21,Harmonogram!$F$2:$EW$150,COLUMN(Prehľad!A21)+6,FALSE))),"")</f>
        <v>SP vydané/Príprava VO na realizáciu</v>
      </c>
      <c r="I21" s="260">
        <f>IF(LEN($B21)=0,VLOOKUP($A21,Harmonogram!$A$1:$FA$162,COLUMN(Prehľad!B21)+11,FALSE),VLOOKUP(Prehľad!$B21,Harmonogram!$F$2:$EW$150,COLUMN(Prehľad!B21)+6,FALSE))</f>
        <v>5501093.7699999996</v>
      </c>
      <c r="J21" s="261">
        <f>IF(LEN($B21)=0,VLOOKUP($A21,Harmonogram!$A$1:$FA$162,COLUMN(Prehľad!A21)*12+12,FALSE),VLOOKUP(Prehľad!$B21,Harmonogram!$F$2:$EW$150,COLUMN(Prehľad!A21)*12+7,FALSE))</f>
        <v>241580</v>
      </c>
      <c r="K21" s="260">
        <f>IF(LEN($B21)=0,VLOOKUP($A21,Harmonogram!$A$1:$FA$162,COLUMN(Prehľad!B21)*12+12,FALSE),VLOOKUP(Prehľad!$B21,Harmonogram!$F$2:$EW$150,COLUMN(Prehľad!B21)*12+7,FALSE))</f>
        <v>11743.75</v>
      </c>
      <c r="L21" s="260">
        <f>IF(LEN($B21)=0,VLOOKUP($A21,Harmonogram!$A$1:$FA$162,COLUMN(Prehľad!C21)*12+12,FALSE),VLOOKUP(Prehľad!$B21,Harmonogram!$F$2:$EW$150,COLUMN(Prehľad!C21)*12+7,FALSE))</f>
        <v>2950000</v>
      </c>
      <c r="M21" s="260">
        <f>IF(LEN($B21)=0,VLOOKUP($A21,Harmonogram!$A$1:$FA$162,COLUMN(Prehľad!D21)*12+12,FALSE),VLOOKUP(Prehľad!$B21,Harmonogram!$F$2:$EW$150,COLUMN(Prehľad!D21)*12+7,FALSE))</f>
        <v>2297770.0199999996</v>
      </c>
      <c r="N21" s="260">
        <f>IF(LEN($B21)=0,VLOOKUP($A21,Harmonogram!$A$1:$FA$162,COLUMN(Prehľad!E21)*12+12,FALSE),VLOOKUP(Prehľad!$B21,Harmonogram!$F$2:$EW$150,COLUMN(Prehľad!E21)*12+7,FALSE))</f>
        <v>0</v>
      </c>
      <c r="O21" s="260">
        <f>IF(LEN($B21)=0,VLOOKUP($A21,Harmonogram!$A$1:$FA$162,COLUMN(Prehľad!F21)*12+12,FALSE),VLOOKUP(Prehľad!$B21,Harmonogram!$F$2:$EW$150,COLUMN(Prehľad!F21)*12+7,FALSE))</f>
        <v>0</v>
      </c>
      <c r="P21" s="260">
        <f>IF(LEN($B21)=0,VLOOKUP($A21,Harmonogram!$A$1:$FA$162,COLUMN(Prehľad!G21)*12+12,FALSE),VLOOKUP(Prehľad!$B21,Harmonogram!$F$2:$EW$150,COLUMN(Prehľad!G21)*12+7,FALSE))</f>
        <v>0</v>
      </c>
      <c r="Q21" s="260">
        <f>IF(LEN($B21)=0,VLOOKUP($A21,Harmonogram!$A$1:$FA$162,COLUMN(Prehľad!H21)*12+12,FALSE),VLOOKUP(Prehľad!$B21,Harmonogram!$F$2:$EW$150,COLUMN(Prehľad!H21)*12+7,FALSE))</f>
        <v>0</v>
      </c>
      <c r="R21" s="260">
        <f>IF(LEN($B21)=0,VLOOKUP($A21,Harmonogram!$A$1:$FA$162,COLUMN(Prehľad!I21)*12+12,FALSE),VLOOKUP(Prehľad!$B21,Harmonogram!$F$2:$EW$150,COLUMN(Prehľad!I21)*12+7,FALSE))</f>
        <v>0</v>
      </c>
      <c r="S21" s="260">
        <f>IF(LEN($B21)=0,VLOOKUP($A21,Harmonogram!$A$1:$FA$162,COLUMN(Prehľad!J21)*12+12,FALSE),VLOOKUP(Prehľad!$B21,Harmonogram!$F$2:$EW$150,COLUMN(Prehľad!J21)*12+7,FALSE))</f>
        <v>0</v>
      </c>
      <c r="T21" s="262">
        <f>IF(LEN($B21)=0,VLOOKUP($A21,Harmonogram!$A$1:$FA$162,COLUMN(Prehľad!K21)*12+12,FALSE),VLOOKUP(Prehľad!$B21,Harmonogram!$F$2:$EW$150,COLUMN(Prehľad!K21)*12+7,FALSE))</f>
        <v>0</v>
      </c>
    </row>
    <row r="22" spans="1:22" ht="165" x14ac:dyDescent="0.25">
      <c r="A22" s="240"/>
      <c r="B22" s="203" t="s">
        <v>1013</v>
      </c>
      <c r="C22" s="177" t="str">
        <f>IFERROR(IF(IF(ISBLANK($B22),VLOOKUP($A22,Harmonogram!$A$1:$FA$162,COLUMN(Prehľad!A22)+6,FALSE),VLOOKUP(Prehľad!$B22,Harmonogram!$F$2:$EW$150,COLUMN(Prehľad!A22)+1,FALSE))=0,"",IF(ISBLANK($B22),VLOOKUP($A22,Harmonogram!$A$1:$FA$162,COLUMN(Prehľad!A22)+6,FALSE),VLOOKUP(Prehľad!$B22,Harmonogram!$F$2:$EW$150,COLUMN(Prehľad!A22)+1,FALSE))),"")</f>
        <v>Predmetom projektu je modernizácia koľaje č. 1 a koľaje č. 2 medzi ŽST Trnovec nad Váhom a Tvrdošovcami, s cieľom zvýšenia traťovej rýchlosti, dosiahnutia normového stavu a zlepšenie bezpečnosti a plynulosti železničnej dopravy, zníženie nákladov na údržbu železničného zvršku a spodku a dosiahnutie vyššieho kvalitatívneho štandardu osobnej dopravy.</v>
      </c>
      <c r="D22" s="177" t="str">
        <f>IFERROR(IF(IF(ISBLANK($B22),VLOOKUP($A22,Harmonogram!$A$1:$FA$162,COLUMN(Prehľad!B22)+6,FALSE),VLOOKUP(Prehľad!$B22,Harmonogram!$F$2:$EW$150,COLUMN(Prehľad!B22)+1,FALSE))=0,"",IF(ISBLANK($B22),VLOOKUP($A22,Harmonogram!$A$1:$FA$162,COLUMN(Prehľad!B22)+6,FALSE),VLOOKUP(Prehľad!$B22,Harmonogram!$F$2:$EW$150,COLUMN(Prehľad!B22)+1,FALSE))),"")</f>
        <v xml:space="preserve">K hlavným cieľom patrí:
- zníženie nákladov na údržbu;
- zvýšenie traťovej rýchlosti na 140 km/h;
- modernizácia trate – výmena zastaraného typu konštrukcie železničného zvršku a spodku;
- zvýšenie bezpečnosti prevádzky;
- zvýšenie bezpečnosti cestujúcich;
- zvýšenie kultúry, komfortu a plynulosti cestovania;
- zníženie negatívnych dopadov železničnej prevádzky na obyvateľstvo;
- zlepšenie a skvalitnenie životného prostredia.
</v>
      </c>
      <c r="E22" s="204" t="str">
        <f>IFERROR(IF(IF(ISBLANK($B22),VLOOKUP($A22,Harmonogram!$A$1:$FA$162,COLUMN(Prehľad!C22)+6,FALSE),VLOOKUP(Prehľad!$B22,Harmonogram!$F$2:$EW$150,COLUMN(Prehľad!C22)+1,FALSE))=0,"",IF(ISBLANK($B22),VLOOKUP($A22,Harmonogram!$A$1:$FA$162,COLUMN(Prehľad!C22)+6,FALSE),VLOOKUP(Prehľad!$B22,Harmonogram!$F$2:$EW$150,COLUMN(Prehľad!C22)+1,FALSE))),"")</f>
        <v>TEN-T core;
RFC 7 - hlavná trať
RFC 11 - hlavná trať
Dĺžka(130c)= 32,3km; osôb/deň= 16000; mil.hrtkm/rok=586,4</v>
      </c>
      <c r="F22" s="177">
        <f>IF(ISBLANK(B22),"",IFERROR(VLOOKUP(B22,Harmonogram!$F$3:$EO$97,140,FALSE),"er"))</f>
        <v>9.5719999999999992</v>
      </c>
      <c r="G22" s="177" t="str">
        <f>IFERROR(IF(IF(ISBLANK($B22),VLOOKUP($A22,Harmonogram!$A$1:$FA$162,COLUMN(Prehľad!D22)+6,FALSE),VLOOKUP(Prehľad!$B22,Harmonogram!$F$2:$EW$150,COLUMN(Prehľad!D22)+1,FALSE))=0,"",IF(ISBLANK($B22),VLOOKUP($A22,Harmonogram!$A$1:$FA$162,COLUMN(Prehľad!D22)+6,FALSE),VLOOKUP(Prehľad!$B22,Harmonogram!$F$2:$EW$150,COLUMN(Prehľad!D22)+1,FALSE))),"")</f>
        <v>1b</v>
      </c>
      <c r="H22" s="250" t="str">
        <f>IFERROR(IF(IF(ISBLANK($B22),VLOOKUP($A22,Harmonogram!$A$1:$FA$162,COLUMN(Prehľad!A22)+11,FALSE),VLOOKUP(Prehľad!$B22,Harmonogram!$F$2:$EW$150,COLUMN(Prehľad!A22)+6,FALSE))=0,"",IF(ISBLANK($B22),VLOOKUP($A22,Harmonogram!$A$1:$FA$162,COLUMN(Prehľad!A22)+11,FALSE),VLOOKUP(Prehľad!$B22,Harmonogram!$F$2:$EW$150,COLUMN(Prehľad!A22)+6,FALSE))),"")</f>
        <v>SP vydané/Príprava VO na realizáciu</v>
      </c>
      <c r="I22" s="260">
        <f>IF(LEN($B22)=0,VLOOKUP($A22,Harmonogram!$A$1:$FA$162,COLUMN(Prehľad!B22)+11,FALSE),VLOOKUP(Prehľad!$B22,Harmonogram!$F$2:$EW$150,COLUMN(Prehľad!B22)+6,FALSE))</f>
        <v>30648740.490000002</v>
      </c>
      <c r="J22" s="261">
        <f>IF(LEN($B22)=0,VLOOKUP($A22,Harmonogram!$A$1:$FA$162,COLUMN(Prehľad!A22)*12+12,FALSE),VLOOKUP(Prehľad!$B22,Harmonogram!$F$2:$EW$150,COLUMN(Prehľad!A22)*12+7,FALSE))</f>
        <v>246359.05000000002</v>
      </c>
      <c r="K22" s="260">
        <f>IF(LEN($B22)=0,VLOOKUP($A22,Harmonogram!$A$1:$FA$162,COLUMN(Prehľad!B22)*12+12,FALSE),VLOOKUP(Prehľad!$B22,Harmonogram!$F$2:$EW$150,COLUMN(Prehľad!B22)*12+7,FALSE))</f>
        <v>31405.55</v>
      </c>
      <c r="L22" s="260">
        <f>IF(LEN($B22)=0,VLOOKUP($A22,Harmonogram!$A$1:$FA$162,COLUMN(Prehľad!C22)*12+12,FALSE),VLOOKUP(Prehľad!$B22,Harmonogram!$F$2:$EW$150,COLUMN(Prehľad!C22)*12+7,FALSE))</f>
        <v>1000000</v>
      </c>
      <c r="M22" s="260">
        <f>IF(LEN($B22)=0,VLOOKUP($A22,Harmonogram!$A$1:$FA$162,COLUMN(Prehľad!D22)*12+12,FALSE),VLOOKUP(Prehľad!$B22,Harmonogram!$F$2:$EW$150,COLUMN(Prehľad!D22)*12+7,FALSE))</f>
        <v>26346550.762857143</v>
      </c>
      <c r="N22" s="260">
        <f>IF(LEN($B22)=0,VLOOKUP($A22,Harmonogram!$A$1:$FA$162,COLUMN(Prehľad!E22)*12+12,FALSE),VLOOKUP(Prehľad!$B22,Harmonogram!$F$2:$EW$150,COLUMN(Prehľad!E22)*12+7,FALSE))</f>
        <v>3024425.1271428573</v>
      </c>
      <c r="O22" s="260">
        <f>IF(LEN($B22)=0,VLOOKUP($A22,Harmonogram!$A$1:$FA$162,COLUMN(Prehľad!F22)*12+12,FALSE),VLOOKUP(Prehľad!$B22,Harmonogram!$F$2:$EW$150,COLUMN(Prehľad!F22)*12+7,FALSE))</f>
        <v>0</v>
      </c>
      <c r="P22" s="260">
        <f>IF(LEN($B22)=0,VLOOKUP($A22,Harmonogram!$A$1:$FA$162,COLUMN(Prehľad!G22)*12+12,FALSE),VLOOKUP(Prehľad!$B22,Harmonogram!$F$2:$EW$150,COLUMN(Prehľad!G22)*12+7,FALSE))</f>
        <v>0</v>
      </c>
      <c r="Q22" s="260">
        <f>IF(LEN($B22)=0,VLOOKUP($A22,Harmonogram!$A$1:$FA$162,COLUMN(Prehľad!H22)*12+12,FALSE),VLOOKUP(Prehľad!$B22,Harmonogram!$F$2:$EW$150,COLUMN(Prehľad!H22)*12+7,FALSE))</f>
        <v>0</v>
      </c>
      <c r="R22" s="260">
        <f>IF(LEN($B22)=0,VLOOKUP($A22,Harmonogram!$A$1:$FA$162,COLUMN(Prehľad!I22)*12+12,FALSE),VLOOKUP(Prehľad!$B22,Harmonogram!$F$2:$EW$150,COLUMN(Prehľad!I22)*12+7,FALSE))</f>
        <v>0</v>
      </c>
      <c r="S22" s="260">
        <f>IF(LEN($B22)=0,VLOOKUP($A22,Harmonogram!$A$1:$FA$162,COLUMN(Prehľad!J22)*12+12,FALSE),VLOOKUP(Prehľad!$B22,Harmonogram!$F$2:$EW$150,COLUMN(Prehľad!J22)*12+7,FALSE))</f>
        <v>0</v>
      </c>
      <c r="T22" s="262">
        <f>IF(LEN($B22)=0,VLOOKUP($A22,Harmonogram!$A$1:$FA$162,COLUMN(Prehľad!K22)*12+12,FALSE),VLOOKUP(Prehľad!$B22,Harmonogram!$F$2:$EW$150,COLUMN(Prehľad!K22)*12+7,FALSE))</f>
        <v>0</v>
      </c>
    </row>
    <row r="23" spans="1:22" ht="150" x14ac:dyDescent="0.25">
      <c r="A23" s="240"/>
      <c r="B23" s="203" t="s">
        <v>1015</v>
      </c>
      <c r="C23" s="177" t="str">
        <f>IFERROR(IF(IF(ISBLANK($B23),VLOOKUP($A23,Harmonogram!$A$1:$FA$162,COLUMN(Prehľad!A23)+6,FALSE),VLOOKUP(Prehľad!$B23,Harmonogram!$F$2:$EW$150,COLUMN(Prehľad!A23)+1,FALSE))=0,"",IF(ISBLANK($B23),VLOOKUP($A23,Harmonogram!$A$1:$FA$162,COLUMN(Prehľad!A23)+6,FALSE),VLOOKUP(Prehľad!$B23,Harmonogram!$F$2:$EW$150,COLUMN(Prehľad!A23)+1,FALSE))),"")</f>
        <v>Stavba rieši rekonštrukciu jestvujúcej jednokoľajnej neelktrifikovanej železničnej trate. Úsek trate určený na rekonštrukciu má dĺžku 8 427m. Vzhľadom na vysoký stupeň degradácie konštrukčného a geometrického usporiadania koľaje v uvedenom úseku trate bolo nevyhnutné pristúpiť k rekonštrukcii a obnove súčastí železničného zvršku a v niektorých úsekoch trate aj k zrealizovaniu absentujúcej konštruk-cii železničného spodku formou podkladových vrstiev a odvodňovacích zariadení.</v>
      </c>
      <c r="D23" s="177" t="str">
        <f>IFERROR(IF(IF(ISBLANK($B23),VLOOKUP($A23,Harmonogram!$A$1:$FA$162,COLUMN(Prehľad!B23)+6,FALSE),VLOOKUP(Prehľad!$B23,Harmonogram!$F$2:$EW$150,COLUMN(Prehľad!B23)+1,FALSE))=0,"",IF(ISBLANK($B23),VLOOKUP($A23,Harmonogram!$A$1:$FA$162,COLUMN(Prehľad!B23)+6,FALSE),VLOOKUP(Prehľad!$B23,Harmonogram!$F$2:$EW$150,COLUMN(Prehľad!B23)+1,FALSE))),"")</f>
        <v>Hlavným cieľom projektu je rekonštrukcia technickej infraštruktúry železničnej trate pre do-siahnutie kritérií:
- zvýšenie traťovej rýchlosti na 120 km/h,
- zvýšenie priestorovej priechodnosti,
- zvýšenie únosnosti železničného spodku,
- zvýšenie bezpečnosti prevádzky,
- zvýšenie bezpečnosti cestujúcich,
- zvýšenie kultúry, komfortu a plynulosti cestovania,
- zníženie negatívnych dopadov železničnej prevádzky na obyvateľstvo,
- zlepšenie a skvalitnenie životného prostredia</v>
      </c>
      <c r="E23" s="204" t="str">
        <f>IFERROR(IF(IF(ISBLANK($B23),VLOOKUP($A23,Harmonogram!$A$1:$FA$162,COLUMN(Prehľad!C23)+6,FALSE),VLOOKUP(Prehľad!$B23,Harmonogram!$F$2:$EW$150,COLUMN(Prehľad!C23)+1,FALSE))=0,"",IF(ISBLANK($B23),VLOOKUP($A23,Harmonogram!$A$1:$FA$162,COLUMN(Prehľad!C23)+6,FALSE),VLOOKUP(Prehľad!$B23,Harmonogram!$F$2:$EW$150,COLUMN(Prehľad!C23)+1,FALSE))),"")</f>
        <v>TEN-T comprehensive;
Dĺžka(160b)= 15,8km; osôb/deň= 3000; mil.hrtkm/rok=48,7</v>
      </c>
      <c r="F23" s="177">
        <f>IF(ISBLANK(B23),"",IFERROR(VLOOKUP(B23,Harmonogram!$F$3:$EO$97,140,FALSE),"er"))</f>
        <v>8.4269999999999996</v>
      </c>
      <c r="G23" s="177" t="str">
        <f>IFERROR(IF(IF(ISBLANK($B23),VLOOKUP($A23,Harmonogram!$A$1:$FA$162,COLUMN(Prehľad!D23)+6,FALSE),VLOOKUP(Prehľad!$B23,Harmonogram!$F$2:$EW$150,COLUMN(Prehľad!D23)+1,FALSE))=0,"",IF(ISBLANK($B23),VLOOKUP($A23,Harmonogram!$A$1:$FA$162,COLUMN(Prehľad!D23)+6,FALSE),VLOOKUP(Prehľad!$B23,Harmonogram!$F$2:$EW$150,COLUMN(Prehľad!D23)+1,FALSE))),"")</f>
        <v>1a</v>
      </c>
      <c r="H23" s="250" t="str">
        <f>IFERROR(IF(IF(ISBLANK($B23),VLOOKUP($A23,Harmonogram!$A$1:$FA$162,COLUMN(Prehľad!A23)+11,FALSE),VLOOKUP(Prehľad!$B23,Harmonogram!$F$2:$EW$150,COLUMN(Prehľad!A23)+6,FALSE))=0,"",IF(ISBLANK($B23),VLOOKUP($A23,Harmonogram!$A$1:$FA$162,COLUMN(Prehľad!A23)+11,FALSE),VLOOKUP(Prehľad!$B23,Harmonogram!$F$2:$EW$150,COLUMN(Prehľad!A23)+6,FALSE))),"")</f>
        <v>Príprava VO na realizáciu</v>
      </c>
      <c r="I23" s="260">
        <f>IF(LEN($B23)=0,VLOOKUP($A23,Harmonogram!$A$1:$FA$162,COLUMN(Prehľad!B23)+11,FALSE),VLOOKUP(Prehľad!$B23,Harmonogram!$F$2:$EW$150,COLUMN(Prehľad!B23)+6,FALSE))</f>
        <v>16274442</v>
      </c>
      <c r="J23" s="261">
        <f>IF(LEN($B23)=0,VLOOKUP($A23,Harmonogram!$A$1:$FA$162,COLUMN(Prehľad!A23)*12+12,FALSE),VLOOKUP(Prehľad!$B23,Harmonogram!$F$2:$EW$150,COLUMN(Prehľad!A23)*12+7,FALSE))</f>
        <v>346109.27</v>
      </c>
      <c r="K23" s="260">
        <f>IF(LEN($B23)=0,VLOOKUP($A23,Harmonogram!$A$1:$FA$162,COLUMN(Prehľad!B23)*12+12,FALSE),VLOOKUP(Prehľad!$B23,Harmonogram!$F$2:$EW$150,COLUMN(Prehľad!B23)*12+7,FALSE))</f>
        <v>32840</v>
      </c>
      <c r="L23" s="260">
        <f>IF(LEN($B23)=0,VLOOKUP($A23,Harmonogram!$A$1:$FA$162,COLUMN(Prehľad!C23)*12+12,FALSE),VLOOKUP(Prehľad!$B23,Harmonogram!$F$2:$EW$150,COLUMN(Prehľad!C23)*12+7,FALSE))</f>
        <v>9959682.9562500007</v>
      </c>
      <c r="M23" s="260">
        <f>IF(LEN($B23)=0,VLOOKUP($A23,Harmonogram!$A$1:$FA$162,COLUMN(Prehľad!D23)*12+12,FALSE),VLOOKUP(Prehľad!$B23,Harmonogram!$F$2:$EW$150,COLUMN(Prehľad!D23)*12+7,FALSE))</f>
        <v>5935809.7737500006</v>
      </c>
      <c r="N23" s="260">
        <f>IF(LEN($B23)=0,VLOOKUP($A23,Harmonogram!$A$1:$FA$162,COLUMN(Prehľad!E23)*12+12,FALSE),VLOOKUP(Prehľad!$B23,Harmonogram!$F$2:$EW$150,COLUMN(Prehľad!E23)*12+7,FALSE))</f>
        <v>0</v>
      </c>
      <c r="O23" s="260">
        <f>IF(LEN($B23)=0,VLOOKUP($A23,Harmonogram!$A$1:$FA$162,COLUMN(Prehľad!F23)*12+12,FALSE),VLOOKUP(Prehľad!$B23,Harmonogram!$F$2:$EW$150,COLUMN(Prehľad!F23)*12+7,FALSE))</f>
        <v>0</v>
      </c>
      <c r="P23" s="260">
        <f>IF(LEN($B23)=0,VLOOKUP($A23,Harmonogram!$A$1:$FA$162,COLUMN(Prehľad!G23)*12+12,FALSE),VLOOKUP(Prehľad!$B23,Harmonogram!$F$2:$EW$150,COLUMN(Prehľad!G23)*12+7,FALSE))</f>
        <v>0</v>
      </c>
      <c r="Q23" s="260">
        <f>IF(LEN($B23)=0,VLOOKUP($A23,Harmonogram!$A$1:$FA$162,COLUMN(Prehľad!H23)*12+12,FALSE),VLOOKUP(Prehľad!$B23,Harmonogram!$F$2:$EW$150,COLUMN(Prehľad!H23)*12+7,FALSE))</f>
        <v>0</v>
      </c>
      <c r="R23" s="260">
        <f>IF(LEN($B23)=0,VLOOKUP($A23,Harmonogram!$A$1:$FA$162,COLUMN(Prehľad!I23)*12+12,FALSE),VLOOKUP(Prehľad!$B23,Harmonogram!$F$2:$EW$150,COLUMN(Prehľad!I23)*12+7,FALSE))</f>
        <v>0</v>
      </c>
      <c r="S23" s="260">
        <f>IF(LEN($B23)=0,VLOOKUP($A23,Harmonogram!$A$1:$FA$162,COLUMN(Prehľad!J23)*12+12,FALSE),VLOOKUP(Prehľad!$B23,Harmonogram!$F$2:$EW$150,COLUMN(Prehľad!J23)*12+7,FALSE))</f>
        <v>0</v>
      </c>
      <c r="T23" s="262">
        <f>IF(LEN($B23)=0,VLOOKUP($A23,Harmonogram!$A$1:$FA$162,COLUMN(Prehľad!K23)*12+12,FALSE),VLOOKUP(Prehľad!$B23,Harmonogram!$F$2:$EW$150,COLUMN(Prehľad!K23)*12+7,FALSE))</f>
        <v>0</v>
      </c>
    </row>
    <row r="24" spans="1:22" ht="105" x14ac:dyDescent="0.25">
      <c r="A24" s="240"/>
      <c r="B24" s="208" t="s">
        <v>1020</v>
      </c>
      <c r="C24" s="183" t="str">
        <f>IFERROR(IF(IF(ISBLANK($B24),VLOOKUP($A24,Harmonogram!$A$1:$FA$162,COLUMN(Prehľad!A24)+6,FALSE),VLOOKUP(Prehľad!$B24,Harmonogram!$F$2:$EW$150,COLUMN(Prehľad!A24)+1,FALSE))=0,"",IF(ISBLANK($B24),VLOOKUP($A24,Harmonogram!$A$1:$FA$162,COLUMN(Prehľad!A24)+6,FALSE),VLOOKUP(Prehľad!$B24,Harmonogram!$F$2:$EW$150,COLUMN(Prehľad!A24)+1,FALSE))),"")</f>
        <v>Modernizácia traťovej koľaje č. 1 v úseku medzi diaľkovo ovládanou dopravňou (DOD) Šaštín-Stráže a ŽST Kúty je navrhnutá z dôvodu prevádzkového opotrebovania a uplynutia životnosti jednotlivých prvkov koľaje. Jej hlavným cieľom je zaistiť dlhodobú bezpečnosť železničnej prevádzky v danom úseku a zvýšenie traťovej rýchlosti, čím dôjde ku skráteniu cestovných časov v grafikone vlakovej dopravy (GVD). Modernizácia bude mať priaznivý dopad aj na zníženie prevádzkových nákladov v ďalších rokoch.</v>
      </c>
      <c r="D24" s="183" t="str">
        <f>IFERROR(IF(IF(ISBLANK($B24),VLOOKUP($A24,Harmonogram!$A$1:$FA$162,COLUMN(Prehľad!B24)+6,FALSE),VLOOKUP(Prehľad!$B24,Harmonogram!$F$2:$EW$150,COLUMN(Prehľad!B24)+1,FALSE))=0,"",IF(ISBLANK($B24),VLOOKUP($A24,Harmonogram!$A$1:$FA$162,COLUMN(Prehľad!B24)+6,FALSE),VLOOKUP(Prehľad!$B24,Harmonogram!$F$2:$EW$150,COLUMN(Prehľad!B24)+1,FALSE))),"")</f>
        <v>Hlavnými cieľmi projektu sú:
- zvýšenie traťovej rýchlosti
- zvýšenie bezpečnosti prevádzky
- zvýšenie bezpečnosti cestujúcich
- zvýšenie kultúry, komfortu a plynulosti cestovania
- zníženie negatívnych dopadov železničnej prevádzky na obyvateľstvo
- zlepšenie a skvalitnenie životného prostredia.</v>
      </c>
      <c r="E24" s="209" t="str">
        <f>IFERROR(IF(IF(ISBLANK($B24),VLOOKUP($A24,Harmonogram!$A$1:$FA$162,COLUMN(Prehľad!C24)+6,FALSE),VLOOKUP(Prehľad!$B24,Harmonogram!$F$2:$EW$150,COLUMN(Prehľad!C24)+1,FALSE))=0,"",IF(ISBLANK($B24),VLOOKUP($A24,Harmonogram!$A$1:$FA$162,COLUMN(Prehľad!C24)+6,FALSE),VLOOKUP(Prehľad!$B24,Harmonogram!$F$2:$EW$150,COLUMN(Prehľad!C24)+1,FALSE))),"")</f>
        <v>Hlavná trať ŽSR
RFC 7 - alternatívne trate
Dĺžka(116a)= 66,9km; osôb/deň= 1000; mil.hrtkm/rok=106,2</v>
      </c>
      <c r="F24" s="183">
        <f>IF(ISBLANK(B24),"",IFERROR(VLOOKUP(B24,Harmonogram!$F$3:$EO$97,140,FALSE),"er"))</f>
        <v>7.5730000000000004</v>
      </c>
      <c r="G24" s="177" t="str">
        <f>IFERROR(IF(IF(ISBLANK($B24),VLOOKUP($A24,Harmonogram!$A$1:$FA$162,COLUMN(Prehľad!D24)+6,FALSE),VLOOKUP(Prehľad!$B24,Harmonogram!$F$2:$EW$150,COLUMN(Prehľad!D24)+1,FALSE))=0,"",IF(ISBLANK($B24),VLOOKUP($A24,Harmonogram!$A$1:$FA$162,COLUMN(Prehľad!D24)+6,FALSE),VLOOKUP(Prehľad!$B24,Harmonogram!$F$2:$EW$150,COLUMN(Prehľad!D24)+1,FALSE))),"")</f>
        <v>1b</v>
      </c>
      <c r="H24" s="250" t="str">
        <f>IFERROR(IF(IF(ISBLANK($B24),VLOOKUP($A24,Harmonogram!$A$1:$FA$162,COLUMN(Prehľad!A24)+11,FALSE),VLOOKUP(Prehľad!$B24,Harmonogram!$F$2:$EW$150,COLUMN(Prehľad!A24)+6,FALSE))=0,"",IF(ISBLANK($B24),VLOOKUP($A24,Harmonogram!$A$1:$FA$162,COLUMN(Prehľad!A24)+11,FALSE),VLOOKUP(Prehľad!$B24,Harmonogram!$F$2:$EW$150,COLUMN(Prehľad!A24)+6,FALSE))),"")</f>
        <v>DSPRS/SP vydané/Príprava VO na realizáciu</v>
      </c>
      <c r="I24" s="260">
        <f>IF(LEN($B24)=0,VLOOKUP($A24,Harmonogram!$A$1:$FA$162,COLUMN(Prehľad!B24)+11,FALSE),VLOOKUP(Prehľad!$B24,Harmonogram!$F$2:$EW$150,COLUMN(Prehľad!B24)+6,FALSE))</f>
        <v>12841225.529999997</v>
      </c>
      <c r="J24" s="261">
        <f>IF(LEN($B24)=0,VLOOKUP($A24,Harmonogram!$A$1:$FA$162,COLUMN(Prehľad!A24)*12+12,FALSE),VLOOKUP(Prehľad!$B24,Harmonogram!$F$2:$EW$150,COLUMN(Prehľad!A24)*12+7,FALSE))</f>
        <v>313639.86</v>
      </c>
      <c r="K24" s="260">
        <f>IF(LEN($B24)=0,VLOOKUP($A24,Harmonogram!$A$1:$FA$162,COLUMN(Prehľad!B24)*12+12,FALSE),VLOOKUP(Prehľad!$B24,Harmonogram!$F$2:$EW$150,COLUMN(Prehľad!B24)*12+7,FALSE))</f>
        <v>49000</v>
      </c>
      <c r="L24" s="260">
        <f>IF(LEN($B24)=0,VLOOKUP($A24,Harmonogram!$A$1:$FA$162,COLUMN(Prehľad!C24)*12+12,FALSE),VLOOKUP(Prehľad!$B24,Harmonogram!$F$2:$EW$150,COLUMN(Prehľad!C24)*12+7,FALSE))</f>
        <v>9700011.0766666662</v>
      </c>
      <c r="M24" s="260">
        <f>IF(LEN($B24)=0,VLOOKUP($A24,Harmonogram!$A$1:$FA$162,COLUMN(Prehľad!D24)*12+12,FALSE),VLOOKUP(Prehľad!$B24,Harmonogram!$F$2:$EW$150,COLUMN(Prehľad!D24)*12+7,FALSE))</f>
        <v>2778574.5933333328</v>
      </c>
      <c r="N24" s="260">
        <f>IF(LEN($B24)=0,VLOOKUP($A24,Harmonogram!$A$1:$FA$162,COLUMN(Prehľad!E24)*12+12,FALSE),VLOOKUP(Prehľad!$B24,Harmonogram!$F$2:$EW$150,COLUMN(Prehľad!E24)*12+7,FALSE))</f>
        <v>0</v>
      </c>
      <c r="O24" s="260">
        <f>IF(LEN($B24)=0,VLOOKUP($A24,Harmonogram!$A$1:$FA$162,COLUMN(Prehľad!F24)*12+12,FALSE),VLOOKUP(Prehľad!$B24,Harmonogram!$F$2:$EW$150,COLUMN(Prehľad!F24)*12+7,FALSE))</f>
        <v>0</v>
      </c>
      <c r="P24" s="260">
        <f>IF(LEN($B24)=0,VLOOKUP($A24,Harmonogram!$A$1:$FA$162,COLUMN(Prehľad!G24)*12+12,FALSE),VLOOKUP(Prehľad!$B24,Harmonogram!$F$2:$EW$150,COLUMN(Prehľad!G24)*12+7,FALSE))</f>
        <v>0</v>
      </c>
      <c r="Q24" s="260">
        <f>IF(LEN($B24)=0,VLOOKUP($A24,Harmonogram!$A$1:$FA$162,COLUMN(Prehľad!H24)*12+12,FALSE),VLOOKUP(Prehľad!$B24,Harmonogram!$F$2:$EW$150,COLUMN(Prehľad!H24)*12+7,FALSE))</f>
        <v>0</v>
      </c>
      <c r="R24" s="260">
        <f>IF(LEN($B24)=0,VLOOKUP($A24,Harmonogram!$A$1:$FA$162,COLUMN(Prehľad!I24)*12+12,FALSE),VLOOKUP(Prehľad!$B24,Harmonogram!$F$2:$EW$150,COLUMN(Prehľad!I24)*12+7,FALSE))</f>
        <v>0</v>
      </c>
      <c r="S24" s="260">
        <f>IF(LEN($B24)=0,VLOOKUP($A24,Harmonogram!$A$1:$FA$162,COLUMN(Prehľad!J24)*12+12,FALSE),VLOOKUP(Prehľad!$B24,Harmonogram!$F$2:$EW$150,COLUMN(Prehľad!J24)*12+7,FALSE))</f>
        <v>0</v>
      </c>
      <c r="T24" s="262">
        <f>IF(LEN($B24)=0,VLOOKUP($A24,Harmonogram!$A$1:$FA$162,COLUMN(Prehľad!K24)*12+12,FALSE),VLOOKUP(Prehľad!$B24,Harmonogram!$F$2:$EW$150,COLUMN(Prehľad!K24)*12+7,FALSE))</f>
        <v>0</v>
      </c>
    </row>
    <row r="25" spans="1:22" ht="90" x14ac:dyDescent="0.25">
      <c r="A25" s="240"/>
      <c r="B25" s="203" t="s">
        <v>1021</v>
      </c>
      <c r="C25" s="177" t="str">
        <f>IFERROR(IF(IF(ISBLANK($B25),VLOOKUP($A25,Harmonogram!$A$1:$FA$162,COLUMN(Prehľad!A25)+6,FALSE),VLOOKUP(Prehľad!$B25,Harmonogram!$F$2:$EW$150,COLUMN(Prehľad!A25)+1,FALSE))=0,"",IF(ISBLANK($B25),VLOOKUP($A25,Harmonogram!$A$1:$FA$162,COLUMN(Prehľad!A25)+6,FALSE),VLOOKUP(Prehľad!$B25,Harmonogram!$F$2:$EW$150,COLUMN(Prehľad!A25)+1,FALSE))),"")</f>
        <v xml:space="preserve">Cieľom stavby je rekonštrukcia celého medzistaničného úseku koľají č. 1 a 2 s vykonaním sanácie v úsekoch s nestabilnou geometrickou polohou koľaje a tých, ktoré budú vybrané na základe IG prieskumu. Po rekonštrukcii bude odstránený TOTR aj POTR, zrýchli sa doprava a zlepší sa dynamika jazdy. </v>
      </c>
      <c r="D25" s="177" t="str">
        <f>IFERROR(IF(IF(ISBLANK($B25),VLOOKUP($A25,Harmonogram!$A$1:$FA$162,COLUMN(Prehľad!B25)+6,FALSE),VLOOKUP(Prehľad!$B25,Harmonogram!$F$2:$EW$150,COLUMN(Prehľad!B25)+1,FALSE))=0,"",IF(ISBLANK($B25),VLOOKUP($A25,Harmonogram!$A$1:$FA$162,COLUMN(Prehľad!B25)+6,FALSE),VLOOKUP(Prehľad!$B25,Harmonogram!$F$2:$EW$150,COLUMN(Prehľad!B25)+1,FALSE))),"")</f>
        <v>Prínosmi projektu sú:
- odstránenie obmedzení traťovej rýchlosti,
- zrýchlenie dopravy,
- zvýšenie bezpečnosti a plynulosti dopravy,
- zlepšenie dynamiky jazdy,
- zníženie prevádzkových nákladov.</v>
      </c>
      <c r="E25" s="204" t="str">
        <f>IFERROR(IF(IF(ISBLANK($B25),VLOOKUP($A25,Harmonogram!$A$1:$FA$162,COLUMN(Prehľad!C25)+6,FALSE),VLOOKUP(Prehľad!$B25,Harmonogram!$F$2:$EW$150,COLUMN(Prehľad!C25)+1,FALSE))=0,"",IF(ISBLANK($B25),VLOOKUP($A25,Harmonogram!$A$1:$FA$162,COLUMN(Prehľad!C25)+6,FALSE),VLOOKUP(Prehľad!$B25,Harmonogram!$F$2:$EW$150,COLUMN(Prehľad!C25)+1,FALSE))),"")</f>
        <v>ŠRT
Dĺžka(ŠRT)= 88,4km; osôb/deň= 0; mil.hrtkm/rok=825,4</v>
      </c>
      <c r="F25" s="177">
        <f>IF(ISBLANK(B25),"",IFERROR(VLOOKUP(B25,Harmonogram!$F$3:$EO$97,140,FALSE),"er"))</f>
        <v>10.382</v>
      </c>
      <c r="G25" s="177" t="str">
        <f>IFERROR(IF(IF(ISBLANK($B25),VLOOKUP($A25,Harmonogram!$A$1:$FA$162,COLUMN(Prehľad!D25)+6,FALSE),VLOOKUP(Prehľad!$B25,Harmonogram!$F$2:$EW$150,COLUMN(Prehľad!D25)+1,FALSE))=0,"",IF(ISBLANK($B25),VLOOKUP($A25,Harmonogram!$A$1:$FA$162,COLUMN(Prehľad!D25)+6,FALSE),VLOOKUP(Prehľad!$B25,Harmonogram!$F$2:$EW$150,COLUMN(Prehľad!D25)+1,FALSE))),"")</f>
        <v>1b</v>
      </c>
      <c r="H25" s="250" t="str">
        <f>IFERROR(IF(IF(ISBLANK($B25),VLOOKUP($A25,Harmonogram!$A$1:$FA$162,COLUMN(Prehľad!A25)+11,FALSE),VLOOKUP(Prehľad!$B25,Harmonogram!$F$2:$EW$150,COLUMN(Prehľad!A25)+6,FALSE))=0,"",IF(ISBLANK($B25),VLOOKUP($A25,Harmonogram!$A$1:$FA$162,COLUMN(Prehľad!A25)+11,FALSE),VLOOKUP(Prehľad!$B25,Harmonogram!$F$2:$EW$150,COLUMN(Prehľad!A25)+6,FALSE))),"")</f>
        <v>Príprava VO na realizáciu</v>
      </c>
      <c r="I25" s="260">
        <f>IF(LEN($B25)=0,VLOOKUP($A25,Harmonogram!$A$1:$FA$162,COLUMN(Prehľad!B25)+11,FALSE),VLOOKUP(Prehľad!$B25,Harmonogram!$F$2:$EW$150,COLUMN(Prehľad!B25)+6,FALSE))</f>
        <v>11984239.999999998</v>
      </c>
      <c r="J25" s="261">
        <f>IF(LEN($B25)=0,VLOOKUP($A25,Harmonogram!$A$1:$FA$162,COLUMN(Prehľad!A25)*12+12,FALSE),VLOOKUP(Prehľad!$B25,Harmonogram!$F$2:$EW$150,COLUMN(Prehľad!A25)*12+7,FALSE))</f>
        <v>0</v>
      </c>
      <c r="K25" s="260">
        <f>IF(LEN($B25)=0,VLOOKUP($A25,Harmonogram!$A$1:$FA$162,COLUMN(Prehľad!B25)*12+12,FALSE),VLOOKUP(Prehľad!$B25,Harmonogram!$F$2:$EW$150,COLUMN(Prehľad!B25)*12+7,FALSE))</f>
        <v>12500</v>
      </c>
      <c r="L25" s="260">
        <f>IF(LEN($B25)=0,VLOOKUP($A25,Harmonogram!$A$1:$FA$162,COLUMN(Prehľad!C25)*12+12,FALSE),VLOOKUP(Prehľad!$B25,Harmonogram!$F$2:$EW$150,COLUMN(Prehľad!C25)*12+7,FALSE))</f>
        <v>4976598.8235294111</v>
      </c>
      <c r="M25" s="260">
        <f>IF(LEN($B25)=0,VLOOKUP($A25,Harmonogram!$A$1:$FA$162,COLUMN(Prehľad!D25)*12+12,FALSE),VLOOKUP(Prehľad!$B25,Harmonogram!$F$2:$EW$150,COLUMN(Prehľad!D25)*12+7,FALSE))</f>
        <v>6995141.176470587</v>
      </c>
      <c r="N25" s="260">
        <f>IF(LEN($B25)=0,VLOOKUP($A25,Harmonogram!$A$1:$FA$162,COLUMN(Prehľad!E25)*12+12,FALSE),VLOOKUP(Prehľad!$B25,Harmonogram!$F$2:$EW$150,COLUMN(Prehľad!E25)*12+7,FALSE))</f>
        <v>0</v>
      </c>
      <c r="O25" s="260">
        <f>IF(LEN($B25)=0,VLOOKUP($A25,Harmonogram!$A$1:$FA$162,COLUMN(Prehľad!F25)*12+12,FALSE),VLOOKUP(Prehľad!$B25,Harmonogram!$F$2:$EW$150,COLUMN(Prehľad!F25)*12+7,FALSE))</f>
        <v>0</v>
      </c>
      <c r="P25" s="260">
        <f>IF(LEN($B25)=0,VLOOKUP($A25,Harmonogram!$A$1:$FA$162,COLUMN(Prehľad!G25)*12+12,FALSE),VLOOKUP(Prehľad!$B25,Harmonogram!$F$2:$EW$150,COLUMN(Prehľad!G25)*12+7,FALSE))</f>
        <v>0</v>
      </c>
      <c r="Q25" s="260">
        <f>IF(LEN($B25)=0,VLOOKUP($A25,Harmonogram!$A$1:$FA$162,COLUMN(Prehľad!H25)*12+12,FALSE),VLOOKUP(Prehľad!$B25,Harmonogram!$F$2:$EW$150,COLUMN(Prehľad!H25)*12+7,FALSE))</f>
        <v>0</v>
      </c>
      <c r="R25" s="260">
        <f>IF(LEN($B25)=0,VLOOKUP($A25,Harmonogram!$A$1:$FA$162,COLUMN(Prehľad!I25)*12+12,FALSE),VLOOKUP(Prehľad!$B25,Harmonogram!$F$2:$EW$150,COLUMN(Prehľad!I25)*12+7,FALSE))</f>
        <v>0</v>
      </c>
      <c r="S25" s="260">
        <f>IF(LEN($B25)=0,VLOOKUP($A25,Harmonogram!$A$1:$FA$162,COLUMN(Prehľad!J25)*12+12,FALSE),VLOOKUP(Prehľad!$B25,Harmonogram!$F$2:$EW$150,COLUMN(Prehľad!J25)*12+7,FALSE))</f>
        <v>0</v>
      </c>
      <c r="T25" s="262">
        <f>IF(LEN($B25)=0,VLOOKUP($A25,Harmonogram!$A$1:$FA$162,COLUMN(Prehľad!K25)*12+12,FALSE),VLOOKUP(Prehľad!$B25,Harmonogram!$F$2:$EW$150,COLUMN(Prehľad!K25)*12+7,FALSE))</f>
        <v>0</v>
      </c>
    </row>
    <row r="26" spans="1:22" ht="105" x14ac:dyDescent="0.25">
      <c r="A26" s="240"/>
      <c r="B26" s="203" t="s">
        <v>1022</v>
      </c>
      <c r="C26" s="177" t="str">
        <f>IFERROR(IF(IF(ISBLANK($B26),VLOOKUP($A26,Harmonogram!$A$1:$FA$162,COLUMN(Prehľad!A26)+6,FALSE),VLOOKUP(Prehľad!$B26,Harmonogram!$F$2:$EW$150,COLUMN(Prehľad!A26)+1,FALSE))=0,"",IF(ISBLANK($B26),VLOOKUP($A26,Harmonogram!$A$1:$FA$162,COLUMN(Prehľad!A26)+6,FALSE),VLOOKUP(Prehľad!$B26,Harmonogram!$F$2:$EW$150,COLUMN(Prehľad!A26)+1,FALSE))),"")</f>
        <v>Predmetom projektu je modernizácia železničného zvršku koľaje č. 1 a zvýšenie traťovej rýchlosti na 90 km/h prípadne vyššiu za predpokladu minimálnych smerových posunov koľaje a premiestňovania stožiarov TV.</v>
      </c>
      <c r="D26" s="177" t="str">
        <f>IFERROR(IF(IF(ISBLANK($B26),VLOOKUP($A26,Harmonogram!$A$1:$FA$162,COLUMN(Prehľad!B26)+6,FALSE),VLOOKUP(Prehľad!$B26,Harmonogram!$F$2:$EW$150,COLUMN(Prehľad!B26)+1,FALSE))=0,"",IF(ISBLANK($B26),VLOOKUP($A26,Harmonogram!$A$1:$FA$162,COLUMN(Prehľad!B26)+6,FALSE),VLOOKUP(Prehľad!$B26,Harmonogram!$F$2:$EW$150,COLUMN(Prehľad!B26)+1,FALSE))),"")</f>
        <v>Hlavnými cieľmi projektu sú:
- zvýšenie traťovej rýchlosti,
- zvýšenie bezpečnosti prevádzky,
- zvýšenie bezpečnosti cestujúcich,
- zvýšenie kultúry, komfortu a plynulosti cestovania,
- zníženie negatívnych dopadov železničnej prevádzky na obyvateľstvo,
- zlepšenie a skvalitnenie životného prostredia.</v>
      </c>
      <c r="E26" s="204" t="str">
        <f>IFERROR(IF(IF(ISBLANK($B26),VLOOKUP($A26,Harmonogram!$A$1:$FA$162,COLUMN(Prehľad!C26)+6,FALSE),VLOOKUP(Prehľad!$B26,Harmonogram!$F$2:$EW$150,COLUMN(Prehľad!C26)+1,FALSE))=0,"",IF(ISBLANK($B26),VLOOKUP($A26,Harmonogram!$A$1:$FA$162,COLUMN(Prehľad!C26)+6,FALSE),VLOOKUP(Prehľad!$B26,Harmonogram!$F$2:$EW$150,COLUMN(Prehľad!C26)+1,FALSE))),"")</f>
        <v>Hlavná trať ŽSR
RFC 7 - alternatívne trate
Dĺžka(116a)= 66,9km; osôb/deň= 1000; mil.hrtkm/rok=106,2</v>
      </c>
      <c r="F26" s="177">
        <f>IF(ISBLANK(B26),"",IFERROR(VLOOKUP(B26,Harmonogram!$F$3:$EO$97,140,FALSE),"er"))</f>
        <v>4.95</v>
      </c>
      <c r="G26" s="177" t="str">
        <f>IFERROR(IF(IF(ISBLANK($B26),VLOOKUP($A26,Harmonogram!$A$1:$FA$162,COLUMN(Prehľad!D26)+6,FALSE),VLOOKUP(Prehľad!$B26,Harmonogram!$F$2:$EW$150,COLUMN(Prehľad!D26)+1,FALSE))=0,"",IF(ISBLANK($B26),VLOOKUP($A26,Harmonogram!$A$1:$FA$162,COLUMN(Prehľad!D26)+6,FALSE),VLOOKUP(Prehľad!$B26,Harmonogram!$F$2:$EW$150,COLUMN(Prehľad!D26)+1,FALSE))),"")</f>
        <v>1b</v>
      </c>
      <c r="H26" s="250" t="str">
        <f>IFERROR(IF(IF(ISBLANK($B26),VLOOKUP($A26,Harmonogram!$A$1:$FA$162,COLUMN(Prehľad!A26)+11,FALSE),VLOOKUP(Prehľad!$B26,Harmonogram!$F$2:$EW$150,COLUMN(Prehľad!A26)+6,FALSE))=0,"",IF(ISBLANK($B26),VLOOKUP($A26,Harmonogram!$A$1:$FA$162,COLUMN(Prehľad!A26)+11,FALSE),VLOOKUP(Prehľad!$B26,Harmonogram!$F$2:$EW$150,COLUMN(Prehľad!A26)+6,FALSE))),"")</f>
        <v>Príprava VO na realizáciu</v>
      </c>
      <c r="I26" s="260">
        <f>IF(LEN($B26)=0,VLOOKUP($A26,Harmonogram!$A$1:$FA$162,COLUMN(Prehľad!B26)+11,FALSE),VLOOKUP(Prehľad!$B26,Harmonogram!$F$2:$EW$150,COLUMN(Prehľad!B26)+6,FALSE))</f>
        <v>10117275.48</v>
      </c>
      <c r="J26" s="261">
        <f>IF(LEN($B26)=0,VLOOKUP($A26,Harmonogram!$A$1:$FA$162,COLUMN(Prehľad!A26)*12+12,FALSE),VLOOKUP(Prehľad!$B26,Harmonogram!$F$2:$EW$150,COLUMN(Prehľad!A26)*12+7,FALSE))</f>
        <v>303952.15999999997</v>
      </c>
      <c r="K26" s="260">
        <f>IF(LEN($B26)=0,VLOOKUP($A26,Harmonogram!$A$1:$FA$162,COLUMN(Prehľad!B26)*12+12,FALSE),VLOOKUP(Prehľad!$B26,Harmonogram!$F$2:$EW$150,COLUMN(Prehľad!B26)*12+7,FALSE))</f>
        <v>30298.17</v>
      </c>
      <c r="L26" s="260">
        <f>IF(LEN($B26)=0,VLOOKUP($A26,Harmonogram!$A$1:$FA$162,COLUMN(Prehľad!C26)*12+12,FALSE),VLOOKUP(Prehľad!$B26,Harmonogram!$F$2:$EW$150,COLUMN(Prehľad!C26)*12+7,FALSE))</f>
        <v>500000</v>
      </c>
      <c r="M26" s="260">
        <f>IF(LEN($B26)=0,VLOOKUP($A26,Harmonogram!$A$1:$FA$162,COLUMN(Prehľad!D26)*12+12,FALSE),VLOOKUP(Prehľad!$B26,Harmonogram!$F$2:$EW$150,COLUMN(Prehľad!D26)*12+7,FALSE))</f>
        <v>9283025.1500000004</v>
      </c>
      <c r="N26" s="260">
        <f>IF(LEN($B26)=0,VLOOKUP($A26,Harmonogram!$A$1:$FA$162,COLUMN(Prehľad!E26)*12+12,FALSE),VLOOKUP(Prehľad!$B26,Harmonogram!$F$2:$EW$150,COLUMN(Prehľad!E26)*12+7,FALSE))</f>
        <v>0</v>
      </c>
      <c r="O26" s="260">
        <f>IF(LEN($B26)=0,VLOOKUP($A26,Harmonogram!$A$1:$FA$162,COLUMN(Prehľad!F26)*12+12,FALSE),VLOOKUP(Prehľad!$B26,Harmonogram!$F$2:$EW$150,COLUMN(Prehľad!F26)*12+7,FALSE))</f>
        <v>0</v>
      </c>
      <c r="P26" s="260">
        <f>IF(LEN($B26)=0,VLOOKUP($A26,Harmonogram!$A$1:$FA$162,COLUMN(Prehľad!G26)*12+12,FALSE),VLOOKUP(Prehľad!$B26,Harmonogram!$F$2:$EW$150,COLUMN(Prehľad!G26)*12+7,FALSE))</f>
        <v>0</v>
      </c>
      <c r="Q26" s="260">
        <f>IF(LEN($B26)=0,VLOOKUP($A26,Harmonogram!$A$1:$FA$162,COLUMN(Prehľad!H26)*12+12,FALSE),VLOOKUP(Prehľad!$B26,Harmonogram!$F$2:$EW$150,COLUMN(Prehľad!H26)*12+7,FALSE))</f>
        <v>0</v>
      </c>
      <c r="R26" s="260">
        <f>IF(LEN($B26)=0,VLOOKUP($A26,Harmonogram!$A$1:$FA$162,COLUMN(Prehľad!I26)*12+12,FALSE),VLOOKUP(Prehľad!$B26,Harmonogram!$F$2:$EW$150,COLUMN(Prehľad!I26)*12+7,FALSE))</f>
        <v>0</v>
      </c>
      <c r="S26" s="260">
        <f>IF(LEN($B26)=0,VLOOKUP($A26,Harmonogram!$A$1:$FA$162,COLUMN(Prehľad!J26)*12+12,FALSE),VLOOKUP(Prehľad!$B26,Harmonogram!$F$2:$EW$150,COLUMN(Prehľad!J26)*12+7,FALSE))</f>
        <v>0</v>
      </c>
      <c r="T26" s="262">
        <f>IF(LEN($B26)=0,VLOOKUP($A26,Harmonogram!$A$1:$FA$162,COLUMN(Prehľad!K26)*12+12,FALSE),VLOOKUP(Prehľad!$B26,Harmonogram!$F$2:$EW$150,COLUMN(Prehľad!K26)*12+7,FALSE))</f>
        <v>0</v>
      </c>
    </row>
    <row r="27" spans="1:22" ht="120" x14ac:dyDescent="0.25">
      <c r="A27" s="240"/>
      <c r="B27" s="203" t="s">
        <v>1024</v>
      </c>
      <c r="C27" s="177" t="str">
        <f>IFERROR(IF(IF(ISBLANK($B27),VLOOKUP($A27,Harmonogram!$A$1:$FA$162,COLUMN(Prehľad!A27)+6,FALSE),VLOOKUP(Prehľad!$B27,Harmonogram!$F$2:$EW$150,COLUMN(Prehľad!A27)+1,FALSE))=0,"",IF(ISBLANK($B27),VLOOKUP($A27,Harmonogram!$A$1:$FA$162,COLUMN(Prehľad!A27)+6,FALSE),VLOOKUP(Prehľad!$B27,Harmonogram!$F$2:$EW$150,COLUMN(Prehľad!A27)+1,FALSE))),"")</f>
        <v>Predmetom projektu je modernizácia výhybiek č. 1 – 20. Výhybky tvoria dôležité zhlavie, na ktorom sa trate rozdeľujú zo smerov Košice osobná stanica, odchodová koľaj č. 101 a vchodová koľaj č. 102 pre nákladnú dopravu na smery Čierna nad Tisou, Čaňa št. hr. SR/MR a Plešivec. Cieľom modernizácie je zabezpečiť plynulú a bezpečnú prevádzku vlakovej dopravy.</v>
      </c>
      <c r="D27" s="177" t="str">
        <f>IFERROR(IF(IF(ISBLANK($B27),VLOOKUP($A27,Harmonogram!$A$1:$FA$162,COLUMN(Prehľad!B27)+6,FALSE),VLOOKUP(Prehľad!$B27,Harmonogram!$F$2:$EW$150,COLUMN(Prehľad!B27)+1,FALSE))=0,"",IF(ISBLANK($B27),VLOOKUP($A27,Harmonogram!$A$1:$FA$162,COLUMN(Prehľad!B27)+6,FALSE),VLOOKUP(Prehľad!$B27,Harmonogram!$F$2:$EW$150,COLUMN(Prehľad!B27)+1,FALSE))),"")</f>
        <v>Cieľom modernizácie výhybiek v ŽST Barca je:
- zabezpečenie plynulej a bezpečnej prevádzky
vlakov osobnej a nákladnej dopravy v dotknutom úseku trate ŽST Košice – ŽST Čierna nad
Tisou, Čaňa št. hr a ŽST Barca – ŽST Rožňava, 
- dosiahnutie normových parametrov
dopravnej cesty vo všetkých jej ukazovateľoch,
- dosiahnutie dohodnutého štandardu stanice.</v>
      </c>
      <c r="E27" s="204" t="str">
        <f>IFERROR(IF(IF(ISBLANK($B27),VLOOKUP($A27,Harmonogram!$A$1:$FA$162,COLUMN(Prehľad!C27)+6,FALSE),VLOOKUP(Prehľad!$B27,Harmonogram!$F$2:$EW$150,COLUMN(Prehľad!C27)+1,FALSE))=0,"",IF(ISBLANK($B27),VLOOKUP($A27,Harmonogram!$A$1:$FA$162,COLUMN(Prehľad!C27)+6,FALSE),VLOOKUP(Prehľad!$B27,Harmonogram!$F$2:$EW$150,COLUMN(Prehľad!C27)+1,FALSE))),"")</f>
        <v>TEN-T core;
RFC 9 - hlavná trať
RFC 11 - hlavná trať
Dĺžka(KEA)= 4,7km; osôb/deň= 6800; mil.hrtkm/rok=48</v>
      </c>
      <c r="F27" s="177" t="str">
        <f>IF(ISBLANK(B27),"",IFERROR(VLOOKUP(B27,Harmonogram!$F$3:$EO$97,140,FALSE),"er"))</f>
        <v>20 ks v.j.</v>
      </c>
      <c r="G27" s="177" t="str">
        <f>IFERROR(IF(IF(ISBLANK($B27),VLOOKUP($A27,Harmonogram!$A$1:$FA$162,COLUMN(Prehľad!D27)+6,FALSE),VLOOKUP(Prehľad!$B27,Harmonogram!$F$2:$EW$150,COLUMN(Prehľad!D27)+1,FALSE))=0,"",IF(ISBLANK($B27),VLOOKUP($A27,Harmonogram!$A$1:$FA$162,COLUMN(Prehľad!D27)+6,FALSE),VLOOKUP(Prehľad!$B27,Harmonogram!$F$2:$EW$150,COLUMN(Prehľad!D27)+1,FALSE))),"")</f>
        <v>1b</v>
      </c>
      <c r="H27" s="250" t="str">
        <f>IFERROR(IF(IF(ISBLANK($B27),VLOOKUP($A27,Harmonogram!$A$1:$FA$162,COLUMN(Prehľad!A27)+11,FALSE),VLOOKUP(Prehľad!$B27,Harmonogram!$F$2:$EW$150,COLUMN(Prehľad!A27)+6,FALSE))=0,"",IF(ISBLANK($B27),VLOOKUP($A27,Harmonogram!$A$1:$FA$162,COLUMN(Prehľad!A27)+11,FALSE),VLOOKUP(Prehľad!$B27,Harmonogram!$F$2:$EW$150,COLUMN(Prehľad!A27)+6,FALSE))),"")</f>
        <v>Príprava VO</v>
      </c>
      <c r="I27" s="260">
        <f>IF(LEN($B27)=0,VLOOKUP($A27,Harmonogram!$A$1:$FA$162,COLUMN(Prehľad!B27)+11,FALSE),VLOOKUP(Prehľad!$B27,Harmonogram!$F$2:$EW$150,COLUMN(Prehľad!B27)+6,FALSE))</f>
        <v>10462003.030000001</v>
      </c>
      <c r="J27" s="261">
        <f>IF(LEN($B27)=0,VLOOKUP($A27,Harmonogram!$A$1:$FA$162,COLUMN(Prehľad!A27)*12+12,FALSE),VLOOKUP(Prehľad!$B27,Harmonogram!$F$2:$EW$150,COLUMN(Prehľad!A27)*12+7,FALSE))</f>
        <v>205938.3</v>
      </c>
      <c r="K27" s="260">
        <f>IF(LEN($B27)=0,VLOOKUP($A27,Harmonogram!$A$1:$FA$162,COLUMN(Prehľad!B27)*12+12,FALSE),VLOOKUP(Prehľad!$B27,Harmonogram!$F$2:$EW$150,COLUMN(Prehľad!B27)*12+7,FALSE))</f>
        <v>49692.18</v>
      </c>
      <c r="L27" s="260">
        <f>IF(LEN($B27)=0,VLOOKUP($A27,Harmonogram!$A$1:$FA$162,COLUMN(Prehľad!C27)*12+12,FALSE),VLOOKUP(Prehľad!$B27,Harmonogram!$F$2:$EW$150,COLUMN(Prehľad!C27)*12+7,FALSE))</f>
        <v>10206372.550000001</v>
      </c>
      <c r="M27" s="260">
        <f>IF(LEN($B27)=0,VLOOKUP($A27,Harmonogram!$A$1:$FA$162,COLUMN(Prehľad!D27)*12+12,FALSE),VLOOKUP(Prehľad!$B27,Harmonogram!$F$2:$EW$150,COLUMN(Prehľad!D27)*12+7,FALSE))</f>
        <v>0</v>
      </c>
      <c r="N27" s="260">
        <f>IF(LEN($B27)=0,VLOOKUP($A27,Harmonogram!$A$1:$FA$162,COLUMN(Prehľad!E27)*12+12,FALSE),VLOOKUP(Prehľad!$B27,Harmonogram!$F$2:$EW$150,COLUMN(Prehľad!E27)*12+7,FALSE))</f>
        <v>0</v>
      </c>
      <c r="O27" s="260">
        <f>IF(LEN($B27)=0,VLOOKUP($A27,Harmonogram!$A$1:$FA$162,COLUMN(Prehľad!F27)*12+12,FALSE),VLOOKUP(Prehľad!$B27,Harmonogram!$F$2:$EW$150,COLUMN(Prehľad!F27)*12+7,FALSE))</f>
        <v>0</v>
      </c>
      <c r="P27" s="260">
        <f>IF(LEN($B27)=0,VLOOKUP($A27,Harmonogram!$A$1:$FA$162,COLUMN(Prehľad!G27)*12+12,FALSE),VLOOKUP(Prehľad!$B27,Harmonogram!$F$2:$EW$150,COLUMN(Prehľad!G27)*12+7,FALSE))</f>
        <v>0</v>
      </c>
      <c r="Q27" s="260">
        <f>IF(LEN($B27)=0,VLOOKUP($A27,Harmonogram!$A$1:$FA$162,COLUMN(Prehľad!H27)*12+12,FALSE),VLOOKUP(Prehľad!$B27,Harmonogram!$F$2:$EW$150,COLUMN(Prehľad!H27)*12+7,FALSE))</f>
        <v>0</v>
      </c>
      <c r="R27" s="260">
        <f>IF(LEN($B27)=0,VLOOKUP($A27,Harmonogram!$A$1:$FA$162,COLUMN(Prehľad!I27)*12+12,FALSE),VLOOKUP(Prehľad!$B27,Harmonogram!$F$2:$EW$150,COLUMN(Prehľad!I27)*12+7,FALSE))</f>
        <v>0</v>
      </c>
      <c r="S27" s="260">
        <f>IF(LEN($B27)=0,VLOOKUP($A27,Harmonogram!$A$1:$FA$162,COLUMN(Prehľad!J27)*12+12,FALSE),VLOOKUP(Prehľad!$B27,Harmonogram!$F$2:$EW$150,COLUMN(Prehľad!J27)*12+7,FALSE))</f>
        <v>0</v>
      </c>
      <c r="T27" s="262">
        <f>IF(LEN($B27)=0,VLOOKUP($A27,Harmonogram!$A$1:$FA$162,COLUMN(Prehľad!K27)*12+12,FALSE),VLOOKUP(Prehľad!$B27,Harmonogram!$F$2:$EW$150,COLUMN(Prehľad!K27)*12+7,FALSE))</f>
        <v>0</v>
      </c>
    </row>
    <row r="28" spans="1:22" ht="120" x14ac:dyDescent="0.25">
      <c r="A28" s="240"/>
      <c r="B28" s="203" t="s">
        <v>1030</v>
      </c>
      <c r="C28" s="177" t="str">
        <f>IFERROR(IF(IF(ISBLANK($B28),VLOOKUP($A28,Harmonogram!$A$1:$FA$162,COLUMN(Prehľad!A28)+6,FALSE),VLOOKUP(Prehľad!$B28,Harmonogram!$F$2:$EW$150,COLUMN(Prehľad!A28)+1,FALSE))=0,"",IF(ISBLANK($B28),VLOOKUP($A28,Harmonogram!$A$1:$FA$162,COLUMN(Prehľad!A28)+6,FALSE),VLOOKUP(Prehľad!$B28,Harmonogram!$F$2:$EW$150,COLUMN(Prehľad!A28)+1,FALSE))),"")</f>
        <v>Predmetom projektu je modernizácie koľaje č. 2, ktorá má nevyhovujúci stav železničného zvršku. Modernizáciou železničného zvršku, spodku, ďalších stavieb a zariadení sa docieli odstránenie dlhodobých prevádzkových obmedzení a vyššia spoľahlivosť a odolnosť súčastí železničnej infraštruktúry. Cieľom stavby je zlepšenie technického stavu železničnej infraštruktúry a tým zníženie nákladov na údržbu.</v>
      </c>
      <c r="D28" s="177" t="str">
        <f>IFERROR(IF(IF(ISBLANK($B28),VLOOKUP($A28,Harmonogram!$A$1:$FA$162,COLUMN(Prehľad!B28)+6,FALSE),VLOOKUP(Prehľad!$B28,Harmonogram!$F$2:$EW$150,COLUMN(Prehľad!B28)+1,FALSE))=0,"",IF(ISBLANK($B28),VLOOKUP($A28,Harmonogram!$A$1:$FA$162,COLUMN(Prehľad!B28)+6,FALSE),VLOOKUP(Prehľad!$B28,Harmonogram!$F$2:$EW$150,COLUMN(Prehľad!B28)+1,FALSE))),"")</f>
        <v>Hlavnými cieľmi projektu sú:
- zvýšenie traťovej rýchlosti
- zlepšenie priestorovej priechodnosti
- zvýšenie bezpečnosti prevádzky
- zvýšenie bezpečnosti cestujúcich
- zvýšenie kultúry, komfortu a plynulosti cestovania
- zníženie negatívnych dopadov železničnej prevádzky na obyvateľstvo
- zlepšenie a skvalitnenie životného prostredia.</v>
      </c>
      <c r="E28" s="204" t="str">
        <f>IFERROR(IF(IF(ISBLANK($B28),VLOOKUP($A28,Harmonogram!$A$1:$FA$162,COLUMN(Prehľad!C28)+6,FALSE),VLOOKUP(Prehľad!$B28,Harmonogram!$F$2:$EW$150,COLUMN(Prehľad!C28)+1,FALSE))=0,"",IF(ISBLANK($B28),VLOOKUP($A28,Harmonogram!$A$1:$FA$162,COLUMN(Prehľad!C28)+6,FALSE),VLOOKUP(Prehľad!$B28,Harmonogram!$F$2:$EW$150,COLUMN(Prehľad!C28)+1,FALSE))),"")</f>
        <v>TEN-T core;
RFC 9 - hlavná trať
RFC 11 - alternatívna trať
Dĺžka(190a)= 36,9km; osôb/deň= 6000; mil.hrtkm/rok=589,9</v>
      </c>
      <c r="F28" s="177">
        <f>IF(ISBLANK(B28),"",IFERROR(VLOOKUP(B28,Harmonogram!$F$3:$EO$97,140,FALSE),"er"))</f>
        <v>6.5960000000000001</v>
      </c>
      <c r="G28" s="177" t="str">
        <f>IFERROR(IF(IF(ISBLANK($B28),VLOOKUP($A28,Harmonogram!$A$1:$FA$162,COLUMN(Prehľad!D28)+6,FALSE),VLOOKUP(Prehľad!$B28,Harmonogram!$F$2:$EW$150,COLUMN(Prehľad!D28)+1,FALSE))=0,"",IF(ISBLANK($B28),VLOOKUP($A28,Harmonogram!$A$1:$FA$162,COLUMN(Prehľad!D28)+6,FALSE),VLOOKUP(Prehľad!$B28,Harmonogram!$F$2:$EW$150,COLUMN(Prehľad!D28)+1,FALSE))),"")</f>
        <v>1b</v>
      </c>
      <c r="H28" s="250" t="str">
        <f>IFERROR(IF(IF(ISBLANK($B28),VLOOKUP($A28,Harmonogram!$A$1:$FA$162,COLUMN(Prehľad!A28)+11,FALSE),VLOOKUP(Prehľad!$B28,Harmonogram!$F$2:$EW$150,COLUMN(Prehľad!A28)+6,FALSE))=0,"",IF(ISBLANK($B28),VLOOKUP($A28,Harmonogram!$A$1:$FA$162,COLUMN(Prehľad!A28)+11,FALSE),VLOOKUP(Prehľad!$B28,Harmonogram!$F$2:$EW$150,COLUMN(Prehľad!A28)+6,FALSE))),"")</f>
        <v>Príprava VO</v>
      </c>
      <c r="I28" s="260">
        <f>IF(LEN($B28)=0,VLOOKUP($A28,Harmonogram!$A$1:$FA$162,COLUMN(Prehľad!B28)+11,FALSE),VLOOKUP(Prehľad!$B28,Harmonogram!$F$2:$EW$150,COLUMN(Prehľad!B28)+6,FALSE))</f>
        <v>6916559.8100000005</v>
      </c>
      <c r="J28" s="261">
        <f>IF(LEN($B28)=0,VLOOKUP($A28,Harmonogram!$A$1:$FA$162,COLUMN(Prehľad!A28)*12+12,FALSE),VLOOKUP(Prehľad!$B28,Harmonogram!$F$2:$EW$150,COLUMN(Prehľad!A28)*12+7,FALSE))</f>
        <v>14995.81</v>
      </c>
      <c r="K28" s="260">
        <f>IF(LEN($B28)=0,VLOOKUP($A28,Harmonogram!$A$1:$FA$162,COLUMN(Prehľad!B28)*12+12,FALSE),VLOOKUP(Prehľad!$B28,Harmonogram!$F$2:$EW$150,COLUMN(Prehľad!B28)*12+7,FALSE))</f>
        <v>284814</v>
      </c>
      <c r="L28" s="260">
        <f>IF(LEN($B28)=0,VLOOKUP($A28,Harmonogram!$A$1:$FA$162,COLUMN(Prehľad!C28)*12+12,FALSE),VLOOKUP(Prehľad!$B28,Harmonogram!$F$2:$EW$150,COLUMN(Prehľad!C28)*12+7,FALSE))</f>
        <v>641675</v>
      </c>
      <c r="M28" s="260">
        <f>IF(LEN($B28)=0,VLOOKUP($A28,Harmonogram!$A$1:$FA$162,COLUMN(Prehľad!D28)*12+12,FALSE),VLOOKUP(Prehľad!$B28,Harmonogram!$F$2:$EW$150,COLUMN(Prehľad!D28)*12+7,FALSE))</f>
        <v>5975075</v>
      </c>
      <c r="N28" s="260">
        <f>IF(LEN($B28)=0,VLOOKUP($A28,Harmonogram!$A$1:$FA$162,COLUMN(Prehľad!E28)*12+12,FALSE),VLOOKUP(Prehľad!$B28,Harmonogram!$F$2:$EW$150,COLUMN(Prehľad!E28)*12+7,FALSE))</f>
        <v>0</v>
      </c>
      <c r="O28" s="260">
        <f>IF(LEN($B28)=0,VLOOKUP($A28,Harmonogram!$A$1:$FA$162,COLUMN(Prehľad!F28)*12+12,FALSE),VLOOKUP(Prehľad!$B28,Harmonogram!$F$2:$EW$150,COLUMN(Prehľad!F28)*12+7,FALSE))</f>
        <v>0</v>
      </c>
      <c r="P28" s="260">
        <f>IF(LEN($B28)=0,VLOOKUP($A28,Harmonogram!$A$1:$FA$162,COLUMN(Prehľad!G28)*12+12,FALSE),VLOOKUP(Prehľad!$B28,Harmonogram!$F$2:$EW$150,COLUMN(Prehľad!G28)*12+7,FALSE))</f>
        <v>0</v>
      </c>
      <c r="Q28" s="260">
        <f>IF(LEN($B28)=0,VLOOKUP($A28,Harmonogram!$A$1:$FA$162,COLUMN(Prehľad!H28)*12+12,FALSE),VLOOKUP(Prehľad!$B28,Harmonogram!$F$2:$EW$150,COLUMN(Prehľad!H28)*12+7,FALSE))</f>
        <v>0</v>
      </c>
      <c r="R28" s="260">
        <f>IF(LEN($B28)=0,VLOOKUP($A28,Harmonogram!$A$1:$FA$162,COLUMN(Prehľad!I28)*12+12,FALSE),VLOOKUP(Prehľad!$B28,Harmonogram!$F$2:$EW$150,COLUMN(Prehľad!I28)*12+7,FALSE))</f>
        <v>0</v>
      </c>
      <c r="S28" s="260">
        <f>IF(LEN($B28)=0,VLOOKUP($A28,Harmonogram!$A$1:$FA$162,COLUMN(Prehľad!J28)*12+12,FALSE),VLOOKUP(Prehľad!$B28,Harmonogram!$F$2:$EW$150,COLUMN(Prehľad!J28)*12+7,FALSE))</f>
        <v>0</v>
      </c>
      <c r="T28" s="262">
        <f>IF(LEN($B28)=0,VLOOKUP($A28,Harmonogram!$A$1:$FA$162,COLUMN(Prehľad!K28)*12+12,FALSE),VLOOKUP(Prehľad!$B28,Harmonogram!$F$2:$EW$150,COLUMN(Prehľad!K28)*12+7,FALSE))</f>
        <v>0</v>
      </c>
    </row>
    <row r="29" spans="1:22" ht="60" x14ac:dyDescent="0.25">
      <c r="A29" s="240"/>
      <c r="B29" s="203" t="s">
        <v>1173</v>
      </c>
      <c r="C29" s="177" t="str">
        <f>IFERROR(IF(IF(ISBLANK($B29),VLOOKUP($A29,Harmonogram!$A$1:$FA$162,COLUMN(Prehľad!A29)+6,FALSE),VLOOKUP(Prehľad!$B29,Harmonogram!$F$2:$EW$150,COLUMN(Prehľad!A29)+1,FALSE))=0,"",IF(ISBLANK($B29),VLOOKUP($A29,Harmonogram!$A$1:$FA$162,COLUMN(Prehľad!A29)+6,FALSE),VLOOKUP(Prehľad!$B29,Harmonogram!$F$2:$EW$150,COLUMN(Prehľad!A29)+1,FALSE))),"")</f>
        <v>ŽSR plánujú rekonštrukciu železničnej stanice Krompachy na trati Spišská Nová Ves – Margecany. Cieľom projektu je zvýšiť bezpečnosť a plynulosť premávky a zrušiť nepotrebné a nevyužívané časti stanice.</v>
      </c>
      <c r="D29" s="177" t="str">
        <f>IFERROR(IF(IF(ISBLANK($B29),VLOOKUP($A29,Harmonogram!$A$1:$FA$162,COLUMN(Prehľad!B29)+6,FALSE),VLOOKUP(Prehľad!$B29,Harmonogram!$F$2:$EW$150,COLUMN(Prehľad!B29)+1,FALSE))=0,"",IF(ISBLANK($B29),VLOOKUP($A29,Harmonogram!$A$1:$FA$162,COLUMN(Prehľad!B29)+6,FALSE),VLOOKUP(Prehľad!$B29,Harmonogram!$F$2:$EW$150,COLUMN(Prehľad!B29)+1,FALSE))),"")</f>
        <v>Po vykonaní rekonštrukcie sa predpokladá plná a spoľahlivá funkčnosť železničnej trate a zrušenie obmedzenia najvyššej traťovej rýchlosti na 100 km/h z pôvodných 120 km/h</v>
      </c>
      <c r="E29" s="204" t="str">
        <f>IFERROR(IF(IF(ISBLANK($B29),VLOOKUP($A29,Harmonogram!$A$1:$FA$162,COLUMN(Prehľad!C29)+6,FALSE),VLOOKUP(Prehľad!$B29,Harmonogram!$F$2:$EW$150,COLUMN(Prehľad!C29)+1,FALSE))=0,"",IF(ISBLANK($B29),VLOOKUP($A29,Harmonogram!$A$1:$FA$162,COLUMN(Prehľad!C29)+6,FALSE),VLOOKUP(Prehľad!$B29,Harmonogram!$F$2:$EW$150,COLUMN(Prehľad!C29)+1,FALSE))),"")</f>
        <v>TEN-T core;
RFC 9 - hlavná trať
Dĺžka(180g)= 30,6km; osôb/deň= 10000; mil.hrtkm/rok=666,5</v>
      </c>
      <c r="F29" s="177" t="str">
        <f>IF(ISBLANK(B29),"",IFERROR(VLOOKUP(B29,Harmonogram!$F$3:$EO$97,140,FALSE),"er"))</f>
        <v>8 ks v.j.</v>
      </c>
      <c r="G29" s="177" t="str">
        <f>IFERROR(IF(IF(ISBLANK($B29),VLOOKUP($A29,Harmonogram!$A$1:$FA$162,COLUMN(Prehľad!D29)+6,FALSE),VLOOKUP(Prehľad!$B29,Harmonogram!$F$2:$EW$150,COLUMN(Prehľad!D29)+1,FALSE))=0,"",IF(ISBLANK($B29),VLOOKUP($A29,Harmonogram!$A$1:$FA$162,COLUMN(Prehľad!D29)+6,FALSE),VLOOKUP(Prehľad!$B29,Harmonogram!$F$2:$EW$150,COLUMN(Prehľad!D29)+1,FALSE))),"")</f>
        <v>1b</v>
      </c>
      <c r="H29" s="250" t="str">
        <f>IFERROR(IF(IF(ISBLANK($B29),VLOOKUP($A29,Harmonogram!$A$1:$FA$162,COLUMN(Prehľad!A29)+11,FALSE),VLOOKUP(Prehľad!$B29,Harmonogram!$F$2:$EW$150,COLUMN(Prehľad!A29)+6,FALSE))=0,"",IF(ISBLANK($B29),VLOOKUP($A29,Harmonogram!$A$1:$FA$162,COLUMN(Prehľad!A29)+11,FALSE),VLOOKUP(Prehľad!$B29,Harmonogram!$F$2:$EW$150,COLUMN(Prehľad!A29)+6,FALSE))),"")</f>
        <v>Príprava VO</v>
      </c>
      <c r="I29" s="260">
        <f>IF(LEN($B29)=0,VLOOKUP($A29,Harmonogram!$A$1:$FA$162,COLUMN(Prehľad!B29)+11,FALSE),VLOOKUP(Prehľad!$B29,Harmonogram!$F$2:$EW$150,COLUMN(Prehľad!B29)+6,FALSE))</f>
        <v>6332462.9800000004</v>
      </c>
      <c r="J29" s="261">
        <f>IF(LEN($B29)=0,VLOOKUP($A29,Harmonogram!$A$1:$FA$162,COLUMN(Prehľad!A29)*12+12,FALSE),VLOOKUP(Prehľad!$B29,Harmonogram!$F$2:$EW$150,COLUMN(Prehľad!A29)*12+7,FALSE))</f>
        <v>167500</v>
      </c>
      <c r="K29" s="260">
        <f>IF(LEN($B29)=0,VLOOKUP($A29,Harmonogram!$A$1:$FA$162,COLUMN(Prehľad!B29)*12+12,FALSE),VLOOKUP(Prehľad!$B29,Harmonogram!$F$2:$EW$150,COLUMN(Prehľad!B29)*12+7,FALSE))</f>
        <v>44350</v>
      </c>
      <c r="L29" s="260">
        <f>IF(LEN($B29)=0,VLOOKUP($A29,Harmonogram!$A$1:$FA$162,COLUMN(Prehľad!C29)*12+12,FALSE),VLOOKUP(Prehľad!$B29,Harmonogram!$F$2:$EW$150,COLUMN(Prehľad!C29)*12+7,FALSE))</f>
        <v>3850383.1125000003</v>
      </c>
      <c r="M29" s="260">
        <f>IF(LEN($B29)=0,VLOOKUP($A29,Harmonogram!$A$1:$FA$162,COLUMN(Prehľad!D29)*12+12,FALSE),VLOOKUP(Prehľad!$B29,Harmonogram!$F$2:$EW$150,COLUMN(Prehľad!D29)*12+7,FALSE))</f>
        <v>2270229.8674999997</v>
      </c>
      <c r="N29" s="260">
        <f>IF(LEN($B29)=0,VLOOKUP($A29,Harmonogram!$A$1:$FA$162,COLUMN(Prehľad!E29)*12+12,FALSE),VLOOKUP(Prehľad!$B29,Harmonogram!$F$2:$EW$150,COLUMN(Prehľad!E29)*12+7,FALSE))</f>
        <v>0</v>
      </c>
      <c r="O29" s="260">
        <f>IF(LEN($B29)=0,VLOOKUP($A29,Harmonogram!$A$1:$FA$162,COLUMN(Prehľad!F29)*12+12,FALSE),VLOOKUP(Prehľad!$B29,Harmonogram!$F$2:$EW$150,COLUMN(Prehľad!F29)*12+7,FALSE))</f>
        <v>0</v>
      </c>
      <c r="P29" s="260">
        <f>IF(LEN($B29)=0,VLOOKUP($A29,Harmonogram!$A$1:$FA$162,COLUMN(Prehľad!G29)*12+12,FALSE),VLOOKUP(Prehľad!$B29,Harmonogram!$F$2:$EW$150,COLUMN(Prehľad!G29)*12+7,FALSE))</f>
        <v>0</v>
      </c>
      <c r="Q29" s="260">
        <f>IF(LEN($B29)=0,VLOOKUP($A29,Harmonogram!$A$1:$FA$162,COLUMN(Prehľad!H29)*12+12,FALSE),VLOOKUP(Prehľad!$B29,Harmonogram!$F$2:$EW$150,COLUMN(Prehľad!H29)*12+7,FALSE))</f>
        <v>0</v>
      </c>
      <c r="R29" s="260">
        <f>IF(LEN($B29)=0,VLOOKUP($A29,Harmonogram!$A$1:$FA$162,COLUMN(Prehľad!I29)*12+12,FALSE),VLOOKUP(Prehľad!$B29,Harmonogram!$F$2:$EW$150,COLUMN(Prehľad!I29)*12+7,FALSE))</f>
        <v>0</v>
      </c>
      <c r="S29" s="260">
        <f>IF(LEN($B29)=0,VLOOKUP($A29,Harmonogram!$A$1:$FA$162,COLUMN(Prehľad!J29)*12+12,FALSE),VLOOKUP(Prehľad!$B29,Harmonogram!$F$2:$EW$150,COLUMN(Prehľad!J29)*12+7,FALSE))</f>
        <v>0</v>
      </c>
      <c r="T29" s="262">
        <f>IF(LEN($B29)=0,VLOOKUP($A29,Harmonogram!$A$1:$FA$162,COLUMN(Prehľad!K29)*12+12,FALSE),VLOOKUP(Prehľad!$B29,Harmonogram!$F$2:$EW$150,COLUMN(Prehľad!K29)*12+7,FALSE))</f>
        <v>0</v>
      </c>
    </row>
    <row r="30" spans="1:22" ht="120" x14ac:dyDescent="0.25">
      <c r="A30" s="240"/>
      <c r="B30" s="203" t="s">
        <v>1034</v>
      </c>
      <c r="C30" s="177" t="str">
        <f>IFERROR(IF(IF(ISBLANK($B30),VLOOKUP($A30,Harmonogram!$A$1:$FA$162,COLUMN(Prehľad!A30)+6,FALSE),VLOOKUP(Prehľad!$B30,Harmonogram!$F$2:$EW$150,COLUMN(Prehľad!A30)+1,FALSE))=0,"",IF(ISBLANK($B30),VLOOKUP($A30,Harmonogram!$A$1:$FA$162,COLUMN(Prehľad!A30)+6,FALSE),VLOOKUP(Prehľad!$B30,Harmonogram!$F$2:$EW$150,COLUMN(Prehľad!A30)+1,FALSE))),"")</f>
        <v>Predmetom stavby je modernizácia železničného zvršku a spodku výhybiek č. 1 – 10. Pri výmene konštrukcie železničného zvršku je potrebné vymeniť aj elektrický ohrev výhybiek (EOV), upraviť zabezpečovacie a oznamovacie zariadenie, upraviť trolejové vedenie a vonkajšie osvetlenie. Modernizácia výhybiek je navrhnutá z dôvodu prevádzkového opotrebovania, dlhodobého obmedzenia rýchlosti a hlavným cieľom je zaistiť dlhodobo bezpečnosť železničnej prevádzky v danom úseku. Modernizácia bude mať priaznivý dopad aj na zníženie prevádzkových nákladov v ďalších rokoch.</v>
      </c>
      <c r="D30" s="177" t="str">
        <f>IFERROR(IF(IF(ISBLANK($B30),VLOOKUP($A30,Harmonogram!$A$1:$FA$162,COLUMN(Prehľad!B30)+6,FALSE),VLOOKUP(Prehľad!$B30,Harmonogram!$F$2:$EW$150,COLUMN(Prehľad!B30)+1,FALSE))=0,"",IF(ISBLANK($B30),VLOOKUP($A30,Harmonogram!$A$1:$FA$162,COLUMN(Prehľad!B30)+6,FALSE),VLOOKUP(Prehľad!$B30,Harmonogram!$F$2:$EW$150,COLUMN(Prehľad!B30)+1,FALSE))),"")</f>
        <v xml:space="preserve">Hlavnými cieľmi projektu sú:
- zvýšenie bezpečnosti a plynulosti prevádzky,
- zvýšenie bezpečnosti a komfortu cestujúcich,
- zníženie nákladov na údržbu železničnej infraštruktúry,  - zabezpečený plynulý prechod z trate ČoP UA-Čierna n/Tisou-Košice na trať ŽST Trebišov-Výh. Slivník,  - dosiahnutie normového stavu </v>
      </c>
      <c r="E30" s="204" t="str">
        <f>IFERROR(IF(IF(ISBLANK($B30),VLOOKUP($A30,Harmonogram!$A$1:$FA$162,COLUMN(Prehľad!C30)+6,FALSE),VLOOKUP(Prehľad!$B30,Harmonogram!$F$2:$EW$150,COLUMN(Prehľad!C30)+1,FALSE))=0,"",IF(ISBLANK($B30),VLOOKUP($A30,Harmonogram!$A$1:$FA$162,COLUMN(Prehľad!C30)+6,FALSE),VLOOKUP(Prehľad!$B30,Harmonogram!$F$2:$EW$150,COLUMN(Prehľad!C30)+1,FALSE))),"")</f>
        <v>TEN-T core;
RFC 9 - hlavná trať
RFC 11 - alternatívna trať
Dĺžka(190a)= 36,9km; osôb/deň= 6000; mil.hrtkm/rok=589,9</v>
      </c>
      <c r="F30" s="177" t="str">
        <f>IF(ISBLANK(B30),"",IFERROR(VLOOKUP(B30,Harmonogram!$F$3:$EO$97,140,FALSE),"er"))</f>
        <v>10 ks v.j.</v>
      </c>
      <c r="G30" s="177" t="str">
        <f>IFERROR(IF(IF(ISBLANK($B30),VLOOKUP($A30,Harmonogram!$A$1:$FA$162,COLUMN(Prehľad!D30)+6,FALSE),VLOOKUP(Prehľad!$B30,Harmonogram!$F$2:$EW$150,COLUMN(Prehľad!D30)+1,FALSE))=0,"",IF(ISBLANK($B30),VLOOKUP($A30,Harmonogram!$A$1:$FA$162,COLUMN(Prehľad!D30)+6,FALSE),VLOOKUP(Prehľad!$B30,Harmonogram!$F$2:$EW$150,COLUMN(Prehľad!D30)+1,FALSE))),"")</f>
        <v>1b</v>
      </c>
      <c r="H30" s="250" t="str">
        <f>IFERROR(IF(IF(ISBLANK($B30),VLOOKUP($A30,Harmonogram!$A$1:$FA$162,COLUMN(Prehľad!A30)+11,FALSE),VLOOKUP(Prehľad!$B30,Harmonogram!$F$2:$EW$150,COLUMN(Prehľad!A30)+6,FALSE))=0,"",IF(ISBLANK($B30),VLOOKUP($A30,Harmonogram!$A$1:$FA$162,COLUMN(Prehľad!A30)+11,FALSE),VLOOKUP(Prehľad!$B30,Harmonogram!$F$2:$EW$150,COLUMN(Prehľad!A30)+6,FALSE))),"")</f>
        <v>Príprava VO</v>
      </c>
      <c r="I30" s="260">
        <f>IF(LEN($B30)=0,VLOOKUP($A30,Harmonogram!$A$1:$FA$162,COLUMN(Prehľad!B30)+11,FALSE),VLOOKUP(Prehľad!$B30,Harmonogram!$F$2:$EW$150,COLUMN(Prehľad!B30)+6,FALSE))</f>
        <v>5164386.4899999993</v>
      </c>
      <c r="J30" s="261">
        <f>IF(LEN($B30)=0,VLOOKUP($A30,Harmonogram!$A$1:$FA$162,COLUMN(Prehľad!A30)*12+12,FALSE),VLOOKUP(Prehľad!$B30,Harmonogram!$F$2:$EW$150,COLUMN(Prehľad!A30)*12+7,FALSE))</f>
        <v>43140</v>
      </c>
      <c r="K30" s="260">
        <f>IF(LEN($B30)=0,VLOOKUP($A30,Harmonogram!$A$1:$FA$162,COLUMN(Prehľad!B30)*12+12,FALSE),VLOOKUP(Prehľad!$B30,Harmonogram!$F$2:$EW$150,COLUMN(Prehľad!B30)*12+7,FALSE))</f>
        <v>1703.06</v>
      </c>
      <c r="L30" s="260">
        <f>IF(LEN($B30)=0,VLOOKUP($A30,Harmonogram!$A$1:$FA$162,COLUMN(Prehľad!C30)*12+12,FALSE),VLOOKUP(Prehľad!$B30,Harmonogram!$F$2:$EW$150,COLUMN(Prehľad!C30)*12+7,FALSE))</f>
        <v>3593680.4009999996</v>
      </c>
      <c r="M30" s="260">
        <f>IF(LEN($B30)=0,VLOOKUP($A30,Harmonogram!$A$1:$FA$162,COLUMN(Prehľad!D30)*12+12,FALSE),VLOOKUP(Prehľad!$B30,Harmonogram!$F$2:$EW$150,COLUMN(Prehľad!D30)*12+7,FALSE))</f>
        <v>1525863.0289999999</v>
      </c>
      <c r="N30" s="260">
        <f>IF(LEN($B30)=0,VLOOKUP($A30,Harmonogram!$A$1:$FA$162,COLUMN(Prehľad!E30)*12+12,FALSE),VLOOKUP(Prehľad!$B30,Harmonogram!$F$2:$EW$150,COLUMN(Prehľad!E30)*12+7,FALSE))</f>
        <v>0</v>
      </c>
      <c r="O30" s="260">
        <f>IF(LEN($B30)=0,VLOOKUP($A30,Harmonogram!$A$1:$FA$162,COLUMN(Prehľad!F30)*12+12,FALSE),VLOOKUP(Prehľad!$B30,Harmonogram!$F$2:$EW$150,COLUMN(Prehľad!F30)*12+7,FALSE))</f>
        <v>0</v>
      </c>
      <c r="P30" s="260">
        <f>IF(LEN($B30)=0,VLOOKUP($A30,Harmonogram!$A$1:$FA$162,COLUMN(Prehľad!G30)*12+12,FALSE),VLOOKUP(Prehľad!$B30,Harmonogram!$F$2:$EW$150,COLUMN(Prehľad!G30)*12+7,FALSE))</f>
        <v>0</v>
      </c>
      <c r="Q30" s="260">
        <f>IF(LEN($B30)=0,VLOOKUP($A30,Harmonogram!$A$1:$FA$162,COLUMN(Prehľad!H30)*12+12,FALSE),VLOOKUP(Prehľad!$B30,Harmonogram!$F$2:$EW$150,COLUMN(Prehľad!H30)*12+7,FALSE))</f>
        <v>0</v>
      </c>
      <c r="R30" s="260">
        <f>IF(LEN($B30)=0,VLOOKUP($A30,Harmonogram!$A$1:$FA$162,COLUMN(Prehľad!I30)*12+12,FALSE),VLOOKUP(Prehľad!$B30,Harmonogram!$F$2:$EW$150,COLUMN(Prehľad!I30)*12+7,FALSE))</f>
        <v>0</v>
      </c>
      <c r="S30" s="260">
        <f>IF(LEN($B30)=0,VLOOKUP($A30,Harmonogram!$A$1:$FA$162,COLUMN(Prehľad!J30)*12+12,FALSE),VLOOKUP(Prehľad!$B30,Harmonogram!$F$2:$EW$150,COLUMN(Prehľad!J30)*12+7,FALSE))</f>
        <v>0</v>
      </c>
      <c r="T30" s="262">
        <f>IF(LEN($B30)=0,VLOOKUP($A30,Harmonogram!$A$1:$FA$162,COLUMN(Prehľad!K30)*12+12,FALSE),VLOOKUP(Prehľad!$B30,Harmonogram!$F$2:$EW$150,COLUMN(Prehľad!K30)*12+7,FALSE))</f>
        <v>0</v>
      </c>
    </row>
    <row r="31" spans="1:22" ht="210" x14ac:dyDescent="0.25">
      <c r="A31" s="240"/>
      <c r="B31" s="203" t="s">
        <v>1035</v>
      </c>
      <c r="C31" s="177" t="str">
        <f>IFERROR(IF(IF(ISBLANK($B31),VLOOKUP($A31,Harmonogram!$A$1:$FA$162,COLUMN(Prehľad!A31)+6,FALSE),VLOOKUP(Prehľad!$B31,Harmonogram!$F$2:$EW$150,COLUMN(Prehľad!A31)+1,FALSE))=0,"",IF(ISBLANK($B31),VLOOKUP($A31,Harmonogram!$A$1:$FA$162,COLUMN(Prehľad!A31)+6,FALSE),VLOOKUP(Prehľad!$B31,Harmonogram!$F$2:$EW$150,COLUMN(Prehľad!A31)+1,FALSE))),"")</f>
        <v>Predmetom projektu je modernizácie , ktorá má nevyhovujúci stav železničného zvršku. Modernizáciou železničného zvršku, spodku, ďalších stavieb a zariadení sa docieli odstránenie dlhodobých prevádzkových obmedzení a vyššia spoľahlivosť a odolnosť súčastí železničnej infraštruktúry. Cieľom stavby je zlepšenie technického stavu železničnej infraštruktúry a tým zníženie nákladov na údržbu.</v>
      </c>
      <c r="D31" s="177" t="str">
        <f>IFERROR(IF(IF(ISBLANK($B31),VLOOKUP($A31,Harmonogram!$A$1:$FA$162,COLUMN(Prehľad!B31)+6,FALSE),VLOOKUP(Prehľad!$B31,Harmonogram!$F$2:$EW$150,COLUMN(Prehľad!B31)+1,FALSE))=0,"",IF(ISBLANK($B31),VLOOKUP($A31,Harmonogram!$A$1:$FA$162,COLUMN(Prehľad!B31)+6,FALSE),VLOOKUP(Prehľad!$B31,Harmonogram!$F$2:$EW$150,COLUMN(Prehľad!B31)+1,FALSE))),"")</f>
        <v>V úseku ŽST Telgárt – ŽST Červená Skala je nevyhovujúci technický stav železničného zvršku pôvodom z roku 1968. rozsah opotrebenia súčastí železničného zvršku je tak rozsiahly, že nie je možné ďalej zabezpečovať prevádzkyschopnosť formou bežnej údržby. v danom úseku bude rekonštruované:  priecestie v žkm 92,006; osem mostov v žkm 88,018, žkm 88,422, žkm 88,796, žkm 89,799, žkm 90,517, žkm 91,208, žkm 91,241 a žkm 91,978; žb doskové priepusty v žkm 89,217, žkm 91,176, žkm 92,180; železničného zvršku, železničného spodku (rozšírenie pláne žel. spodku do normových parametrov vrátane návrhu odvodňovacích zariadení v zárezoch, resp. úpravy telesa dráhy); pravej rímsy žb doskového priepustu v žkm 92,180; náhrade anulačného súboru ASE (ktorý vyhodnocuje prejazd železničného vozidla) za dvojicu inundačných slučiek;  existujúceho vzdušného vedenia, ktoré bude nahradené novým zemným vedením.</v>
      </c>
      <c r="E31" s="204" t="str">
        <f>IFERROR(IF(IF(ISBLANK($B31),VLOOKUP($A31,Harmonogram!$A$1:$FA$162,COLUMN(Prehľad!C31)+6,FALSE),VLOOKUP(Prehľad!$B31,Harmonogram!$F$2:$EW$150,COLUMN(Prehľad!C31)+1,FALSE))=0,"",IF(ISBLANK($B31),VLOOKUP($A31,Harmonogram!$A$1:$FA$162,COLUMN(Prehľad!C31)+6,FALSE),VLOOKUP(Prehľad!$B31,Harmonogram!$F$2:$EW$150,COLUMN(Prehľad!C31)+1,FALSE))),"")</f>
        <v>Hlavná trať ŽSR
Dĺžka(173a)= 52,5km; osôb/deň= 300; mil.hrtkm/rok=0,2
Dĺžka(173b)= 40,4km; osôb/deň= 1000; mil.hrtkm/rok=4,5</v>
      </c>
      <c r="F31" s="177" t="str">
        <f>IF(ISBLANK(B31),"",IFERROR(VLOOKUP(B31,Harmonogram!$F$3:$EO$97,140,FALSE),"er"))</f>
        <v>4,835; (z IZ Telgárt - červená Skala)</v>
      </c>
      <c r="G31" s="177" t="str">
        <f>IFERROR(IF(IF(ISBLANK($B31),VLOOKUP($A31,Harmonogram!$A$1:$FA$162,COLUMN(Prehľad!D31)+6,FALSE),VLOOKUP(Prehľad!$B31,Harmonogram!$F$2:$EW$150,COLUMN(Prehľad!D31)+1,FALSE))=0,"",IF(ISBLANK($B31),VLOOKUP($A31,Harmonogram!$A$1:$FA$162,COLUMN(Prehľad!D31)+6,FALSE),VLOOKUP(Prehľad!$B31,Harmonogram!$F$2:$EW$150,COLUMN(Prehľad!D31)+1,FALSE))),"")</f>
        <v>1b</v>
      </c>
      <c r="H31" s="250" t="str">
        <f>IFERROR(IF(IF(ISBLANK($B31),VLOOKUP($A31,Harmonogram!$A$1:$FA$162,COLUMN(Prehľad!A31)+11,FALSE),VLOOKUP(Prehľad!$B31,Harmonogram!$F$2:$EW$150,COLUMN(Prehľad!A31)+6,FALSE))=0,"",IF(ISBLANK($B31),VLOOKUP($A31,Harmonogram!$A$1:$FA$162,COLUMN(Prehľad!A31)+11,FALSE),VLOOKUP(Prehľad!$B31,Harmonogram!$F$2:$EW$150,COLUMN(Prehľad!A31)+6,FALSE))),"")</f>
        <v>Príprava VO</v>
      </c>
      <c r="I31" s="260">
        <f>IF(LEN($B31)=0,VLOOKUP($A31,Harmonogram!$A$1:$FA$162,COLUMN(Prehľad!B31)+11,FALSE),VLOOKUP(Prehľad!$B31,Harmonogram!$F$2:$EW$150,COLUMN(Prehľad!B31)+6,FALSE))</f>
        <v>5190057.3899999987</v>
      </c>
      <c r="J31" s="261">
        <f>IF(LEN($B31)=0,VLOOKUP($A31,Harmonogram!$A$1:$FA$162,COLUMN(Prehľad!A31)*12+12,FALSE),VLOOKUP(Prehľad!$B31,Harmonogram!$F$2:$EW$150,COLUMN(Prehľad!A31)*12+7,FALSE))</f>
        <v>0</v>
      </c>
      <c r="K31" s="260">
        <f>IF(LEN($B31)=0,VLOOKUP($A31,Harmonogram!$A$1:$FA$162,COLUMN(Prehľad!B31)*12+12,FALSE),VLOOKUP(Prehľad!$B31,Harmonogram!$F$2:$EW$150,COLUMN(Prehľad!B31)*12+7,FALSE))</f>
        <v>168350</v>
      </c>
      <c r="L31" s="260">
        <f>IF(LEN($B31)=0,VLOOKUP($A31,Harmonogram!$A$1:$FA$162,COLUMN(Prehľad!C31)*12+12,FALSE),VLOOKUP(Prehľad!$B31,Harmonogram!$F$2:$EW$150,COLUMN(Prehľad!C31)*12+7,FALSE))</f>
        <v>3525195.1729999995</v>
      </c>
      <c r="M31" s="260">
        <f>IF(LEN($B31)=0,VLOOKUP($A31,Harmonogram!$A$1:$FA$162,COLUMN(Prehľad!D31)*12+12,FALSE),VLOOKUP(Prehľad!$B31,Harmonogram!$F$2:$EW$150,COLUMN(Prehľad!D31)*12+7,FALSE))</f>
        <v>1496512.2169999995</v>
      </c>
      <c r="N31" s="260">
        <f>IF(LEN($B31)=0,VLOOKUP($A31,Harmonogram!$A$1:$FA$162,COLUMN(Prehľad!E31)*12+12,FALSE),VLOOKUP(Prehľad!$B31,Harmonogram!$F$2:$EW$150,COLUMN(Prehľad!E31)*12+7,FALSE))</f>
        <v>0</v>
      </c>
      <c r="O31" s="260">
        <f>IF(LEN($B31)=0,VLOOKUP($A31,Harmonogram!$A$1:$FA$162,COLUMN(Prehľad!F31)*12+12,FALSE),VLOOKUP(Prehľad!$B31,Harmonogram!$F$2:$EW$150,COLUMN(Prehľad!F31)*12+7,FALSE))</f>
        <v>0</v>
      </c>
      <c r="P31" s="260">
        <f>IF(LEN($B31)=0,VLOOKUP($A31,Harmonogram!$A$1:$FA$162,COLUMN(Prehľad!G31)*12+12,FALSE),VLOOKUP(Prehľad!$B31,Harmonogram!$F$2:$EW$150,COLUMN(Prehľad!G31)*12+7,FALSE))</f>
        <v>0</v>
      </c>
      <c r="Q31" s="260">
        <f>IF(LEN($B31)=0,VLOOKUP($A31,Harmonogram!$A$1:$FA$162,COLUMN(Prehľad!H31)*12+12,FALSE),VLOOKUP(Prehľad!$B31,Harmonogram!$F$2:$EW$150,COLUMN(Prehľad!H31)*12+7,FALSE))</f>
        <v>0</v>
      </c>
      <c r="R31" s="260">
        <f>IF(LEN($B31)=0,VLOOKUP($A31,Harmonogram!$A$1:$FA$162,COLUMN(Prehľad!I31)*12+12,FALSE),VLOOKUP(Prehľad!$B31,Harmonogram!$F$2:$EW$150,COLUMN(Prehľad!I31)*12+7,FALSE))</f>
        <v>0</v>
      </c>
      <c r="S31" s="260">
        <f>IF(LEN($B31)=0,VLOOKUP($A31,Harmonogram!$A$1:$FA$162,COLUMN(Prehľad!J31)*12+12,FALSE),VLOOKUP(Prehľad!$B31,Harmonogram!$F$2:$EW$150,COLUMN(Prehľad!J31)*12+7,FALSE))</f>
        <v>0</v>
      </c>
      <c r="T31" s="262">
        <f>IF(LEN($B31)=0,VLOOKUP($A31,Harmonogram!$A$1:$FA$162,COLUMN(Prehľad!K31)*12+12,FALSE),VLOOKUP(Prehľad!$B31,Harmonogram!$F$2:$EW$150,COLUMN(Prehľad!K31)*12+7,FALSE))</f>
        <v>0</v>
      </c>
    </row>
    <row r="32" spans="1:22" ht="60" x14ac:dyDescent="0.25">
      <c r="A32" s="240"/>
      <c r="B32" s="203" t="s">
        <v>1025</v>
      </c>
      <c r="C32" s="177" t="str">
        <f>IFERROR(IF(IF(ISBLANK($B32),VLOOKUP($A32,Harmonogram!$A$1:$FA$162,COLUMN(Prehľad!A32)+6,FALSE),VLOOKUP(Prehľad!$B32,Harmonogram!$F$2:$EW$150,COLUMN(Prehľad!A32)+1,FALSE))=0,"",IF(ISBLANK($B32),VLOOKUP($A32,Harmonogram!$A$1:$FA$162,COLUMN(Prehľad!A32)+6,FALSE),VLOOKUP(Prehľad!$B32,Harmonogram!$F$2:$EW$150,COLUMN(Prehľad!A32)+1,FALSE))),"")</f>
        <v>ŽSR plánujú projekt komplexnej rekonštrukcie železničného zvršku koľaje č. 1 ŽST Šelpice – ŽST Boleráz. Cieľom projektu je zvýšiť bezpečnosť a plynulosť premávky a znížiť prevádzkové náklady.</v>
      </c>
      <c r="D32" s="177" t="str">
        <f>IFERROR(IF(IF(ISBLANK($B32),VLOOKUP($A32,Harmonogram!$A$1:$FA$162,COLUMN(Prehľad!B32)+6,FALSE),VLOOKUP(Prehľad!$B32,Harmonogram!$F$2:$EW$150,COLUMN(Prehľad!B32)+1,FALSE))=0,"",IF(ISBLANK($B32),VLOOKUP($A32,Harmonogram!$A$1:$FA$162,COLUMN(Prehľad!B32)+6,FALSE),VLOOKUP(Prehľad!$B32,Harmonogram!$F$2:$EW$150,COLUMN(Prehľad!B32)+1,FALSE))),"")</f>
        <v>Po vykonaní rekonštrukcie sa predpokladá plná a spoľahlivá funkčnosť železničnej trate a zvýšenie traťovej rýchlosti na 100 km/h. Návrh smerového vedenia trate však vo vybraných úsekoch vyhovuje až do 120 km/h.</v>
      </c>
      <c r="E32" s="204" t="str">
        <f>IFERROR(IF(IF(ISBLANK($B32),VLOOKUP($A32,Harmonogram!$A$1:$FA$162,COLUMN(Prehľad!C32)+6,FALSE),VLOOKUP(Prehľad!$B32,Harmonogram!$F$2:$EW$150,COLUMN(Prehľad!C32)+1,FALSE))=0,"",IF(ISBLANK($B32),VLOOKUP($A32,Harmonogram!$A$1:$FA$162,COLUMN(Prehľad!C32)+6,FALSE),VLOOKUP(Prehľad!$B32,Harmonogram!$F$2:$EW$150,COLUMN(Prehľad!C32)+1,FALSE))),"")</f>
        <v>Hlavná trať ŽSR
RFC 7 - alternatívne trate
Dĺžka(116a)= 66,9km; osôb/deň= 1000; mil.hrtkm/rok=106,2</v>
      </c>
      <c r="F32" s="177">
        <f>IF(ISBLANK(B32),"",IFERROR(VLOOKUP(B32,Harmonogram!$F$3:$EO$97,140,FALSE),"er"))</f>
        <v>4.95</v>
      </c>
      <c r="G32" s="177" t="str">
        <f>IFERROR(IF(IF(ISBLANK($B32),VLOOKUP($A32,Harmonogram!$A$1:$FA$162,COLUMN(Prehľad!D32)+6,FALSE),VLOOKUP(Prehľad!$B32,Harmonogram!$F$2:$EW$150,COLUMN(Prehľad!D32)+1,FALSE))=0,"",IF(ISBLANK($B32),VLOOKUP($A32,Harmonogram!$A$1:$FA$162,COLUMN(Prehľad!D32)+6,FALSE),VLOOKUP(Prehľad!$B32,Harmonogram!$F$2:$EW$150,COLUMN(Prehľad!D32)+1,FALSE))),"")</f>
        <v>1b</v>
      </c>
      <c r="H32" s="250" t="str">
        <f>IFERROR(IF(IF(ISBLANK($B32),VLOOKUP($A32,Harmonogram!$A$1:$FA$162,COLUMN(Prehľad!A32)+11,FALSE),VLOOKUP(Prehľad!$B32,Harmonogram!$F$2:$EW$150,COLUMN(Prehľad!A32)+6,FALSE))=0,"",IF(ISBLANK($B32),VLOOKUP($A32,Harmonogram!$A$1:$FA$162,COLUMN(Prehľad!A32)+11,FALSE),VLOOKUP(Prehľad!$B32,Harmonogram!$F$2:$EW$150,COLUMN(Prehľad!A32)+6,FALSE))),"")</f>
        <v>Príprava VO na realizáciu</v>
      </c>
      <c r="I32" s="260">
        <f>IF(LEN($B32)=0,VLOOKUP($A32,Harmonogram!$A$1:$FA$162,COLUMN(Prehľad!B32)+11,FALSE),VLOOKUP(Prehľad!$B32,Harmonogram!$F$2:$EW$150,COLUMN(Prehľad!B32)+6,FALSE))</f>
        <v>9209420.4100000001</v>
      </c>
      <c r="J32" s="261">
        <f>IF(LEN($B32)=0,VLOOKUP($A32,Harmonogram!$A$1:$FA$162,COLUMN(Prehľad!A32)*12+12,FALSE),VLOOKUP(Prehľad!$B32,Harmonogram!$F$2:$EW$150,COLUMN(Prehľad!A32)*12+7,FALSE))</f>
        <v>197807.93</v>
      </c>
      <c r="K32" s="260">
        <f>IF(LEN($B32)=0,VLOOKUP($A32,Harmonogram!$A$1:$FA$162,COLUMN(Prehľad!B32)*12+12,FALSE),VLOOKUP(Prehľad!$B32,Harmonogram!$F$2:$EW$150,COLUMN(Prehľad!B32)*12+7,FALSE))</f>
        <v>6612.48</v>
      </c>
      <c r="L32" s="260">
        <f>IF(LEN($B32)=0,VLOOKUP($A32,Harmonogram!$A$1:$FA$162,COLUMN(Prehľad!C32)*12+12,FALSE),VLOOKUP(Prehľad!$B32,Harmonogram!$F$2:$EW$150,COLUMN(Prehľad!C32)*12+7,FALSE))</f>
        <v>0</v>
      </c>
      <c r="M32" s="260">
        <f>IF(LEN($B32)=0,VLOOKUP($A32,Harmonogram!$A$1:$FA$162,COLUMN(Prehľad!D32)*12+12,FALSE),VLOOKUP(Prehľad!$B32,Harmonogram!$F$2:$EW$150,COLUMN(Prehľad!D32)*12+7,FALSE))</f>
        <v>3505000</v>
      </c>
      <c r="N32" s="260">
        <f>IF(LEN($B32)=0,VLOOKUP($A32,Harmonogram!$A$1:$FA$162,COLUMN(Prehľad!E32)*12+12,FALSE),VLOOKUP(Prehľad!$B32,Harmonogram!$F$2:$EW$150,COLUMN(Prehľad!E32)*12+7,FALSE))</f>
        <v>5500000</v>
      </c>
      <c r="O32" s="260">
        <f>IF(LEN($B32)=0,VLOOKUP($A32,Harmonogram!$A$1:$FA$162,COLUMN(Prehľad!F32)*12+12,FALSE),VLOOKUP(Prehľad!$B32,Harmonogram!$F$2:$EW$150,COLUMN(Prehľad!F32)*12+7,FALSE))</f>
        <v>0</v>
      </c>
      <c r="P32" s="260">
        <f>IF(LEN($B32)=0,VLOOKUP($A32,Harmonogram!$A$1:$FA$162,COLUMN(Prehľad!G32)*12+12,FALSE),VLOOKUP(Prehľad!$B32,Harmonogram!$F$2:$EW$150,COLUMN(Prehľad!G32)*12+7,FALSE))</f>
        <v>0</v>
      </c>
      <c r="Q32" s="260">
        <f>IF(LEN($B32)=0,VLOOKUP($A32,Harmonogram!$A$1:$FA$162,COLUMN(Prehľad!H32)*12+12,FALSE),VLOOKUP(Prehľad!$B32,Harmonogram!$F$2:$EW$150,COLUMN(Prehľad!H32)*12+7,FALSE))</f>
        <v>0</v>
      </c>
      <c r="R32" s="260">
        <f>IF(LEN($B32)=0,VLOOKUP($A32,Harmonogram!$A$1:$FA$162,COLUMN(Prehľad!I32)*12+12,FALSE),VLOOKUP(Prehľad!$B32,Harmonogram!$F$2:$EW$150,COLUMN(Prehľad!I32)*12+7,FALSE))</f>
        <v>0</v>
      </c>
      <c r="S32" s="260">
        <f>IF(LEN($B32)=0,VLOOKUP($A32,Harmonogram!$A$1:$FA$162,COLUMN(Prehľad!J32)*12+12,FALSE),VLOOKUP(Prehľad!$B32,Harmonogram!$F$2:$EW$150,COLUMN(Prehľad!J32)*12+7,FALSE))</f>
        <v>0</v>
      </c>
      <c r="T32" s="262">
        <f>IF(LEN($B32)=0,VLOOKUP($A32,Harmonogram!$A$1:$FA$162,COLUMN(Prehľad!K32)*12+12,FALSE),VLOOKUP(Prehľad!$B32,Harmonogram!$F$2:$EW$150,COLUMN(Prehľad!K32)*12+7,FALSE))</f>
        <v>0</v>
      </c>
    </row>
    <row r="33" spans="1:33" ht="135" x14ac:dyDescent="0.25">
      <c r="A33" s="240"/>
      <c r="B33" s="203" t="s">
        <v>1017</v>
      </c>
      <c r="C33" s="177" t="str">
        <f>IFERROR(IF(IF(ISBLANK($B33),VLOOKUP($A33,Harmonogram!$A$1:$FA$162,COLUMN(Prehľad!A33)+6,FALSE),VLOOKUP(Prehľad!$B33,Harmonogram!$F$2:$EW$150,COLUMN(Prehľad!A33)+1,FALSE))=0,"",IF(ISBLANK($B33),VLOOKUP($A33,Harmonogram!$A$1:$FA$162,COLUMN(Prehľad!A33)+6,FALSE),VLOOKUP(Prehľad!$B33,Harmonogram!$F$2:$EW$150,COLUMN(Prehľad!A33)+1,FALSE))),"")</f>
        <v>Zrušením Hl. Hronské Kľačany v traťovom úseku NŽST Veľké Kozmálovce – ŽST Levice a vybudovaním nového traťového zabezpečovacieho zariadenia 3. kategórie automatického hradla (AH) Hronské Kľačany so svetelnými návestidlami a ich predzvesťami, vrátane úpravy PZZ v žkm 4,243, kde koľajové obvody a ASE budú nahradené počítačom osí so snímačmi kolies, pričom PZZ v žkm 4,243 bude kryté oddielovými návestidlami vrátane úpravy napojenia odberného miesta na zast. Hronské Kľačany sa zvýši stupeň bezpečnosti a plynulosti železničnej dopravy v uvedenom traťovom úseku bez nároku na zamestnancov – cielená investícia (úspora 5 zamestnancov).</v>
      </c>
      <c r="D33" s="177" t="str">
        <f>IFERROR(IF(IF(ISBLANK($B33),VLOOKUP($A33,Harmonogram!$A$1:$FA$162,COLUMN(Prehľad!B33)+6,FALSE),VLOOKUP(Prehľad!$B33,Harmonogram!$F$2:$EW$150,COLUMN(Prehľad!B33)+1,FALSE))=0,"",IF(ISBLANK($B33),VLOOKUP($A33,Harmonogram!$A$1:$FA$162,COLUMN(Prehľad!B33)+6,FALSE),VLOOKUP(Prehľad!$B33,Harmonogram!$F$2:$EW$150,COLUMN(Prehľad!B33)+1,FALSE))),"")</f>
        <v>Hlavnými prínosmi projektu sú:
- zvýšenie plynulosti a bezpečnosti železničnej dopravy,
- úspora prevádzkových nákladov na zamestnancov (5 zamestnancov),
- zníženie prevádzkových nákladov na údržbu ŽI.</v>
      </c>
      <c r="E33" s="204" t="str">
        <f>IFERROR(IF(IF(ISBLANK($B33),VLOOKUP($A33,Harmonogram!$A$1:$FA$162,COLUMN(Prehľad!C33)+6,FALSE),VLOOKUP(Prehľad!$B33,Harmonogram!$F$2:$EW$150,COLUMN(Prehľad!C33)+1,FALSE))=0,"",IF(ISBLANK($B33),VLOOKUP($A33,Harmonogram!$A$1:$FA$162,COLUMN(Prehľad!C33)+6,FALSE),VLOOKUP(Prehľad!$B33,Harmonogram!$F$2:$EW$150,COLUMN(Prehľad!C33)+1,FALSE))),"")</f>
        <v>TEN-T comprehensive;
Dĺžka(150c)= 77,4km; osôb/deň= 3000; mil.hrtkm/rok=241</v>
      </c>
      <c r="F33" s="177" t="str">
        <f>IF(ISBLANK(B33),"",IFERROR(VLOOKUP(B33,Harmonogram!$F$3:$EO$97,140,FALSE),"er"))</f>
        <v>Stavba do 3 km</v>
      </c>
      <c r="G33" s="177" t="str">
        <f>IFERROR(IF(IF(ISBLANK($B33),VLOOKUP($A33,Harmonogram!$A$1:$FA$162,COLUMN(Prehľad!D33)+6,FALSE),VLOOKUP(Prehľad!$B33,Harmonogram!$F$2:$EW$150,COLUMN(Prehľad!D33)+1,FALSE))=0,"",IF(ISBLANK($B33),VLOOKUP($A33,Harmonogram!$A$1:$FA$162,COLUMN(Prehľad!D33)+6,FALSE),VLOOKUP(Prehľad!$B33,Harmonogram!$F$2:$EW$150,COLUMN(Prehľad!D33)+1,FALSE))),"")</f>
        <v>2a</v>
      </c>
      <c r="H33" s="250" t="str">
        <f>IFERROR(IF(IF(ISBLANK($B33),VLOOKUP($A33,Harmonogram!$A$1:$FA$162,COLUMN(Prehľad!A33)+11,FALSE),VLOOKUP(Prehľad!$B33,Harmonogram!$F$2:$EW$150,COLUMN(Prehľad!A33)+6,FALSE))=0,"",IF(ISBLANK($B33),VLOOKUP($A33,Harmonogram!$A$1:$FA$162,COLUMN(Prehľad!A33)+11,FALSE),VLOOKUP(Prehľad!$B33,Harmonogram!$F$2:$EW$150,COLUMN(Prehľad!A33)+6,FALSE))),"")</f>
        <v>DSPRS/Príprava VO na realizáciu</v>
      </c>
      <c r="I33" s="260">
        <f>IF(LEN($B33)=0,VLOOKUP($A33,Harmonogram!$A$1:$FA$162,COLUMN(Prehľad!B33)+11,FALSE),VLOOKUP(Prehľad!$B33,Harmonogram!$F$2:$EW$150,COLUMN(Prehľad!B33)+6,FALSE))</f>
        <v>15245287.57</v>
      </c>
      <c r="J33" s="261">
        <f>IF(LEN($B33)=0,VLOOKUP($A33,Harmonogram!$A$1:$FA$162,COLUMN(Prehľad!A33)*12+12,FALSE),VLOOKUP(Prehľad!$B33,Harmonogram!$F$2:$EW$150,COLUMN(Prehľad!A33)*12+7,FALSE))</f>
        <v>215312.9</v>
      </c>
      <c r="K33" s="260">
        <f>IF(LEN($B33)=0,VLOOKUP($A33,Harmonogram!$A$1:$FA$162,COLUMN(Prehľad!B33)*12+12,FALSE),VLOOKUP(Prehľad!$B33,Harmonogram!$F$2:$EW$150,COLUMN(Prehľad!B33)*12+7,FALSE))</f>
        <v>14974.67</v>
      </c>
      <c r="L33" s="260">
        <f>IF(LEN($B33)=0,VLOOKUP($A33,Harmonogram!$A$1:$FA$162,COLUMN(Prehľad!C33)*12+12,FALSE),VLOOKUP(Prehľad!$B33,Harmonogram!$F$2:$EW$150,COLUMN(Prehľad!C33)*12+7,FALSE))</f>
        <v>0</v>
      </c>
      <c r="M33" s="260">
        <f>IF(LEN($B33)=0,VLOOKUP($A33,Harmonogram!$A$1:$FA$162,COLUMN(Prehľad!D33)*12+12,FALSE),VLOOKUP(Prehľad!$B33,Harmonogram!$F$2:$EW$150,COLUMN(Prehľad!D33)*12+7,FALSE))</f>
        <v>15015000</v>
      </c>
      <c r="N33" s="260">
        <f>IF(LEN($B33)=0,VLOOKUP($A33,Harmonogram!$A$1:$FA$162,COLUMN(Prehľad!E33)*12+12,FALSE),VLOOKUP(Prehľad!$B33,Harmonogram!$F$2:$EW$150,COLUMN(Prehľad!E33)*12+7,FALSE))</f>
        <v>0</v>
      </c>
      <c r="O33" s="260">
        <f>IF(LEN($B33)=0,VLOOKUP($A33,Harmonogram!$A$1:$FA$162,COLUMN(Prehľad!F33)*12+12,FALSE),VLOOKUP(Prehľad!$B33,Harmonogram!$F$2:$EW$150,COLUMN(Prehľad!F33)*12+7,FALSE))</f>
        <v>0</v>
      </c>
      <c r="P33" s="260">
        <f>IF(LEN($B33)=0,VLOOKUP($A33,Harmonogram!$A$1:$FA$162,COLUMN(Prehľad!G33)*12+12,FALSE),VLOOKUP(Prehľad!$B33,Harmonogram!$F$2:$EW$150,COLUMN(Prehľad!G33)*12+7,FALSE))</f>
        <v>0</v>
      </c>
      <c r="Q33" s="260">
        <f>IF(LEN($B33)=0,VLOOKUP($A33,Harmonogram!$A$1:$FA$162,COLUMN(Prehľad!H33)*12+12,FALSE),VLOOKUP(Prehľad!$B33,Harmonogram!$F$2:$EW$150,COLUMN(Prehľad!H33)*12+7,FALSE))</f>
        <v>0</v>
      </c>
      <c r="R33" s="260">
        <f>IF(LEN($B33)=0,VLOOKUP($A33,Harmonogram!$A$1:$FA$162,COLUMN(Prehľad!I33)*12+12,FALSE),VLOOKUP(Prehľad!$B33,Harmonogram!$F$2:$EW$150,COLUMN(Prehľad!I33)*12+7,FALSE))</f>
        <v>0</v>
      </c>
      <c r="S33" s="260">
        <f>IF(LEN($B33)=0,VLOOKUP($A33,Harmonogram!$A$1:$FA$162,COLUMN(Prehľad!J33)*12+12,FALSE),VLOOKUP(Prehľad!$B33,Harmonogram!$F$2:$EW$150,COLUMN(Prehľad!J33)*12+7,FALSE))</f>
        <v>0</v>
      </c>
      <c r="T33" s="262">
        <f>IF(LEN($B33)=0,VLOOKUP($A33,Harmonogram!$A$1:$FA$162,COLUMN(Prehľad!K33)*12+12,FALSE),VLOOKUP(Prehľad!$B33,Harmonogram!$F$2:$EW$150,COLUMN(Prehľad!K33)*12+7,FALSE))</f>
        <v>0</v>
      </c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3" ht="75" x14ac:dyDescent="0.25">
      <c r="A34" s="203"/>
      <c r="B34" s="203" t="s">
        <v>1046</v>
      </c>
      <c r="C34" s="177" t="str">
        <f>IFERROR(IF(IF(ISBLANK($B34),VLOOKUP($A34,Harmonogram!$A$1:$FA$162,COLUMN(Prehľad!A34)+6,FALSE),VLOOKUP(Prehľad!$B34,Harmonogram!$F$2:$EW$150,COLUMN(Prehľad!A34)+1,FALSE))=0,"",IF(ISBLANK($B34),VLOOKUP($A34,Harmonogram!$A$1:$FA$162,COLUMN(Prehľad!A34)+6,FALSE),VLOOKUP(Prehľad!$B34,Harmonogram!$F$2:$EW$150,COLUMN(Prehľad!A34)+1,FALSE))),"")</f>
        <v>V potrebnom rozsahu sa zrekonštruuje železničný zvršok, železničný spodok, zároveň sa odvodní železničná trať.</v>
      </c>
      <c r="D34" s="177" t="str">
        <f>IFERROR(IF(IF(ISBLANK($B34),VLOOKUP($A34,Harmonogram!$A$1:$FA$162,COLUMN(Prehľad!B34)+6,FALSE),VLOOKUP(Prehľad!$B34,Harmonogram!$F$2:$EW$150,COLUMN(Prehľad!B34)+1,FALSE))=0,"",IF(ISBLANK($B34),VLOOKUP($A34,Harmonogram!$A$1:$FA$162,COLUMN(Prehľad!B34)+6,FALSE),VLOOKUP(Prehľad!$B34,Harmonogram!$F$2:$EW$150,COLUMN(Prehľad!B34)+1,FALSE))),"")</f>
        <v>Zvýšenie bezpečnosti a plynulosti prevádzky, zvýšenie komfortu cestujúcich, zníženie nákladov na údržbu, dosiahnutie normového stavu, odstránenie obmedzenia traťovej rýchlosti na koľaji č.3.</v>
      </c>
      <c r="E34" s="204" t="str">
        <f>IFERROR(IF(IF(ISBLANK($B34),VLOOKUP($A34,Harmonogram!$A$1:$FA$162,COLUMN(Prehľad!C34)+6,FALSE),VLOOKUP(Prehľad!$B34,Harmonogram!$F$2:$EW$150,COLUMN(Prehľad!C34)+1,FALSE))=0,"",IF(ISBLANK($B34),VLOOKUP($A34,Harmonogram!$A$1:$FA$162,COLUMN(Prehľad!C34)+6,FALSE),VLOOKUP(Prehľad!$B34,Harmonogram!$F$2:$EW$150,COLUMN(Prehľad!C34)+1,FALSE))),"")</f>
        <v>TEN-T core;
RFC 7 - hlavná trať
RFC 11 - hlavná trať
Dĺžka(135a)= 31,4km; osôb/deň= 2000; mil.hrtkm/rok=118,5</v>
      </c>
      <c r="F34" s="177" t="str">
        <f>IF(ISBLANK(B34),"",IFERROR(VLOOKUP(B34,Harmonogram!$F$3:$EO$97,140,FALSE),"er"))</f>
        <v>Stavba do 3 km; (0,701)</v>
      </c>
      <c r="G34" s="177" t="str">
        <f>IFERROR(IF(IF(ISBLANK($B34),VLOOKUP($A34,Harmonogram!$A$1:$FA$162,COLUMN(Prehľad!D34)+6,FALSE),VLOOKUP(Prehľad!$B34,Harmonogram!$F$2:$EW$150,COLUMN(Prehľad!D34)+1,FALSE))=0,"",IF(ISBLANK($B34),VLOOKUP($A34,Harmonogram!$A$1:$FA$162,COLUMN(Prehľad!D34)+6,FALSE),VLOOKUP(Prehľad!$B34,Harmonogram!$F$2:$EW$150,COLUMN(Prehľad!D34)+1,FALSE))),"")</f>
        <v>1b</v>
      </c>
      <c r="H34" s="250" t="str">
        <f>IFERROR(IF(IF(ISBLANK($B34),VLOOKUP($A34,Harmonogram!$A$1:$FA$162,COLUMN(Prehľad!A34)+11,FALSE),VLOOKUP(Prehľad!$B34,Harmonogram!$F$2:$EW$150,COLUMN(Prehľad!A34)+6,FALSE))=0,"",IF(ISBLANK($B34),VLOOKUP($A34,Harmonogram!$A$1:$FA$162,COLUMN(Prehľad!A34)+11,FALSE),VLOOKUP(Prehľad!$B34,Harmonogram!$F$2:$EW$150,COLUMN(Prehľad!A34)+6,FALSE))),"")</f>
        <v>Príprava VO na realizáciu</v>
      </c>
      <c r="I34" s="260">
        <f>IF(LEN($B34)=0,VLOOKUP($A34,Harmonogram!$A$1:$FA$162,COLUMN(Prehľad!B34)+11,FALSE),VLOOKUP(Prehľad!$B34,Harmonogram!$F$2:$EW$150,COLUMN(Prehľad!B34)+6,FALSE))</f>
        <v>415250</v>
      </c>
      <c r="J34" s="261">
        <f>IF(LEN($B34)=0,VLOOKUP($A34,Harmonogram!$A$1:$FA$162,COLUMN(Prehľad!A34)*12+12,FALSE),VLOOKUP(Prehľad!$B34,Harmonogram!$F$2:$EW$150,COLUMN(Prehľad!A34)*12+7,FALSE))</f>
        <v>55051.78</v>
      </c>
      <c r="K34" s="260">
        <f>IF(LEN($B34)=0,VLOOKUP($A34,Harmonogram!$A$1:$FA$162,COLUMN(Prehľad!B34)*12+12,FALSE),VLOOKUP(Prehľad!$B34,Harmonogram!$F$2:$EW$150,COLUMN(Prehľad!B34)*12+7,FALSE))</f>
        <v>250</v>
      </c>
      <c r="L34" s="260">
        <f>IF(LEN($B34)=0,VLOOKUP($A34,Harmonogram!$A$1:$FA$162,COLUMN(Prehľad!C34)*12+12,FALSE),VLOOKUP(Prehľad!$B34,Harmonogram!$F$2:$EW$150,COLUMN(Prehľad!C34)*12+7,FALSE))</f>
        <v>0</v>
      </c>
      <c r="M34" s="260">
        <f>IF(LEN($B34)=0,VLOOKUP($A34,Harmonogram!$A$1:$FA$162,COLUMN(Prehľad!D34)*12+12,FALSE),VLOOKUP(Prehľad!$B34,Harmonogram!$F$2:$EW$150,COLUMN(Prehľad!D34)*12+7,FALSE))</f>
        <v>0</v>
      </c>
      <c r="N34" s="260">
        <f>IF(LEN($B34)=0,VLOOKUP($A34,Harmonogram!$A$1:$FA$162,COLUMN(Prehľad!E34)*12+12,FALSE),VLOOKUP(Prehľad!$B34,Harmonogram!$F$2:$EW$150,COLUMN(Prehľad!E34)*12+7,FALSE))</f>
        <v>359948.22</v>
      </c>
      <c r="O34" s="260">
        <f>IF(LEN($B34)=0,VLOOKUP($A34,Harmonogram!$A$1:$FA$162,COLUMN(Prehľad!F34)*12+12,FALSE),VLOOKUP(Prehľad!$B34,Harmonogram!$F$2:$EW$150,COLUMN(Prehľad!F34)*12+7,FALSE))</f>
        <v>0</v>
      </c>
      <c r="P34" s="260">
        <f>IF(LEN($B34)=0,VLOOKUP($A34,Harmonogram!$A$1:$FA$162,COLUMN(Prehľad!G34)*12+12,FALSE),VLOOKUP(Prehľad!$B34,Harmonogram!$F$2:$EW$150,COLUMN(Prehľad!G34)*12+7,FALSE))</f>
        <v>0</v>
      </c>
      <c r="Q34" s="260">
        <f>IF(LEN($B34)=0,VLOOKUP($A34,Harmonogram!$A$1:$FA$162,COLUMN(Prehľad!H34)*12+12,FALSE),VLOOKUP(Prehľad!$B34,Harmonogram!$F$2:$EW$150,COLUMN(Prehľad!H34)*12+7,FALSE))</f>
        <v>0</v>
      </c>
      <c r="R34" s="260">
        <f>IF(LEN($B34)=0,VLOOKUP($A34,Harmonogram!$A$1:$FA$162,COLUMN(Prehľad!I34)*12+12,FALSE),VLOOKUP(Prehľad!$B34,Harmonogram!$F$2:$EW$150,COLUMN(Prehľad!I34)*12+7,FALSE))</f>
        <v>0</v>
      </c>
      <c r="S34" s="260">
        <f>IF(LEN($B34)=0,VLOOKUP($A34,Harmonogram!$A$1:$FA$162,COLUMN(Prehľad!J34)*12+12,FALSE),VLOOKUP(Prehľad!$B34,Harmonogram!$F$2:$EW$150,COLUMN(Prehľad!J34)*12+7,FALSE))</f>
        <v>0</v>
      </c>
      <c r="T34" s="262">
        <f>IF(LEN($B34)=0,VLOOKUP($A34,Harmonogram!$A$1:$FA$162,COLUMN(Prehľad!K34)*12+12,FALSE),VLOOKUP(Prehľad!$B34,Harmonogram!$F$2:$EW$150,COLUMN(Prehľad!K34)*12+7,FALSE))</f>
        <v>0</v>
      </c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  <row r="35" spans="1:33" ht="135" x14ac:dyDescent="0.25">
      <c r="A35" s="240"/>
      <c r="B35" s="203" t="s">
        <v>1028</v>
      </c>
      <c r="C35" s="177" t="str">
        <f>IFERROR(IF(IF(ISBLANK($B35),VLOOKUP($A35,Harmonogram!$A$1:$FA$162,COLUMN(Prehľad!A35)+6,FALSE),VLOOKUP(Prehľad!$B35,Harmonogram!$F$2:$EW$150,COLUMN(Prehľad!A35)+1,FALSE))=0,"",IF(ISBLANK($B35),VLOOKUP($A35,Harmonogram!$A$1:$FA$162,COLUMN(Prehľad!A35)+6,FALSE),VLOOKUP(Prehľad!$B35,Harmonogram!$F$2:$EW$150,COLUMN(Prehľad!A35)+1,FALSE))),"")</f>
        <v>Komplexná rekonštrukcia mosta spočíva v realizácii nového jednopoľového trámového mosta stuženého oblúkom v novej polohe rovnobežnej s jestvujúcim mostom s posunom osovej vzdialenosti 8 m a s novou výškovou polohou. Súčasťou plánovacích prác sú aj úpravy priľahlých úsekov žel. trate, rekonštrukcia dvoch úrovňových krížení a preložky inžinierskych sietí.</v>
      </c>
      <c r="D35" s="177" t="str">
        <f>IFERROR(IF(IF(ISBLANK($B35),VLOOKUP($A35,Harmonogram!$A$1:$FA$162,COLUMN(Prehľad!B35)+6,FALSE),VLOOKUP(Prehľad!$B35,Harmonogram!$F$2:$EW$150,COLUMN(Prehľad!B35)+1,FALSE))=0,"",IF(ISBLANK($B35),VLOOKUP($A35,Harmonogram!$A$1:$FA$162,COLUMN(Prehľad!B35)+6,FALSE),VLOOKUP(Prehľad!$B35,Harmonogram!$F$2:$EW$150,COLUMN(Prehľad!B35)+1,FALSE))),"")</f>
        <v>Realizáciou projektu
- bude zapezpečené zachovanie prevádzkyschopnosti trate,
- požadované parametre rýchlosti prechodu vlakov a priepustnosti dotknutého úseku,
- zvýši sa komfort cestujúcej verejnosti,
- zvýši sa bezpečnosť a plynulosť ŽD,
- zrušia sa obmedzenia pre ND v tomto úseku,
- znížia sa prevádzkové náklady na údržbu a opravu mosta a priľahlého úseku.</v>
      </c>
      <c r="E35" s="204" t="str">
        <f>IFERROR(IF(IF(ISBLANK($B35),VLOOKUP($A35,Harmonogram!$A$1:$FA$162,COLUMN(Prehľad!C35)+6,FALSE),VLOOKUP(Prehľad!$B35,Harmonogram!$F$2:$EW$150,COLUMN(Prehľad!C35)+1,FALSE))=0,"",IF(ISBLANK($B35),VLOOKUP($A35,Harmonogram!$A$1:$FA$162,COLUMN(Prehľad!C35)+6,FALSE),VLOOKUP(Prehľad!$B35,Harmonogram!$F$2:$EW$150,COLUMN(Prehľad!C35)+1,FALSE))),"")</f>
        <v>Hlavná trať ŽSR
RFC 5 - prípojná trať
RFC 7 - prípojná trať
RFC 11 - prípojná trať
Dĺžka(131a)= 21,1km; osôb/deň= 9000; mil.hrtkm/rok=88,6</v>
      </c>
      <c r="F35" s="177" t="str">
        <f>IF(ISBLANK(B35),"",IFERROR(VLOOKUP(B35,Harmonogram!$F$3:$EO$97,140,FALSE),"er"))</f>
        <v>Stavba do 3 km</v>
      </c>
      <c r="G35" s="177" t="str">
        <f>IFERROR(IF(IF(ISBLANK($B35),VLOOKUP($A35,Harmonogram!$A$1:$FA$162,COLUMN(Prehľad!D35)+6,FALSE),VLOOKUP(Prehľad!$B35,Harmonogram!$F$2:$EW$150,COLUMN(Prehľad!D35)+1,FALSE))=0,"",IF(ISBLANK($B35),VLOOKUP($A35,Harmonogram!$A$1:$FA$162,COLUMN(Prehľad!D35)+6,FALSE),VLOOKUP(Prehľad!$B35,Harmonogram!$F$2:$EW$150,COLUMN(Prehľad!D35)+1,FALSE))),"")</f>
        <v>1b</v>
      </c>
      <c r="H35" s="250" t="str">
        <f>IFERROR(IF(IF(ISBLANK($B35),VLOOKUP($A35,Harmonogram!$A$1:$FA$162,COLUMN(Prehľad!A35)+11,FALSE),VLOOKUP(Prehľad!$B35,Harmonogram!$F$2:$EW$150,COLUMN(Prehľad!A35)+6,FALSE))=0,"",IF(ISBLANK($B35),VLOOKUP($A35,Harmonogram!$A$1:$FA$162,COLUMN(Prehľad!A35)+11,FALSE),VLOOKUP(Prehľad!$B35,Harmonogram!$F$2:$EW$150,COLUMN(Prehľad!A35)+6,FALSE))),"")</f>
        <v>Príprava VO</v>
      </c>
      <c r="I35" s="260">
        <f>IF(LEN($B35)=0,VLOOKUP($A35,Harmonogram!$A$1:$FA$162,COLUMN(Prehľad!B35)+11,FALSE),VLOOKUP(Prehľad!$B35,Harmonogram!$F$2:$EW$150,COLUMN(Prehľad!B35)+6,FALSE))</f>
        <v>11168279.369999999</v>
      </c>
      <c r="J35" s="261">
        <f>IF(LEN($B35)=0,VLOOKUP($A35,Harmonogram!$A$1:$FA$162,COLUMN(Prehľad!A35)*12+12,FALSE),VLOOKUP(Prehľad!$B35,Harmonogram!$F$2:$EW$150,COLUMN(Prehľad!A35)*12+7,FALSE))</f>
        <v>3159270.2199999997</v>
      </c>
      <c r="K35" s="260">
        <f>IF(LEN($B35)=0,VLOOKUP($A35,Harmonogram!$A$1:$FA$162,COLUMN(Prehľad!B35)*12+12,FALSE),VLOOKUP(Prehľad!$B35,Harmonogram!$F$2:$EW$150,COLUMN(Prehľad!B35)*12+7,FALSE))</f>
        <v>9009.15</v>
      </c>
      <c r="L35" s="260">
        <f>IF(LEN($B35)=0,VLOOKUP($A35,Harmonogram!$A$1:$FA$162,COLUMN(Prehľad!C35)*12+12,FALSE),VLOOKUP(Prehľad!$B35,Harmonogram!$F$2:$EW$150,COLUMN(Prehľad!C35)*12+7,FALSE))</f>
        <v>0</v>
      </c>
      <c r="M35" s="260">
        <f>IF(LEN($B35)=0,VLOOKUP($A35,Harmonogram!$A$1:$FA$162,COLUMN(Prehľad!D35)*12+12,FALSE),VLOOKUP(Prehľad!$B35,Harmonogram!$F$2:$EW$150,COLUMN(Prehľad!D35)*12+7,FALSE))</f>
        <v>2000000</v>
      </c>
      <c r="N35" s="260">
        <f>IF(LEN($B35)=0,VLOOKUP($A35,Harmonogram!$A$1:$FA$162,COLUMN(Prehľad!E35)*12+12,FALSE),VLOOKUP(Prehľad!$B35,Harmonogram!$F$2:$EW$150,COLUMN(Prehľad!E35)*12+7,FALSE))</f>
        <v>6000000</v>
      </c>
      <c r="O35" s="260">
        <f>IF(LEN($B35)=0,VLOOKUP($A35,Harmonogram!$A$1:$FA$162,COLUMN(Prehľad!F35)*12+12,FALSE),VLOOKUP(Prehľad!$B35,Harmonogram!$F$2:$EW$150,COLUMN(Prehľad!F35)*12+7,FALSE))</f>
        <v>0</v>
      </c>
      <c r="P35" s="260">
        <f>IF(LEN($B35)=0,VLOOKUP($A35,Harmonogram!$A$1:$FA$162,COLUMN(Prehľad!G35)*12+12,FALSE),VLOOKUP(Prehľad!$B35,Harmonogram!$F$2:$EW$150,COLUMN(Prehľad!G35)*12+7,FALSE))</f>
        <v>0</v>
      </c>
      <c r="Q35" s="260">
        <f>IF(LEN($B35)=0,VLOOKUP($A35,Harmonogram!$A$1:$FA$162,COLUMN(Prehľad!H35)*12+12,FALSE),VLOOKUP(Prehľad!$B35,Harmonogram!$F$2:$EW$150,COLUMN(Prehľad!H35)*12+7,FALSE))</f>
        <v>0</v>
      </c>
      <c r="R35" s="260">
        <f>IF(LEN($B35)=0,VLOOKUP($A35,Harmonogram!$A$1:$FA$162,COLUMN(Prehľad!I35)*12+12,FALSE),VLOOKUP(Prehľad!$B35,Harmonogram!$F$2:$EW$150,COLUMN(Prehľad!I35)*12+7,FALSE))</f>
        <v>0</v>
      </c>
      <c r="S35" s="260">
        <f>IF(LEN($B35)=0,VLOOKUP($A35,Harmonogram!$A$1:$FA$162,COLUMN(Prehľad!J35)*12+12,FALSE),VLOOKUP(Prehľad!$B35,Harmonogram!$F$2:$EW$150,COLUMN(Prehľad!J35)*12+7,FALSE))</f>
        <v>0</v>
      </c>
      <c r="T35" s="262">
        <f>IF(LEN($B35)=0,VLOOKUP($A35,Harmonogram!$A$1:$FA$162,COLUMN(Prehľad!K35)*12+12,FALSE),VLOOKUP(Prehľad!$B35,Harmonogram!$F$2:$EW$150,COLUMN(Prehľad!K35)*12+7,FALSE))</f>
        <v>0</v>
      </c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</row>
    <row r="36" spans="1:33" ht="195" x14ac:dyDescent="0.25">
      <c r="A36" s="240"/>
      <c r="B36" s="203" t="s">
        <v>1016</v>
      </c>
      <c r="C36" s="177" t="str">
        <f>IFERROR(IF(IF(ISBLANK($B36),VLOOKUP($A36,Harmonogram!$A$1:$FA$162,COLUMN(Prehľad!A36)+6,FALSE),VLOOKUP(Prehľad!$B36,Harmonogram!$F$2:$EW$150,COLUMN(Prehľad!A36)+1,FALSE))=0,"",IF(ISBLANK($B36),VLOOKUP($A36,Harmonogram!$A$1:$FA$162,COLUMN(Prehľad!A36)+6,FALSE),VLOOKUP(Prehľad!$B36,Harmonogram!$F$2:$EW$150,COLUMN(Prehľad!A36)+1,FALSE))),"")</f>
        <v>Dôvodom navrhovanej rekonštrukcie traťových koľají č. 1 a č. 2 v km 6,239 – 10,552 je dosiahnutie vyššieho kvalitatívneho štandardu osobnej i nákladnej dopravy, zaistenie bezpečnosti železničnej dopravy a zníženie rozsahu údržby železničného zvršku a odstránenie TOTR. Účelom stavby je zlepšenie technického stavu železničného zvršku a spodku, predĺženie jeho životnosti a zabezpečenie štandardu pre cestujúcich v súlade s platnou legislatívou.</v>
      </c>
      <c r="D36" s="177" t="str">
        <f>IFERROR(IF(IF(ISBLANK($B36),VLOOKUP($A36,Harmonogram!$A$1:$FA$162,COLUMN(Prehľad!B36)+6,FALSE),VLOOKUP(Prehľad!$B36,Harmonogram!$F$2:$EW$150,COLUMN(Prehľad!B36)+1,FALSE))=0,"",IF(ISBLANK($B36),VLOOKUP($A36,Harmonogram!$A$1:$FA$162,COLUMN(Prehľad!B36)+6,FALSE),VLOOKUP(Prehľad!$B36,Harmonogram!$F$2:$EW$150,COLUMN(Prehľad!B36)+1,FALSE))),"")</f>
        <v>Rekonštrukcia traťových koľají č. 1 a č. 2 v úseku medzi ŽST Bratislava Nové Mesto a ŽST Bratislava ÚNS je navrhnutá z dôvodu prevádzkového opotrebovania a jej hlavným cieľom je zaistiť dlhodobú bezpečnosť železničnej prevádzky v danom úseku. Rekonštrukcia bude mať priaznivý dopad aj na zníženie prevádzkových nákladov v ďalších rokoch.Rekonštrukcia železničného spodku a zvršku vrátane rekonštrukcie priecestí. Rekonštrukcia zahŕňa:  rekonštrukcia mostných objektov, rekonštrukcia trakčného vedenia vrátane úpravy DOO, úprava rozvodov nn, nová káblová chráničková trasa, úprava komunikácií v styku s priecestiami, preložky a ochrana sietí oznamovacích zariadení ŽSR, preložky a ochrana slaboprúdových vedení cudzích správcov, úprava zabezpečovacieho zariadenia úpravy zabezpečovacích zariadení na priecestiach úpravy oznamovacích zariadení.</v>
      </c>
      <c r="E36" s="204" t="str">
        <f>IFERROR(IF(IF(ISBLANK($B36),VLOOKUP($A36,Harmonogram!$A$1:$FA$162,COLUMN(Prehľad!C36)+6,FALSE),VLOOKUP(Prehľad!$B36,Harmonogram!$F$2:$EW$150,COLUMN(Prehľad!C36)+1,FALSE))=0,"",IF(ISBLANK($B36),VLOOKUP($A36,Harmonogram!$A$1:$FA$162,COLUMN(Prehľad!C36)+6,FALSE),VLOOKUP(Prehľad!$B36,Harmonogram!$F$2:$EW$150,COLUMN(Prehľad!C36)+1,FALSE))),"")</f>
        <v>TEN-T core;
RFC 5 - hlavná trať
RFC 7 - hlavná trať
RFC 11 - hlavná trať
Dĺžka(BAV)= 24,9km; osôb/deň= 9000; mil.hrtkm/rok=292,2</v>
      </c>
      <c r="F36" s="177">
        <f>IF(ISBLANK(B36),"",IFERROR(VLOOKUP(B36,Harmonogram!$F$3:$EO$97,140,FALSE),"er"))</f>
        <v>6.1660000000000004</v>
      </c>
      <c r="G36" s="177" t="str">
        <f>IFERROR(IF(IF(ISBLANK($B36),VLOOKUP($A36,Harmonogram!$A$1:$FA$162,COLUMN(Prehľad!D36)+6,FALSE),VLOOKUP(Prehľad!$B36,Harmonogram!$F$2:$EW$150,COLUMN(Prehľad!D36)+1,FALSE))=0,"",IF(ISBLANK($B36),VLOOKUP($A36,Harmonogram!$A$1:$FA$162,COLUMN(Prehľad!D36)+6,FALSE),VLOOKUP(Prehľad!$B36,Harmonogram!$F$2:$EW$150,COLUMN(Prehľad!D36)+1,FALSE))),"")</f>
        <v>1b</v>
      </c>
      <c r="H36" s="250" t="str">
        <f>IFERROR(IF(IF(ISBLANK($B36),VLOOKUP($A36,Harmonogram!$A$1:$FA$162,COLUMN(Prehľad!A36)+11,FALSE),VLOOKUP(Prehľad!$B36,Harmonogram!$F$2:$EW$150,COLUMN(Prehľad!A36)+6,FALSE))=0,"",IF(ISBLANK($B36),VLOOKUP($A36,Harmonogram!$A$1:$FA$162,COLUMN(Prehľad!A36)+11,FALSE),VLOOKUP(Prehľad!$B36,Harmonogram!$F$2:$EW$150,COLUMN(Prehľad!A36)+6,FALSE))),"")</f>
        <v>Príprava VO na realizáciu</v>
      </c>
      <c r="I36" s="260">
        <f>IF(LEN($B36)=0,VLOOKUP($A36,Harmonogram!$A$1:$FA$162,COLUMN(Prehľad!B36)+11,FALSE),VLOOKUP(Prehľad!$B36,Harmonogram!$F$2:$EW$150,COLUMN(Prehľad!B36)+6,FALSE))</f>
        <v>15702471.629999999</v>
      </c>
      <c r="J36" s="261">
        <f>IF(LEN($B36)=0,VLOOKUP($A36,Harmonogram!$A$1:$FA$162,COLUMN(Prehľad!A36)*12+12,FALSE),VLOOKUP(Prehľad!$B36,Harmonogram!$F$2:$EW$150,COLUMN(Prehľad!A36)*12+7,FALSE))</f>
        <v>167263.20000000001</v>
      </c>
      <c r="K36" s="260">
        <f>IF(LEN($B36)=0,VLOOKUP($A36,Harmonogram!$A$1:$FA$162,COLUMN(Prehľad!B36)*12+12,FALSE),VLOOKUP(Prehľad!$B36,Harmonogram!$F$2:$EW$150,COLUMN(Prehľad!B36)*12+7,FALSE))</f>
        <v>0</v>
      </c>
      <c r="L36" s="260">
        <f>IF(LEN($B36)=0,VLOOKUP($A36,Harmonogram!$A$1:$FA$162,COLUMN(Prehľad!C36)*12+12,FALSE),VLOOKUP(Prehľad!$B36,Harmonogram!$F$2:$EW$150,COLUMN(Prehľad!C36)*12+7,FALSE))</f>
        <v>0</v>
      </c>
      <c r="M36" s="260">
        <f>IF(LEN($B36)=0,VLOOKUP($A36,Harmonogram!$A$1:$FA$162,COLUMN(Prehľad!D36)*12+12,FALSE),VLOOKUP(Prehľad!$B36,Harmonogram!$F$2:$EW$150,COLUMN(Prehľad!D36)*12+7,FALSE))</f>
        <v>5749090.0199999996</v>
      </c>
      <c r="N36" s="260">
        <f>IF(LEN($B36)=0,VLOOKUP($A36,Harmonogram!$A$1:$FA$162,COLUMN(Prehľad!E36)*12+12,FALSE),VLOOKUP(Prehľad!$B36,Harmonogram!$F$2:$EW$150,COLUMN(Prehľad!E36)*12+7,FALSE))</f>
        <v>9786118.4100000001</v>
      </c>
      <c r="O36" s="260">
        <f>IF(LEN($B36)=0,VLOOKUP($A36,Harmonogram!$A$1:$FA$162,COLUMN(Prehľad!F36)*12+12,FALSE),VLOOKUP(Prehľad!$B36,Harmonogram!$F$2:$EW$150,COLUMN(Prehľad!F36)*12+7,FALSE))</f>
        <v>0</v>
      </c>
      <c r="P36" s="260">
        <f>IF(LEN($B36)=0,VLOOKUP($A36,Harmonogram!$A$1:$FA$162,COLUMN(Prehľad!G36)*12+12,FALSE),VLOOKUP(Prehľad!$B36,Harmonogram!$F$2:$EW$150,COLUMN(Prehľad!G36)*12+7,FALSE))</f>
        <v>0</v>
      </c>
      <c r="Q36" s="260">
        <f>IF(LEN($B36)=0,VLOOKUP($A36,Harmonogram!$A$1:$FA$162,COLUMN(Prehľad!H36)*12+12,FALSE),VLOOKUP(Prehľad!$B36,Harmonogram!$F$2:$EW$150,COLUMN(Prehľad!H36)*12+7,FALSE))</f>
        <v>0</v>
      </c>
      <c r="R36" s="260">
        <f>IF(LEN($B36)=0,VLOOKUP($A36,Harmonogram!$A$1:$FA$162,COLUMN(Prehľad!I36)*12+12,FALSE),VLOOKUP(Prehľad!$B36,Harmonogram!$F$2:$EW$150,COLUMN(Prehľad!I36)*12+7,FALSE))</f>
        <v>0</v>
      </c>
      <c r="S36" s="260">
        <f>IF(LEN($B36)=0,VLOOKUP($A36,Harmonogram!$A$1:$FA$162,COLUMN(Prehľad!J36)*12+12,FALSE),VLOOKUP(Prehľad!$B36,Harmonogram!$F$2:$EW$150,COLUMN(Prehľad!J36)*12+7,FALSE))</f>
        <v>0</v>
      </c>
      <c r="T36" s="262">
        <f>IF(LEN($B36)=0,VLOOKUP($A36,Harmonogram!$A$1:$FA$162,COLUMN(Prehľad!K36)*12+12,FALSE),VLOOKUP(Prehľad!$B36,Harmonogram!$F$2:$EW$150,COLUMN(Prehľad!K36)*12+7,FALSE))</f>
        <v>0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</row>
    <row r="37" spans="1:33" ht="75" x14ac:dyDescent="0.25">
      <c r="A37" s="240"/>
      <c r="B37" s="203" t="s">
        <v>1184</v>
      </c>
      <c r="C37" s="177" t="str">
        <f>IFERROR(IF(IF(ISBLANK($B37),VLOOKUP($A37,Harmonogram!$A$1:$FA$162,COLUMN(Prehľad!A37)+6,FALSE),VLOOKUP(Prehľad!$B37,Harmonogram!$F$2:$EW$150,COLUMN(Prehľad!A37)+1,FALSE))=0,"",IF(ISBLANK($B37),VLOOKUP($A37,Harmonogram!$A$1:$FA$162,COLUMN(Prehľad!A37)+6,FALSE),VLOOKUP(Prehľad!$B37,Harmonogram!$F$2:$EW$150,COLUMN(Prehľad!A37)+1,FALSE))),"")</f>
        <v>Revitalizácia trate</v>
      </c>
      <c r="D37" s="177" t="str">
        <f>IFERROR(IF(IF(ISBLANK($B37),VLOOKUP($A37,Harmonogram!$A$1:$FA$162,COLUMN(Prehľad!B37)+6,FALSE),VLOOKUP(Prehľad!$B37,Harmonogram!$F$2:$EW$150,COLUMN(Prehľad!B37)+1,FALSE))=0,"",IF(ISBLANK($B37),VLOOKUP($A37,Harmonogram!$A$1:$FA$162,COLUMN(Prehľad!B37)+6,FALSE),VLOOKUP(Prehľad!$B37,Harmonogram!$F$2:$EW$150,COLUMN(Prehľad!B37)+1,FALSE))),"")</f>
        <v>Zvýšenie bezpečnosti a plynulosti železničnej dopravy, skrátenie jazdnej doby vlakov a úspora prevádzkových nákladov.</v>
      </c>
      <c r="E37" s="204" t="str">
        <f>IFERROR(IF(IF(ISBLANK($B37),VLOOKUP($A37,Harmonogram!$A$1:$FA$162,COLUMN(Prehľad!C37)+6,FALSE),VLOOKUP(Prehľad!$B37,Harmonogram!$F$2:$EW$150,COLUMN(Prehľad!C37)+1,FALSE))=0,"",IF(ISBLANK($B37),VLOOKUP($A37,Harmonogram!$A$1:$FA$162,COLUMN(Prehľad!C37)+6,FALSE),VLOOKUP(Prehľad!$B37,Harmonogram!$F$2:$EW$150,COLUMN(Prehľad!C37)+1,FALSE))),"")</f>
        <v>TEN-T core;
RFC 5 - alternatívna trať
RFC 7 - hlavná trať
Dĺžka(BAZ)= 16,4km; osôb/deň= 11000; mil.hrtkm/rok=301,3</v>
      </c>
      <c r="F37" s="177" t="str">
        <f>IF(ISBLANK(B37),"",IFERROR(VLOOKUP(B37,Harmonogram!$F$3:$EO$97,140,FALSE),"er"))</f>
        <v>Stavba do 3 km</v>
      </c>
      <c r="G37" s="177" t="str">
        <f>IFERROR(IF(IF(ISBLANK($B37),VLOOKUP($A37,Harmonogram!$A$1:$FA$162,COLUMN(Prehľad!D37)+6,FALSE),VLOOKUP(Prehľad!$B37,Harmonogram!$F$2:$EW$150,COLUMN(Prehľad!D37)+1,FALSE))=0,"",IF(ISBLANK($B37),VLOOKUP($A37,Harmonogram!$A$1:$FA$162,COLUMN(Prehľad!D37)+6,FALSE),VLOOKUP(Prehľad!$B37,Harmonogram!$F$2:$EW$150,COLUMN(Prehľad!D37)+1,FALSE))),"")</f>
        <v>1b</v>
      </c>
      <c r="H37" s="250" t="str">
        <f>IFERROR(IF(IF(ISBLANK($B37),VLOOKUP($A37,Harmonogram!$A$1:$FA$162,COLUMN(Prehľad!A37)+11,FALSE),VLOOKUP(Prehľad!$B37,Harmonogram!$F$2:$EW$150,COLUMN(Prehľad!A37)+6,FALSE))=0,"",IF(ISBLANK($B37),VLOOKUP($A37,Harmonogram!$A$1:$FA$162,COLUMN(Prehľad!A37)+11,FALSE),VLOOKUP(Prehľad!$B37,Harmonogram!$F$2:$EW$150,COLUMN(Prehľad!A37)+6,FALSE))),"")</f>
        <v>Príprava VO</v>
      </c>
      <c r="I37" s="260">
        <f>IF(LEN($B37)=0,VLOOKUP($A37,Harmonogram!$A$1:$FA$162,COLUMN(Prehľad!B37)+11,FALSE),VLOOKUP(Prehľad!$B37,Harmonogram!$F$2:$EW$150,COLUMN(Prehľad!B37)+6,FALSE))</f>
        <v>800000</v>
      </c>
      <c r="J37" s="261">
        <f>IF(LEN($B37)=0,VLOOKUP($A37,Harmonogram!$A$1:$FA$162,COLUMN(Prehľad!A37)*12+12,FALSE),VLOOKUP(Prehľad!$B37,Harmonogram!$F$2:$EW$150,COLUMN(Prehľad!A37)*12+7,FALSE))</f>
        <v>0</v>
      </c>
      <c r="K37" s="260">
        <f>IF(LEN($B37)=0,VLOOKUP($A37,Harmonogram!$A$1:$FA$162,COLUMN(Prehľad!B37)*12+12,FALSE),VLOOKUP(Prehľad!$B37,Harmonogram!$F$2:$EW$150,COLUMN(Prehľad!B37)*12+7,FALSE))</f>
        <v>0</v>
      </c>
      <c r="L37" s="260">
        <f>IF(LEN($B37)=0,VLOOKUP($A37,Harmonogram!$A$1:$FA$162,COLUMN(Prehľad!C37)*12+12,FALSE),VLOOKUP(Prehľad!$B37,Harmonogram!$F$2:$EW$150,COLUMN(Prehľad!C37)*12+7,FALSE))</f>
        <v>0</v>
      </c>
      <c r="M37" s="260">
        <f>IF(LEN($B37)=0,VLOOKUP($A37,Harmonogram!$A$1:$FA$162,COLUMN(Prehľad!D37)*12+12,FALSE),VLOOKUP(Prehľad!$B37,Harmonogram!$F$2:$EW$150,COLUMN(Prehľad!D37)*12+7,FALSE))</f>
        <v>300000</v>
      </c>
      <c r="N37" s="260">
        <f>IF(LEN($B37)=0,VLOOKUP($A37,Harmonogram!$A$1:$FA$162,COLUMN(Prehľad!E37)*12+12,FALSE),VLOOKUP(Prehľad!$B37,Harmonogram!$F$2:$EW$150,COLUMN(Prehľad!E37)*12+7,FALSE))</f>
        <v>500000</v>
      </c>
      <c r="O37" s="260">
        <f>IF(LEN($B37)=0,VLOOKUP($A37,Harmonogram!$A$1:$FA$162,COLUMN(Prehľad!F37)*12+12,FALSE),VLOOKUP(Prehľad!$B37,Harmonogram!$F$2:$EW$150,COLUMN(Prehľad!F37)*12+7,FALSE))</f>
        <v>0</v>
      </c>
      <c r="P37" s="260">
        <f>IF(LEN($B37)=0,VLOOKUP($A37,Harmonogram!$A$1:$FA$162,COLUMN(Prehľad!G37)*12+12,FALSE),VLOOKUP(Prehľad!$B37,Harmonogram!$F$2:$EW$150,COLUMN(Prehľad!G37)*12+7,FALSE))</f>
        <v>0</v>
      </c>
      <c r="Q37" s="260">
        <f>IF(LEN($B37)=0,VLOOKUP($A37,Harmonogram!$A$1:$FA$162,COLUMN(Prehľad!H37)*12+12,FALSE),VLOOKUP(Prehľad!$B37,Harmonogram!$F$2:$EW$150,COLUMN(Prehľad!H37)*12+7,FALSE))</f>
        <v>0</v>
      </c>
      <c r="R37" s="260">
        <f>IF(LEN($B37)=0,VLOOKUP($A37,Harmonogram!$A$1:$FA$162,COLUMN(Prehľad!I37)*12+12,FALSE),VLOOKUP(Prehľad!$B37,Harmonogram!$F$2:$EW$150,COLUMN(Prehľad!I37)*12+7,FALSE))</f>
        <v>0</v>
      </c>
      <c r="S37" s="260">
        <f>IF(LEN($B37)=0,VLOOKUP($A37,Harmonogram!$A$1:$FA$162,COLUMN(Prehľad!J37)*12+12,FALSE),VLOOKUP(Prehľad!$B37,Harmonogram!$F$2:$EW$150,COLUMN(Prehľad!J37)*12+7,FALSE))</f>
        <v>0</v>
      </c>
      <c r="T37" s="262">
        <f>IF(LEN($B37)=0,VLOOKUP($A37,Harmonogram!$A$1:$FA$162,COLUMN(Prehľad!K37)*12+12,FALSE),VLOOKUP(Prehľad!$B37,Harmonogram!$F$2:$EW$150,COLUMN(Prehľad!K37)*12+7,FALSE))</f>
        <v>0</v>
      </c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</row>
    <row r="38" spans="1:33" ht="75" x14ac:dyDescent="0.25">
      <c r="A38" s="240"/>
      <c r="B38" s="203" t="s">
        <v>1182</v>
      </c>
      <c r="C38" s="177" t="str">
        <f>IFERROR(IF(IF(ISBLANK($B38),VLOOKUP($A38,Harmonogram!$A$1:$FA$162,COLUMN(Prehľad!A38)+6,FALSE),VLOOKUP(Prehľad!$B38,Harmonogram!$F$2:$EW$150,COLUMN(Prehľad!A38)+1,FALSE))=0,"",IF(ISBLANK($B38),VLOOKUP($A38,Harmonogram!$A$1:$FA$162,COLUMN(Prehľad!A38)+6,FALSE),VLOOKUP(Prehľad!$B38,Harmonogram!$F$2:$EW$150,COLUMN(Prehľad!A38)+1,FALSE))),"")</f>
        <v>Posledná rekonštrukcia väčšieho rozsahu bola vykonaná v rokoch 1985 a 1988. Stavbou sa zvýši kvalitatívny štandard osobnej dopravy rekonštrukciou nástupíšť, zlepší sa bezpečnosť a plynulosť železničnej dopravy, znížia sa náklady na údržbu železničného zvršku a podku a dosiahne sa normový stav. Svojim rozsahom sa jedná o modernizáciu železničného uzla.</v>
      </c>
      <c r="D38" s="177" t="str">
        <f>IFERROR(IF(IF(ISBLANK($B38),VLOOKUP($A38,Harmonogram!$A$1:$FA$162,COLUMN(Prehľad!B38)+6,FALSE),VLOOKUP(Prehľad!$B38,Harmonogram!$F$2:$EW$150,COLUMN(Prehľad!B38)+1,FALSE))=0,"",IF(ISBLANK($B38),VLOOKUP($A38,Harmonogram!$A$1:$FA$162,COLUMN(Prehľad!B38)+6,FALSE),VLOOKUP(Prehľad!$B38,Harmonogram!$F$2:$EW$150,COLUMN(Prehľad!B38)+1,FALSE))),"")</f>
        <v>Dôvodom modernizácie ŽST Šurany je zabezpečenie plynulosti a bezpečnosti železničnej dopravy, zvýšenie komfortu pre cestujúcu verejnosť rekonštrukciou nástupíšť, obnova železničného zvršku a spodku a tým zabezpečenie obnovy životnosti železničnej dopravnej cesty.</v>
      </c>
      <c r="E38" s="204" t="str">
        <f>IFERROR(IF(IF(ISBLANK($B38),VLOOKUP($A38,Harmonogram!$A$1:$FA$162,COLUMN(Prehľad!C38)+6,FALSE),VLOOKUP(Prehľad!$B38,Harmonogram!$F$2:$EW$150,COLUMN(Prehľad!C38)+1,FALSE))=0,"",IF(ISBLANK($B38),VLOOKUP($A38,Harmonogram!$A$1:$FA$162,COLUMN(Prehľad!C38)+6,FALSE),VLOOKUP(Prehľad!$B38,Harmonogram!$F$2:$EW$150,COLUMN(Prehľad!C38)+1,FALSE))),"")</f>
        <v>TEN-T comprehensive;
Dĺžka(150a)= 7,3km; osôb/deň= 5200; mil.hrtkm/rok=18,4</v>
      </c>
      <c r="F38" s="177" t="str">
        <f>IF(ISBLANK(B38),"",IFERROR(VLOOKUP(B38,Harmonogram!$F$3:$EO$97,140,FALSE),"er"))</f>
        <v>Stavba do 3 km</v>
      </c>
      <c r="G38" s="177" t="str">
        <f>IFERROR(IF(IF(ISBLANK($B38),VLOOKUP($A38,Harmonogram!$A$1:$FA$162,COLUMN(Prehľad!D38)+6,FALSE),VLOOKUP(Prehľad!$B38,Harmonogram!$F$2:$EW$150,COLUMN(Prehľad!D38)+1,FALSE))=0,"",IF(ISBLANK($B38),VLOOKUP($A38,Harmonogram!$A$1:$FA$162,COLUMN(Prehľad!D38)+6,FALSE),VLOOKUP(Prehľad!$B38,Harmonogram!$F$2:$EW$150,COLUMN(Prehľad!D38)+1,FALSE))),"")</f>
        <v>1b</v>
      </c>
      <c r="H38" s="250" t="str">
        <f>IFERROR(IF(IF(ISBLANK($B38),VLOOKUP($A38,Harmonogram!$A$1:$FA$162,COLUMN(Prehľad!A38)+11,FALSE),VLOOKUP(Prehľad!$B38,Harmonogram!$F$2:$EW$150,COLUMN(Prehľad!A38)+6,FALSE))=0,"",IF(ISBLANK($B38),VLOOKUP($A38,Harmonogram!$A$1:$FA$162,COLUMN(Prehľad!A38)+11,FALSE),VLOOKUP(Prehľad!$B38,Harmonogram!$F$2:$EW$150,COLUMN(Prehľad!A38)+6,FALSE))),"")</f>
        <v>Príprava VO</v>
      </c>
      <c r="I38" s="260">
        <f>IF(LEN($B38)=0,VLOOKUP($A38,Harmonogram!$A$1:$FA$162,COLUMN(Prehľad!B38)+11,FALSE),VLOOKUP(Prehľad!$B38,Harmonogram!$F$2:$EW$150,COLUMN(Prehľad!B38)+6,FALSE))</f>
        <v>15550000</v>
      </c>
      <c r="J38" s="261">
        <f>IF(LEN($B38)=0,VLOOKUP($A38,Harmonogram!$A$1:$FA$162,COLUMN(Prehľad!A38)*12+12,FALSE),VLOOKUP(Prehľad!$B38,Harmonogram!$F$2:$EW$150,COLUMN(Prehľad!A38)*12+7,FALSE))</f>
        <v>0</v>
      </c>
      <c r="K38" s="260">
        <f>IF(LEN($B38)=0,VLOOKUP($A38,Harmonogram!$A$1:$FA$162,COLUMN(Prehľad!B38)*12+12,FALSE),VLOOKUP(Prehľad!$B38,Harmonogram!$F$2:$EW$150,COLUMN(Prehľad!B38)*12+7,FALSE))</f>
        <v>0</v>
      </c>
      <c r="L38" s="260">
        <f>IF(LEN($B38)=0,VLOOKUP($A38,Harmonogram!$A$1:$FA$162,COLUMN(Prehľad!C38)*12+12,FALSE),VLOOKUP(Prehľad!$B38,Harmonogram!$F$2:$EW$150,COLUMN(Prehľad!C38)*12+7,FALSE))</f>
        <v>0</v>
      </c>
      <c r="M38" s="260">
        <f>IF(LEN($B38)=0,VLOOKUP($A38,Harmonogram!$A$1:$FA$162,COLUMN(Prehľad!D38)*12+12,FALSE),VLOOKUP(Prehľad!$B38,Harmonogram!$F$2:$EW$150,COLUMN(Prehľad!D38)*12+7,FALSE))</f>
        <v>0</v>
      </c>
      <c r="N38" s="260">
        <f>IF(LEN($B38)=0,VLOOKUP($A38,Harmonogram!$A$1:$FA$162,COLUMN(Prehľad!E38)*12+12,FALSE),VLOOKUP(Prehľad!$B38,Harmonogram!$F$2:$EW$150,COLUMN(Prehľad!E38)*12+7,FALSE))</f>
        <v>0</v>
      </c>
      <c r="O38" s="260">
        <f>IF(LEN($B38)=0,VLOOKUP($A38,Harmonogram!$A$1:$FA$162,COLUMN(Prehľad!F38)*12+12,FALSE),VLOOKUP(Prehľad!$B38,Harmonogram!$F$2:$EW$150,COLUMN(Prehľad!F38)*12+7,FALSE))</f>
        <v>3000000</v>
      </c>
      <c r="P38" s="260">
        <f>IF(LEN($B38)=0,VLOOKUP($A38,Harmonogram!$A$1:$FA$162,COLUMN(Prehľad!G38)*12+12,FALSE),VLOOKUP(Prehľad!$B38,Harmonogram!$F$2:$EW$150,COLUMN(Prehľad!G38)*12+7,FALSE))</f>
        <v>7000000</v>
      </c>
      <c r="Q38" s="260">
        <f>IF(LEN($B38)=0,VLOOKUP($A38,Harmonogram!$A$1:$FA$162,COLUMN(Prehľad!H38)*12+12,FALSE),VLOOKUP(Prehľad!$B38,Harmonogram!$F$2:$EW$150,COLUMN(Prehľad!H38)*12+7,FALSE))</f>
        <v>5550000</v>
      </c>
      <c r="R38" s="260">
        <f>IF(LEN($B38)=0,VLOOKUP($A38,Harmonogram!$A$1:$FA$162,COLUMN(Prehľad!I38)*12+12,FALSE),VLOOKUP(Prehľad!$B38,Harmonogram!$F$2:$EW$150,COLUMN(Prehľad!I38)*12+7,FALSE))</f>
        <v>0</v>
      </c>
      <c r="S38" s="260">
        <f>IF(LEN($B38)=0,VLOOKUP($A38,Harmonogram!$A$1:$FA$162,COLUMN(Prehľad!J38)*12+12,FALSE),VLOOKUP(Prehľad!$B38,Harmonogram!$F$2:$EW$150,COLUMN(Prehľad!J38)*12+7,FALSE))</f>
        <v>0</v>
      </c>
      <c r="T38" s="262">
        <f>IF(LEN($B38)=0,VLOOKUP($A38,Harmonogram!$A$1:$FA$162,COLUMN(Prehľad!K38)*12+12,FALSE),VLOOKUP(Prehľad!$B38,Harmonogram!$F$2:$EW$150,COLUMN(Prehľad!K38)*12+7,FALSE))</f>
        <v>0</v>
      </c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</row>
    <row r="39" spans="1:33" ht="120" x14ac:dyDescent="0.25">
      <c r="A39" s="240"/>
      <c r="B39" s="203" t="s">
        <v>938</v>
      </c>
      <c r="C39" s="177" t="str">
        <f>IFERROR(IF(IF(ISBLANK($B39),VLOOKUP($A39,Harmonogram!$A$1:$FA$162,COLUMN(Prehľad!A39)+6,FALSE),VLOOKUP(Prehľad!$B39,Harmonogram!$F$2:$EW$150,COLUMN(Prehľad!A39)+1,FALSE))=0,"",IF(ISBLANK($B39),VLOOKUP($A39,Harmonogram!$A$1:$FA$162,COLUMN(Prehľad!A39)+6,FALSE),VLOOKUP(Prehľad!$B39,Harmonogram!$F$2:$EW$150,COLUMN(Prehľad!A39)+1,FALSE))),"")</f>
        <v>ŽSR plánujú čiastočnú modernizáciu železničnej stanice Dvory nad Žitavou na trati Nové Zámky – Štúrovo. Cieľom projektu je zvýšiť bezpečnosť a plynulosť premávky a znížiť prevádzkové náklady.</v>
      </c>
      <c r="D39" s="177" t="str">
        <f>IFERROR(IF(IF(ISBLANK($B39),VLOOKUP($A39,Harmonogram!$A$1:$FA$162,COLUMN(Prehľad!B39)+6,FALSE),VLOOKUP(Prehľad!$B39,Harmonogram!$F$2:$EW$150,COLUMN(Prehľad!B39)+1,FALSE))=0,"",IF(ISBLANK($B39),VLOOKUP($A39,Harmonogram!$A$1:$FA$162,COLUMN(Prehľad!B39)+6,FALSE),VLOOKUP(Prehľad!$B39,Harmonogram!$F$2:$EW$150,COLUMN(Prehľad!B39)+1,FALSE))),"")</f>
        <v>Hlavnými cieľmi projektu sú:
- odstránenie obmedzení rýchlosti
- zvýšenie bezpečnosti a plynulosti prevádzky,
- zvýšenie bezpečnosti cestujúcich,
- zvýšenie kultúry, komfortu a plynulosti cestovania,
- zníženie negatívnych dopadov železničnej prevádzky na obyvateľstvo,
- zlepšenie a skvalitnenie životného prostredia,
- zníženie nákladov na údržbu železničnej infraštruktúry.</v>
      </c>
      <c r="E39" s="204" t="str">
        <f>IFERROR(IF(IF(ISBLANK($B39),VLOOKUP($A39,Harmonogram!$A$1:$FA$162,COLUMN(Prehľad!C39)+6,FALSE),VLOOKUP(Prehľad!$B39,Harmonogram!$F$2:$EW$150,COLUMN(Prehľad!C39)+1,FALSE))=0,"",IF(ISBLANK($B39),VLOOKUP($A39,Harmonogram!$A$1:$FA$162,COLUMN(Prehľad!C39)+6,FALSE),VLOOKUP(Prehľad!$B39,Harmonogram!$F$2:$EW$150,COLUMN(Prehľad!C39)+1,FALSE))),"")</f>
        <v>TEN-T core;
RFC 7 - hlavná trať
RFC 11 - hlavná trať
Dĺžka(130e)= 46,2km; osôb/deň= 5000; mil.hrtkm/rok=535,7</v>
      </c>
      <c r="F39" s="177" t="str">
        <f>IF(ISBLANK(B39),"",IFERROR(VLOOKUP(B39,Harmonogram!$F$3:$EO$97,140,FALSE),"er"))</f>
        <v>Stavba do 3 km;
7 ks v.j.</v>
      </c>
      <c r="G39" s="177" t="str">
        <f>IFERROR(IF(IF(ISBLANK($B39),VLOOKUP($A39,Harmonogram!$A$1:$FA$162,COLUMN(Prehľad!D39)+6,FALSE),VLOOKUP(Prehľad!$B39,Harmonogram!$F$2:$EW$150,COLUMN(Prehľad!D39)+1,FALSE))=0,"",IF(ISBLANK($B39),VLOOKUP($A39,Harmonogram!$A$1:$FA$162,COLUMN(Prehľad!D39)+6,FALSE),VLOOKUP(Prehľad!$B39,Harmonogram!$F$2:$EW$150,COLUMN(Prehľad!D39)+1,FALSE))),"")</f>
        <v>1b</v>
      </c>
      <c r="H39" s="250" t="str">
        <f>IFERROR(IF(IF(ISBLANK($B39),VLOOKUP($A39,Harmonogram!$A$1:$FA$162,COLUMN(Prehľad!A39)+11,FALSE),VLOOKUP(Prehľad!$B39,Harmonogram!$F$2:$EW$150,COLUMN(Prehľad!A39)+6,FALSE))=0,"",IF(ISBLANK($B39),VLOOKUP($A39,Harmonogram!$A$1:$FA$162,COLUMN(Prehľad!A39)+11,FALSE),VLOOKUP(Prehľad!$B39,Harmonogram!$F$2:$EW$150,COLUMN(Prehľad!A39)+6,FALSE))),"")</f>
        <v>Príprava VO</v>
      </c>
      <c r="I39" s="260">
        <f>IF(LEN($B39)=0,VLOOKUP($A39,Harmonogram!$A$1:$FA$162,COLUMN(Prehľad!B39)+11,FALSE),VLOOKUP(Prehľad!$B39,Harmonogram!$F$2:$EW$150,COLUMN(Prehľad!B39)+6,FALSE))</f>
        <v>2450000</v>
      </c>
      <c r="J39" s="261">
        <f>IF(LEN($B39)=0,VLOOKUP($A39,Harmonogram!$A$1:$FA$162,COLUMN(Prehľad!A39)*12+12,FALSE),VLOOKUP(Prehľad!$B39,Harmonogram!$F$2:$EW$150,COLUMN(Prehľad!A39)*12+7,FALSE))</f>
        <v>0</v>
      </c>
      <c r="K39" s="260">
        <f>IF(LEN($B39)=0,VLOOKUP($A39,Harmonogram!$A$1:$FA$162,COLUMN(Prehľad!B39)*12+12,FALSE),VLOOKUP(Prehľad!$B39,Harmonogram!$F$2:$EW$150,COLUMN(Prehľad!B39)*12+7,FALSE))</f>
        <v>0</v>
      </c>
      <c r="L39" s="260">
        <f>IF(LEN($B39)=0,VLOOKUP($A39,Harmonogram!$A$1:$FA$162,COLUMN(Prehľad!C39)*12+12,FALSE),VLOOKUP(Prehľad!$B39,Harmonogram!$F$2:$EW$150,COLUMN(Prehľad!C39)*12+7,FALSE))</f>
        <v>0</v>
      </c>
      <c r="M39" s="260">
        <f>IF(LEN($B39)=0,VLOOKUP($A39,Harmonogram!$A$1:$FA$162,COLUMN(Prehľad!D39)*12+12,FALSE),VLOOKUP(Prehľad!$B39,Harmonogram!$F$2:$EW$150,COLUMN(Prehľad!D39)*12+7,FALSE))</f>
        <v>0</v>
      </c>
      <c r="N39" s="260">
        <f>IF(LEN($B39)=0,VLOOKUP($A39,Harmonogram!$A$1:$FA$162,COLUMN(Prehľad!E39)*12+12,FALSE),VLOOKUP(Prehľad!$B39,Harmonogram!$F$2:$EW$150,COLUMN(Prehľad!E39)*12+7,FALSE))</f>
        <v>0</v>
      </c>
      <c r="O39" s="260">
        <f>IF(LEN($B39)=0,VLOOKUP($A39,Harmonogram!$A$1:$FA$162,COLUMN(Prehľad!F39)*12+12,FALSE),VLOOKUP(Prehľad!$B39,Harmonogram!$F$2:$EW$150,COLUMN(Prehľad!F39)*12+7,FALSE))</f>
        <v>1000000</v>
      </c>
      <c r="P39" s="260">
        <f>IF(LEN($B39)=0,VLOOKUP($A39,Harmonogram!$A$1:$FA$162,COLUMN(Prehľad!G39)*12+12,FALSE),VLOOKUP(Prehľad!$B39,Harmonogram!$F$2:$EW$150,COLUMN(Prehľad!G39)*12+7,FALSE))</f>
        <v>1450000</v>
      </c>
      <c r="Q39" s="260">
        <f>IF(LEN($B39)=0,VLOOKUP($A39,Harmonogram!$A$1:$FA$162,COLUMN(Prehľad!H39)*12+12,FALSE),VLOOKUP(Prehľad!$B39,Harmonogram!$F$2:$EW$150,COLUMN(Prehľad!H39)*12+7,FALSE))</f>
        <v>0</v>
      </c>
      <c r="R39" s="260">
        <f>IF(LEN($B39)=0,VLOOKUP($A39,Harmonogram!$A$1:$FA$162,COLUMN(Prehľad!I39)*12+12,FALSE),VLOOKUP(Prehľad!$B39,Harmonogram!$F$2:$EW$150,COLUMN(Prehľad!I39)*12+7,FALSE))</f>
        <v>0</v>
      </c>
      <c r="S39" s="260">
        <f>IF(LEN($B39)=0,VLOOKUP($A39,Harmonogram!$A$1:$FA$162,COLUMN(Prehľad!J39)*12+12,FALSE),VLOOKUP(Prehľad!$B39,Harmonogram!$F$2:$EW$150,COLUMN(Prehľad!J39)*12+7,FALSE))</f>
        <v>0</v>
      </c>
      <c r="T39" s="262">
        <f>IF(LEN($B39)=0,VLOOKUP($A39,Harmonogram!$A$1:$FA$162,COLUMN(Prehľad!K39)*12+12,FALSE),VLOOKUP(Prehľad!$B39,Harmonogram!$F$2:$EW$150,COLUMN(Prehľad!K39)*12+7,FALSE))</f>
        <v>0</v>
      </c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</row>
    <row r="40" spans="1:33" ht="90" x14ac:dyDescent="0.25">
      <c r="A40" s="240"/>
      <c r="B40" s="203" t="s">
        <v>1181</v>
      </c>
      <c r="C40" s="177" t="str">
        <f>IFERROR(IF(IF(ISBLANK($B40),VLOOKUP($A40,Harmonogram!$A$1:$FA$162,COLUMN(Prehľad!A40)+6,FALSE),VLOOKUP(Prehľad!$B40,Harmonogram!$F$2:$EW$150,COLUMN(Prehľad!A40)+1,FALSE))=0,"",IF(ISBLANK($B40),VLOOKUP($A40,Harmonogram!$A$1:$FA$162,COLUMN(Prehľad!A40)+6,FALSE),VLOOKUP(Prehľad!$B40,Harmonogram!$F$2:$EW$150,COLUMN(Prehľad!A40)+1,FALSE))),"")</f>
        <v>Revitalizácia trate</v>
      </c>
      <c r="D40" s="177" t="str">
        <f>IFERROR(IF(IF(ISBLANK($B40),VLOOKUP($A40,Harmonogram!$A$1:$FA$162,COLUMN(Prehľad!B40)+6,FALSE),VLOOKUP(Prehľad!$B40,Harmonogram!$F$2:$EW$150,COLUMN(Prehľad!B40)+1,FALSE))=0,"",IF(ISBLANK($B40),VLOOKUP($A40,Harmonogram!$A$1:$FA$162,COLUMN(Prehľad!B40)+6,FALSE),VLOOKUP(Prehľad!$B40,Harmonogram!$F$2:$EW$150,COLUMN(Prehľad!B40)+1,FALSE))),"")</f>
        <v>Zvýšenie bezpečnosti a plynulosti železničnej dopravy, skrátenie jazdnej doby vlakov a úspora prevádzkových nákladov.</v>
      </c>
      <c r="E40" s="204" t="str">
        <f>IFERROR(IF(IF(ISBLANK($B40),VLOOKUP($A40,Harmonogram!$A$1:$FA$162,COLUMN(Prehľad!C40)+6,FALSE),VLOOKUP(Prehľad!$B40,Harmonogram!$F$2:$EW$150,COLUMN(Prehľad!C40)+1,FALSE))=0,"",IF(ISBLANK($B40),VLOOKUP($A40,Harmonogram!$A$1:$FA$162,COLUMN(Prehľad!C40)+6,FALSE),VLOOKUP(Prehľad!$B40,Harmonogram!$F$2:$EW$150,COLUMN(Prehľad!C40)+1,FALSE))),"")</f>
        <v>TEN-T core;
RFC 7 - hlavná trať
RFC 9 - alternatívna trať
RFC 11 - prípojná trať
Dĺžka(132a)= 14,1km; osôb/deň= 100; mil.hrtkm/rok=93,3</v>
      </c>
      <c r="F40" s="177">
        <f>IF(ISBLANK(B40),"",IFERROR(VLOOKUP(B40,Harmonogram!$F$3:$EO$97,140,FALSE),"er"))</f>
        <v>4.2329999999999997</v>
      </c>
      <c r="G40" s="177" t="str">
        <f>IFERROR(IF(IF(ISBLANK($B40),VLOOKUP($A40,Harmonogram!$A$1:$FA$162,COLUMN(Prehľad!D40)+6,FALSE),VLOOKUP(Prehľad!$B40,Harmonogram!$F$2:$EW$150,COLUMN(Prehľad!D40)+1,FALSE))=0,"",IF(ISBLANK($B40),VLOOKUP($A40,Harmonogram!$A$1:$FA$162,COLUMN(Prehľad!D40)+6,FALSE),VLOOKUP(Prehľad!$B40,Harmonogram!$F$2:$EW$150,COLUMN(Prehľad!D40)+1,FALSE))),"")</f>
        <v>1b</v>
      </c>
      <c r="H40" s="250" t="str">
        <f>IFERROR(IF(IF(ISBLANK($B40),VLOOKUP($A40,Harmonogram!$A$1:$FA$162,COLUMN(Prehľad!A40)+11,FALSE),VLOOKUP(Prehľad!$B40,Harmonogram!$F$2:$EW$150,COLUMN(Prehľad!A40)+6,FALSE))=0,"",IF(ISBLANK($B40),VLOOKUP($A40,Harmonogram!$A$1:$FA$162,COLUMN(Prehľad!A40)+11,FALSE),VLOOKUP(Prehľad!$B40,Harmonogram!$F$2:$EW$150,COLUMN(Prehľad!A40)+6,FALSE))),"")</f>
        <v>Príprava VO</v>
      </c>
      <c r="I40" s="260">
        <f>IF(LEN($B40)=0,VLOOKUP($A40,Harmonogram!$A$1:$FA$162,COLUMN(Prehľad!B40)+11,FALSE),VLOOKUP(Prehľad!$B40,Harmonogram!$F$2:$EW$150,COLUMN(Prehľad!B40)+6,FALSE))</f>
        <v>2760000</v>
      </c>
      <c r="J40" s="261">
        <f>IF(LEN($B40)=0,VLOOKUP($A40,Harmonogram!$A$1:$FA$162,COLUMN(Prehľad!A40)*12+12,FALSE),VLOOKUP(Prehľad!$B40,Harmonogram!$F$2:$EW$150,COLUMN(Prehľad!A40)*12+7,FALSE))</f>
        <v>0</v>
      </c>
      <c r="K40" s="260">
        <f>IF(LEN($B40)=0,VLOOKUP($A40,Harmonogram!$A$1:$FA$162,COLUMN(Prehľad!B40)*12+12,FALSE),VLOOKUP(Prehľad!$B40,Harmonogram!$F$2:$EW$150,COLUMN(Prehľad!B40)*12+7,FALSE))</f>
        <v>0</v>
      </c>
      <c r="L40" s="260">
        <f>IF(LEN($B40)=0,VLOOKUP($A40,Harmonogram!$A$1:$FA$162,COLUMN(Prehľad!C40)*12+12,FALSE),VLOOKUP(Prehľad!$B40,Harmonogram!$F$2:$EW$150,COLUMN(Prehľad!C40)*12+7,FALSE))</f>
        <v>0</v>
      </c>
      <c r="M40" s="260">
        <f>IF(LEN($B40)=0,VLOOKUP($A40,Harmonogram!$A$1:$FA$162,COLUMN(Prehľad!D40)*12+12,FALSE),VLOOKUP(Prehľad!$B40,Harmonogram!$F$2:$EW$150,COLUMN(Prehľad!D40)*12+7,FALSE))</f>
        <v>0</v>
      </c>
      <c r="N40" s="260">
        <f>IF(LEN($B40)=0,VLOOKUP($A40,Harmonogram!$A$1:$FA$162,COLUMN(Prehľad!E40)*12+12,FALSE),VLOOKUP(Prehľad!$B40,Harmonogram!$F$2:$EW$150,COLUMN(Prehľad!E40)*12+7,FALSE))</f>
        <v>2760000</v>
      </c>
      <c r="O40" s="260">
        <f>IF(LEN($B40)=0,VLOOKUP($A40,Harmonogram!$A$1:$FA$162,COLUMN(Prehľad!F40)*12+12,FALSE),VLOOKUP(Prehľad!$B40,Harmonogram!$F$2:$EW$150,COLUMN(Prehľad!F40)*12+7,FALSE))</f>
        <v>0</v>
      </c>
      <c r="P40" s="260">
        <f>IF(LEN($B40)=0,VLOOKUP($A40,Harmonogram!$A$1:$FA$162,COLUMN(Prehľad!G40)*12+12,FALSE),VLOOKUP(Prehľad!$B40,Harmonogram!$F$2:$EW$150,COLUMN(Prehľad!G40)*12+7,FALSE))</f>
        <v>0</v>
      </c>
      <c r="Q40" s="260">
        <f>IF(LEN($B40)=0,VLOOKUP($A40,Harmonogram!$A$1:$FA$162,COLUMN(Prehľad!H40)*12+12,FALSE),VLOOKUP(Prehľad!$B40,Harmonogram!$F$2:$EW$150,COLUMN(Prehľad!H40)*12+7,FALSE))</f>
        <v>0</v>
      </c>
      <c r="R40" s="260">
        <f>IF(LEN($B40)=0,VLOOKUP($A40,Harmonogram!$A$1:$FA$162,COLUMN(Prehľad!I40)*12+12,FALSE),VLOOKUP(Prehľad!$B40,Harmonogram!$F$2:$EW$150,COLUMN(Prehľad!I40)*12+7,FALSE))</f>
        <v>0</v>
      </c>
      <c r="S40" s="260">
        <f>IF(LEN($B40)=0,VLOOKUP($A40,Harmonogram!$A$1:$FA$162,COLUMN(Prehľad!J40)*12+12,FALSE),VLOOKUP(Prehľad!$B40,Harmonogram!$F$2:$EW$150,COLUMN(Prehľad!J40)*12+7,FALSE))</f>
        <v>0</v>
      </c>
      <c r="T40" s="262">
        <f>IF(LEN($B40)=0,VLOOKUP($A40,Harmonogram!$A$1:$FA$162,COLUMN(Prehľad!K40)*12+12,FALSE),VLOOKUP(Prehľad!$B40,Harmonogram!$F$2:$EW$150,COLUMN(Prehľad!K40)*12+7,FALSE))</f>
        <v>0</v>
      </c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</row>
    <row r="41" spans="1:33" ht="105" x14ac:dyDescent="0.25">
      <c r="A41" s="240"/>
      <c r="B41" s="203" t="s">
        <v>1180</v>
      </c>
      <c r="C41" s="177" t="str">
        <f>IFERROR(IF(IF(ISBLANK($B41),VLOOKUP($A41,Harmonogram!$A$1:$FA$162,COLUMN(Prehľad!A41)+6,FALSE),VLOOKUP(Prehľad!$B41,Harmonogram!$F$2:$EW$150,COLUMN(Prehľad!A41)+1,FALSE))=0,"",IF(ISBLANK($B41),VLOOKUP($A41,Harmonogram!$A$1:$FA$162,COLUMN(Prehľad!A41)+6,FALSE),VLOOKUP(Prehľad!$B41,Harmonogram!$F$2:$EW$150,COLUMN(Prehľad!A41)+1,FALSE))),"")</f>
        <v>Stavbou sa zvýši kvalitatívny štandard osobnej dopravy rekonštrukciou nástupíšť, zlepší sa bezpečnosť a plynulosť železničnej dopravy, znížia sa náklady na údržbu železničného zvršku a spodku a dosiahne sa normový stav. Vyšším stupňom obsluhy dopravnej cesty sa zefektívni činnosť na úseku riadenia dopravy a zároveň sa zvýši aj bezpečnosť železničnej dopravy na dotknutom úseku.</v>
      </c>
      <c r="D41" s="177" t="str">
        <f>IFERROR(IF(IF(ISBLANK($B41),VLOOKUP($A41,Harmonogram!$A$1:$FA$162,COLUMN(Prehľad!B41)+6,FALSE),VLOOKUP(Prehľad!$B41,Harmonogram!$F$2:$EW$150,COLUMN(Prehľad!B41)+1,FALSE))=0,"",IF(ISBLANK($B41),VLOOKUP($A41,Harmonogram!$A$1:$FA$162,COLUMN(Prehľad!B41)+6,FALSE),VLOOKUP(Prehľad!$B41,Harmonogram!$F$2:$EW$150,COLUMN(Prehľad!B41)+1,FALSE))),"")</f>
        <v>Cieľom stavby je: 
- zabezpečenie plynulosti a bezpečnosti železničnej
dopravy, 
- zvýšenie komfortu pre cestujúcich, 
- zefektívnenie práce na úseku riadenia dopravy,
- obnova železničného zvršku a spodku a predĺženie ich životnosti,
- zníženie prevádzkových nákladov na opravu a údržbu ŽI.</v>
      </c>
      <c r="E41" s="204" t="str">
        <f>IFERROR(IF(IF(ISBLANK($B41),VLOOKUP($A41,Harmonogram!$A$1:$FA$162,COLUMN(Prehľad!C41)+6,FALSE),VLOOKUP(Prehľad!$B41,Harmonogram!$F$2:$EW$150,COLUMN(Prehľad!C41)+1,FALSE))=0,"",IF(ISBLANK($B41),VLOOKUP($A41,Harmonogram!$A$1:$FA$162,COLUMN(Prehľad!C41)+6,FALSE),VLOOKUP(Prehľad!$B41,Harmonogram!$F$2:$EW$150,COLUMN(Prehľad!C41)+1,FALSE))),"")</f>
        <v>TEN-T core;
RFC 7 - hlavná trať
RFC 9 - alternatívna trať
RFC 11 - prípojná trať
Dĺžka(132a)= 14,1km; osôb/deň= 100; mil.hrtkm/rok=93,3</v>
      </c>
      <c r="F41" s="177" t="str">
        <f>IF(ISBLANK(B41),"",IFERROR(VLOOKUP(B41,Harmonogram!$F$3:$EO$97,140,FALSE),"er"))</f>
        <v>Stavba do 3 km; (1,960 podľa IZ)</v>
      </c>
      <c r="G41" s="177" t="str">
        <f>IFERROR(IF(IF(ISBLANK($B41),VLOOKUP($A41,Harmonogram!$A$1:$FA$162,COLUMN(Prehľad!D41)+6,FALSE),VLOOKUP(Prehľad!$B41,Harmonogram!$F$2:$EW$150,COLUMN(Prehľad!D41)+1,FALSE))=0,"",IF(ISBLANK($B41),VLOOKUP($A41,Harmonogram!$A$1:$FA$162,COLUMN(Prehľad!D41)+6,FALSE),VLOOKUP(Prehľad!$B41,Harmonogram!$F$2:$EW$150,COLUMN(Prehľad!D41)+1,FALSE))),"")</f>
        <v>1b</v>
      </c>
      <c r="H41" s="250" t="str">
        <f>IFERROR(IF(IF(ISBLANK($B41),VLOOKUP($A41,Harmonogram!$A$1:$FA$162,COLUMN(Prehľad!A41)+11,FALSE),VLOOKUP(Prehľad!$B41,Harmonogram!$F$2:$EW$150,COLUMN(Prehľad!A41)+6,FALSE))=0,"",IF(ISBLANK($B41),VLOOKUP($A41,Harmonogram!$A$1:$FA$162,COLUMN(Prehľad!A41)+11,FALSE),VLOOKUP(Prehľad!$B41,Harmonogram!$F$2:$EW$150,COLUMN(Prehľad!A41)+6,FALSE))),"")</f>
        <v>Príprava VO</v>
      </c>
      <c r="I41" s="260">
        <f>IF(LEN($B41)=0,VLOOKUP($A41,Harmonogram!$A$1:$FA$162,COLUMN(Prehľad!B41)+11,FALSE),VLOOKUP(Prehľad!$B41,Harmonogram!$F$2:$EW$150,COLUMN(Prehľad!B41)+6,FALSE))</f>
        <v>5250000</v>
      </c>
      <c r="J41" s="261">
        <f>IF(LEN($B41)=0,VLOOKUP($A41,Harmonogram!$A$1:$FA$162,COLUMN(Prehľad!A41)*12+12,FALSE),VLOOKUP(Prehľad!$B41,Harmonogram!$F$2:$EW$150,COLUMN(Prehľad!A41)*12+7,FALSE))</f>
        <v>0</v>
      </c>
      <c r="K41" s="260">
        <f>IF(LEN($B41)=0,VLOOKUP($A41,Harmonogram!$A$1:$FA$162,COLUMN(Prehľad!B41)*12+12,FALSE),VLOOKUP(Prehľad!$B41,Harmonogram!$F$2:$EW$150,COLUMN(Prehľad!B41)*12+7,FALSE))</f>
        <v>0</v>
      </c>
      <c r="L41" s="260">
        <f>IF(LEN($B41)=0,VLOOKUP($A41,Harmonogram!$A$1:$FA$162,COLUMN(Prehľad!C41)*12+12,FALSE),VLOOKUP(Prehľad!$B41,Harmonogram!$F$2:$EW$150,COLUMN(Prehľad!C41)*12+7,FALSE))</f>
        <v>0</v>
      </c>
      <c r="M41" s="260">
        <f>IF(LEN($B41)=0,VLOOKUP($A41,Harmonogram!$A$1:$FA$162,COLUMN(Prehľad!D41)*12+12,FALSE),VLOOKUP(Prehľad!$B41,Harmonogram!$F$2:$EW$150,COLUMN(Prehľad!D41)*12+7,FALSE))</f>
        <v>0</v>
      </c>
      <c r="N41" s="260">
        <f>IF(LEN($B41)=0,VLOOKUP($A41,Harmonogram!$A$1:$FA$162,COLUMN(Prehľad!E41)*12+12,FALSE),VLOOKUP(Prehľad!$B41,Harmonogram!$F$2:$EW$150,COLUMN(Prehľad!E41)*12+7,FALSE))</f>
        <v>0</v>
      </c>
      <c r="O41" s="260">
        <f>IF(LEN($B41)=0,VLOOKUP($A41,Harmonogram!$A$1:$FA$162,COLUMN(Prehľad!F41)*12+12,FALSE),VLOOKUP(Prehľad!$B41,Harmonogram!$F$2:$EW$150,COLUMN(Prehľad!F41)*12+7,FALSE))</f>
        <v>2000000</v>
      </c>
      <c r="P41" s="260">
        <f>IF(LEN($B41)=0,VLOOKUP($A41,Harmonogram!$A$1:$FA$162,COLUMN(Prehľad!G41)*12+12,FALSE),VLOOKUP(Prehľad!$B41,Harmonogram!$F$2:$EW$150,COLUMN(Prehľad!G41)*12+7,FALSE))</f>
        <v>3250000</v>
      </c>
      <c r="Q41" s="260">
        <f>IF(LEN($B41)=0,VLOOKUP($A41,Harmonogram!$A$1:$FA$162,COLUMN(Prehľad!H41)*12+12,FALSE),VLOOKUP(Prehľad!$B41,Harmonogram!$F$2:$EW$150,COLUMN(Prehľad!H41)*12+7,FALSE))</f>
        <v>0</v>
      </c>
      <c r="R41" s="260">
        <f>IF(LEN($B41)=0,VLOOKUP($A41,Harmonogram!$A$1:$FA$162,COLUMN(Prehľad!I41)*12+12,FALSE),VLOOKUP(Prehľad!$B41,Harmonogram!$F$2:$EW$150,COLUMN(Prehľad!I41)*12+7,FALSE))</f>
        <v>0</v>
      </c>
      <c r="S41" s="260">
        <f>IF(LEN($B41)=0,VLOOKUP($A41,Harmonogram!$A$1:$FA$162,COLUMN(Prehľad!J41)*12+12,FALSE),VLOOKUP(Prehľad!$B41,Harmonogram!$F$2:$EW$150,COLUMN(Prehľad!J41)*12+7,FALSE))</f>
        <v>0</v>
      </c>
      <c r="T41" s="262">
        <f>IF(LEN($B41)=0,VLOOKUP($A41,Harmonogram!$A$1:$FA$162,COLUMN(Prehľad!K41)*12+12,FALSE),VLOOKUP(Prehľad!$B41,Harmonogram!$F$2:$EW$150,COLUMN(Prehľad!K41)*12+7,FALSE))</f>
        <v>0</v>
      </c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</row>
    <row r="42" spans="1:33" ht="75" x14ac:dyDescent="0.25">
      <c r="A42" s="240"/>
      <c r="B42" s="203" t="s">
        <v>1178</v>
      </c>
      <c r="C42" s="177" t="str">
        <f>IFERROR(IF(IF(ISBLANK($B42),VLOOKUP($A42,Harmonogram!$A$1:$FA$162,COLUMN(Prehľad!A42)+6,FALSE),VLOOKUP(Prehľad!$B42,Harmonogram!$F$2:$EW$150,COLUMN(Prehľad!A42)+1,FALSE))=0,"",IF(ISBLANK($B42),VLOOKUP($A42,Harmonogram!$A$1:$FA$162,COLUMN(Prehľad!A42)+6,FALSE),VLOOKUP(Prehľad!$B42,Harmonogram!$F$2:$EW$150,COLUMN(Prehľad!A42)+1,FALSE))),"")</f>
        <v>Revitalizácia trate</v>
      </c>
      <c r="D42" s="177" t="str">
        <f>IFERROR(IF(IF(ISBLANK($B42),VLOOKUP($A42,Harmonogram!$A$1:$FA$162,COLUMN(Prehľad!B42)+6,FALSE),VLOOKUP(Prehľad!$B42,Harmonogram!$F$2:$EW$150,COLUMN(Prehľad!B42)+1,FALSE))=0,"",IF(ISBLANK($B42),VLOOKUP($A42,Harmonogram!$A$1:$FA$162,COLUMN(Prehľad!B42)+6,FALSE),VLOOKUP(Prehľad!$B42,Harmonogram!$F$2:$EW$150,COLUMN(Prehľad!B42)+1,FALSE))),"")</f>
        <v>Zvýšenie bezpečnosti a plynulosti železničnej dopravy, skrátenie jazdnej doby vlakov a úspora prevádzkových nákladov.</v>
      </c>
      <c r="E42" s="204" t="str">
        <f>IFERROR(IF(IF(ISBLANK($B42),VLOOKUP($A42,Harmonogram!$A$1:$FA$162,COLUMN(Prehľad!C42)+6,FALSE),VLOOKUP(Prehľad!$B42,Harmonogram!$F$2:$EW$150,COLUMN(Prehľad!C42)+1,FALSE))=0,"",IF(ISBLANK($B42),VLOOKUP($A42,Harmonogram!$A$1:$FA$162,COLUMN(Prehľad!C42)+6,FALSE),VLOOKUP(Prehľad!$B42,Harmonogram!$F$2:$EW$150,COLUMN(Prehľad!C42)+1,FALSE))),"")</f>
        <v>TEN-T core;
RFC 9 - hlavná trať
RFC 11 - hlavná trať
Dĺžka(KEA)= 4,7km; osôb/deň= 6800; mil.hrtkm/rok=48</v>
      </c>
      <c r="F42" s="177" t="str">
        <f>IF(ISBLANK(B42),"",IFERROR(VLOOKUP(B42,Harmonogram!$F$3:$EO$97,140,FALSE),"er"))</f>
        <v>Stavba do 3 km</v>
      </c>
      <c r="G42" s="177" t="str">
        <f>IFERROR(IF(IF(ISBLANK($B42),VLOOKUP($A42,Harmonogram!$A$1:$FA$162,COLUMN(Prehľad!D42)+6,FALSE),VLOOKUP(Prehľad!$B42,Harmonogram!$F$2:$EW$150,COLUMN(Prehľad!D42)+1,FALSE))=0,"",IF(ISBLANK($B42),VLOOKUP($A42,Harmonogram!$A$1:$FA$162,COLUMN(Prehľad!D42)+6,FALSE),VLOOKUP(Prehľad!$B42,Harmonogram!$F$2:$EW$150,COLUMN(Prehľad!D42)+1,FALSE))),"")</f>
        <v>1b</v>
      </c>
      <c r="H42" s="250" t="str">
        <f>IFERROR(IF(IF(ISBLANK($B42),VLOOKUP($A42,Harmonogram!$A$1:$FA$162,COLUMN(Prehľad!A42)+11,FALSE),VLOOKUP(Prehľad!$B42,Harmonogram!$F$2:$EW$150,COLUMN(Prehľad!A42)+6,FALSE))=0,"",IF(ISBLANK($B42),VLOOKUP($A42,Harmonogram!$A$1:$FA$162,COLUMN(Prehľad!A42)+11,FALSE),VLOOKUP(Prehľad!$B42,Harmonogram!$F$2:$EW$150,COLUMN(Prehľad!A42)+6,FALSE))),"")</f>
        <v>Príprava VO</v>
      </c>
      <c r="I42" s="260">
        <f>IF(LEN($B42)=0,VLOOKUP($A42,Harmonogram!$A$1:$FA$162,COLUMN(Prehľad!B42)+11,FALSE),VLOOKUP(Prehľad!$B42,Harmonogram!$F$2:$EW$150,COLUMN(Prehľad!B42)+6,FALSE))</f>
        <v>1150000</v>
      </c>
      <c r="J42" s="261">
        <f>IF(LEN($B42)=0,VLOOKUP($A42,Harmonogram!$A$1:$FA$162,COLUMN(Prehľad!A42)*12+12,FALSE),VLOOKUP(Prehľad!$B42,Harmonogram!$F$2:$EW$150,COLUMN(Prehľad!A42)*12+7,FALSE))</f>
        <v>0</v>
      </c>
      <c r="K42" s="260">
        <f>IF(LEN($B42)=0,VLOOKUP($A42,Harmonogram!$A$1:$FA$162,COLUMN(Prehľad!B42)*12+12,FALSE),VLOOKUP(Prehľad!$B42,Harmonogram!$F$2:$EW$150,COLUMN(Prehľad!B42)*12+7,FALSE))</f>
        <v>0</v>
      </c>
      <c r="L42" s="260">
        <f>IF(LEN($B42)=0,VLOOKUP($A42,Harmonogram!$A$1:$FA$162,COLUMN(Prehľad!C42)*12+12,FALSE),VLOOKUP(Prehľad!$B42,Harmonogram!$F$2:$EW$150,COLUMN(Prehľad!C42)*12+7,FALSE))</f>
        <v>0</v>
      </c>
      <c r="M42" s="260">
        <f>IF(LEN($B42)=0,VLOOKUP($A42,Harmonogram!$A$1:$FA$162,COLUMN(Prehľad!D42)*12+12,FALSE),VLOOKUP(Prehľad!$B42,Harmonogram!$F$2:$EW$150,COLUMN(Prehľad!D42)*12+7,FALSE))</f>
        <v>0</v>
      </c>
      <c r="N42" s="260">
        <f>IF(LEN($B42)=0,VLOOKUP($A42,Harmonogram!$A$1:$FA$162,COLUMN(Prehľad!E42)*12+12,FALSE),VLOOKUP(Prehľad!$B42,Harmonogram!$F$2:$EW$150,COLUMN(Prehľad!E42)*12+7,FALSE))</f>
        <v>1150000</v>
      </c>
      <c r="O42" s="260">
        <f>IF(LEN($B42)=0,VLOOKUP($A42,Harmonogram!$A$1:$FA$162,COLUMN(Prehľad!F42)*12+12,FALSE),VLOOKUP(Prehľad!$B42,Harmonogram!$F$2:$EW$150,COLUMN(Prehľad!F42)*12+7,FALSE))</f>
        <v>0</v>
      </c>
      <c r="P42" s="260">
        <f>IF(LEN($B42)=0,VLOOKUP($A42,Harmonogram!$A$1:$FA$162,COLUMN(Prehľad!G42)*12+12,FALSE),VLOOKUP(Prehľad!$B42,Harmonogram!$F$2:$EW$150,COLUMN(Prehľad!G42)*12+7,FALSE))</f>
        <v>0</v>
      </c>
      <c r="Q42" s="260">
        <f>IF(LEN($B42)=0,VLOOKUP($A42,Harmonogram!$A$1:$FA$162,COLUMN(Prehľad!H42)*12+12,FALSE),VLOOKUP(Prehľad!$B42,Harmonogram!$F$2:$EW$150,COLUMN(Prehľad!H42)*12+7,FALSE))</f>
        <v>0</v>
      </c>
      <c r="R42" s="260">
        <f>IF(LEN($B42)=0,VLOOKUP($A42,Harmonogram!$A$1:$FA$162,COLUMN(Prehľad!I42)*12+12,FALSE),VLOOKUP(Prehľad!$B42,Harmonogram!$F$2:$EW$150,COLUMN(Prehľad!I42)*12+7,FALSE))</f>
        <v>0</v>
      </c>
      <c r="S42" s="260">
        <f>IF(LEN($B42)=0,VLOOKUP($A42,Harmonogram!$A$1:$FA$162,COLUMN(Prehľad!J42)*12+12,FALSE),VLOOKUP(Prehľad!$B42,Harmonogram!$F$2:$EW$150,COLUMN(Prehľad!J42)*12+7,FALSE))</f>
        <v>0</v>
      </c>
      <c r="T42" s="262">
        <f>IF(LEN($B42)=0,VLOOKUP($A42,Harmonogram!$A$1:$FA$162,COLUMN(Prehľad!K42)*12+12,FALSE),VLOOKUP(Prehľad!$B42,Harmonogram!$F$2:$EW$150,COLUMN(Prehľad!K42)*12+7,FALSE))</f>
        <v>0</v>
      </c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</row>
    <row r="43" spans="1:33" s="5" customFormat="1" ht="90" x14ac:dyDescent="0.25">
      <c r="A43" s="240"/>
      <c r="B43" s="203" t="s">
        <v>932</v>
      </c>
      <c r="C43" s="177" t="str">
        <f>IFERROR(IF(IF(ISBLANK($B43),VLOOKUP($A43,Harmonogram!$A$1:$FA$162,COLUMN(Prehľad!A43)+6,FALSE),VLOOKUP(Prehľad!$B43,Harmonogram!$F$2:$EW$150,COLUMN(Prehľad!A43)+1,FALSE))=0,"",IF(ISBLANK($B43),VLOOKUP($A43,Harmonogram!$A$1:$FA$162,COLUMN(Prehľad!A43)+6,FALSE),VLOOKUP(Prehľad!$B43,Harmonogram!$F$2:$EW$150,COLUMN(Prehľad!A43)+1,FALSE))),"")</f>
        <v>Revitalizácia trate</v>
      </c>
      <c r="D43" s="177" t="str">
        <f>IFERROR(IF(IF(ISBLANK($B43),VLOOKUP($A43,Harmonogram!$A$1:$FA$162,COLUMN(Prehľad!B43)+6,FALSE),VLOOKUP(Prehľad!$B43,Harmonogram!$F$2:$EW$150,COLUMN(Prehľad!B43)+1,FALSE))=0,"",IF(ISBLANK($B43),VLOOKUP($A43,Harmonogram!$A$1:$FA$162,COLUMN(Prehľad!B43)+6,FALSE),VLOOKUP(Prehľad!$B43,Harmonogram!$F$2:$EW$150,COLUMN(Prehľad!B43)+1,FALSE))),"")</f>
        <v>Zvýšenie bezpečnosti a plynulosti železničnej dopravy, skrátenie jazdnej doby vlakov a úspora prevádzkových nákladov.</v>
      </c>
      <c r="E43" s="204" t="str">
        <f>IFERROR(IF(IF(ISBLANK($B43),VLOOKUP($A43,Harmonogram!$A$1:$FA$162,COLUMN(Prehľad!C43)+6,FALSE),VLOOKUP(Prehľad!$B43,Harmonogram!$F$2:$EW$150,COLUMN(Prehľad!C43)+1,FALSE))=0,"",IF(ISBLANK($B43),VLOOKUP($A43,Harmonogram!$A$1:$FA$162,COLUMN(Prehľad!C43)+6,FALSE),VLOOKUP(Prehľad!$B43,Harmonogram!$F$2:$EW$150,COLUMN(Prehľad!C43)+1,FALSE))),"")</f>
        <v>Hlavná trať ŽSR
RFC 5 - prípojná trať
RFC 7 - prípojná trať
RFC 11 - prípojná trať
Dĺžka(131a)= 21,1km; osôb/deň= 9000; mil.hrtkm/rok=88,6</v>
      </c>
      <c r="F43" s="177">
        <f>IF(ISBLANK(B43),"",IFERROR(VLOOKUP(B43,Harmonogram!$F$3:$EO$97,140,FALSE),"er"))</f>
        <v>28.219000000000001</v>
      </c>
      <c r="G43" s="177" t="str">
        <f>IFERROR(IF(IF(ISBLANK($B43),VLOOKUP($A43,Harmonogram!$A$1:$FA$162,COLUMN(Prehľad!D43)+6,FALSE),VLOOKUP(Prehľad!$B43,Harmonogram!$F$2:$EW$150,COLUMN(Prehľad!D43)+1,FALSE))=0,"",IF(ISBLANK($B43),VLOOKUP($A43,Harmonogram!$A$1:$FA$162,COLUMN(Prehľad!D43)+6,FALSE),VLOOKUP(Prehľad!$B43,Harmonogram!$F$2:$EW$150,COLUMN(Prehľad!D43)+1,FALSE))),"")</f>
        <v>1b, 2a</v>
      </c>
      <c r="H43" s="250" t="str">
        <f>IFERROR(IF(IF(ISBLANK($B43),VLOOKUP($A43,Harmonogram!$A$1:$FA$162,COLUMN(Prehľad!A43)+11,FALSE),VLOOKUP(Prehľad!$B43,Harmonogram!$F$2:$EW$150,COLUMN(Prehľad!A43)+6,FALSE))=0,"",IF(ISBLANK($B43),VLOOKUP($A43,Harmonogram!$A$1:$FA$162,COLUMN(Prehľad!A43)+11,FALSE),VLOOKUP(Prehľad!$B43,Harmonogram!$F$2:$EW$150,COLUMN(Prehľad!A43)+6,FALSE))),"")</f>
        <v>Príprava VO</v>
      </c>
      <c r="I43" s="260">
        <f>IF(LEN($B43)=0,VLOOKUP($A43,Harmonogram!$A$1:$FA$162,COLUMN(Prehľad!B43)+11,FALSE),VLOOKUP(Prehľad!$B43,Harmonogram!$F$2:$EW$150,COLUMN(Prehľad!B43)+6,FALSE))</f>
        <v>870000</v>
      </c>
      <c r="J43" s="261">
        <f>IF(LEN($B43)=0,VLOOKUP($A43,Harmonogram!$A$1:$FA$162,COLUMN(Prehľad!A43)*12+12,FALSE),VLOOKUP(Prehľad!$B43,Harmonogram!$F$2:$EW$150,COLUMN(Prehľad!A43)*12+7,FALSE))</f>
        <v>0</v>
      </c>
      <c r="K43" s="260">
        <f>IF(LEN($B43)=0,VLOOKUP($A43,Harmonogram!$A$1:$FA$162,COLUMN(Prehľad!B43)*12+12,FALSE),VLOOKUP(Prehľad!$B43,Harmonogram!$F$2:$EW$150,COLUMN(Prehľad!B43)*12+7,FALSE))</f>
        <v>0</v>
      </c>
      <c r="L43" s="260">
        <f>IF(LEN($B43)=0,VLOOKUP($A43,Harmonogram!$A$1:$FA$162,COLUMN(Prehľad!C43)*12+12,FALSE),VLOOKUP(Prehľad!$B43,Harmonogram!$F$2:$EW$150,COLUMN(Prehľad!C43)*12+7,FALSE))</f>
        <v>0</v>
      </c>
      <c r="M43" s="260">
        <f>IF(LEN($B43)=0,VLOOKUP($A43,Harmonogram!$A$1:$FA$162,COLUMN(Prehľad!D43)*12+12,FALSE),VLOOKUP(Prehľad!$B43,Harmonogram!$F$2:$EW$150,COLUMN(Prehľad!D43)*12+7,FALSE))</f>
        <v>0</v>
      </c>
      <c r="N43" s="260">
        <f>IF(LEN($B43)=0,VLOOKUP($A43,Harmonogram!$A$1:$FA$162,COLUMN(Prehľad!E43)*12+12,FALSE),VLOOKUP(Prehľad!$B43,Harmonogram!$F$2:$EW$150,COLUMN(Prehľad!E43)*12+7,FALSE))</f>
        <v>0</v>
      </c>
      <c r="O43" s="260">
        <f>IF(LEN($B43)=0,VLOOKUP($A43,Harmonogram!$A$1:$FA$162,COLUMN(Prehľad!F43)*12+12,FALSE),VLOOKUP(Prehľad!$B43,Harmonogram!$F$2:$EW$150,COLUMN(Prehľad!F43)*12+7,FALSE))</f>
        <v>870000</v>
      </c>
      <c r="P43" s="260">
        <f>IF(LEN($B43)=0,VLOOKUP($A43,Harmonogram!$A$1:$FA$162,COLUMN(Prehľad!G43)*12+12,FALSE),VLOOKUP(Prehľad!$B43,Harmonogram!$F$2:$EW$150,COLUMN(Prehľad!G43)*12+7,FALSE))</f>
        <v>0</v>
      </c>
      <c r="Q43" s="260">
        <f>IF(LEN($B43)=0,VLOOKUP($A43,Harmonogram!$A$1:$FA$162,COLUMN(Prehľad!H43)*12+12,FALSE),VLOOKUP(Prehľad!$B43,Harmonogram!$F$2:$EW$150,COLUMN(Prehľad!H43)*12+7,FALSE))</f>
        <v>0</v>
      </c>
      <c r="R43" s="260">
        <f>IF(LEN($B43)=0,VLOOKUP($A43,Harmonogram!$A$1:$FA$162,COLUMN(Prehľad!I43)*12+12,FALSE),VLOOKUP(Prehľad!$B43,Harmonogram!$F$2:$EW$150,COLUMN(Prehľad!I43)*12+7,FALSE))</f>
        <v>0</v>
      </c>
      <c r="S43" s="260">
        <f>IF(LEN($B43)=0,VLOOKUP($A43,Harmonogram!$A$1:$FA$162,COLUMN(Prehľad!J43)*12+12,FALSE),VLOOKUP(Prehľad!$B43,Harmonogram!$F$2:$EW$150,COLUMN(Prehľad!J43)*12+7,FALSE))</f>
        <v>0</v>
      </c>
      <c r="T43" s="262">
        <f>IF(LEN($B43)=0,VLOOKUP($A43,Harmonogram!$A$1:$FA$162,COLUMN(Prehľad!K43)*12+12,FALSE),VLOOKUP(Prehľad!$B43,Harmonogram!$F$2:$EW$150,COLUMN(Prehľad!K43)*12+7,FALSE))</f>
        <v>0</v>
      </c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14"/>
      <c r="AG43" s="14"/>
    </row>
    <row r="44" spans="1:33" ht="75" x14ac:dyDescent="0.25">
      <c r="A44" s="240"/>
      <c r="B44" s="203" t="s">
        <v>1023</v>
      </c>
      <c r="C44" s="177" t="str">
        <f>IFERROR(IF(IF(ISBLANK($B44),VLOOKUP($A44,Harmonogram!$A$1:$FA$162,COLUMN(Prehľad!A44)+6,FALSE),VLOOKUP(Prehľad!$B44,Harmonogram!$F$2:$EW$150,COLUMN(Prehľad!A44)+1,FALSE))=0,"",IF(ISBLANK($B44),VLOOKUP($A44,Harmonogram!$A$1:$FA$162,COLUMN(Prehľad!A44)+6,FALSE),VLOOKUP(Prehľad!$B44,Harmonogram!$F$2:$EW$150,COLUMN(Prehľad!A44)+1,FALSE))),"")</f>
        <v>Technický stav zariadení pre značnú zastaranosť je v havarijnom stave a zariadenia nespĺňajú kritériá bezpečnej prevádzky na elektrifikovaných tratiach ŽSR. Z hľadiska prevádzkovania je kritický nedostatok náhradných dielov, ktoré sa už nevyrábajú.</v>
      </c>
      <c r="D44" s="177" t="str">
        <f>IFERROR(IF(IF(ISBLANK($B44),VLOOKUP($A44,Harmonogram!$A$1:$FA$162,COLUMN(Prehľad!B44)+6,FALSE),VLOOKUP(Prehľad!$B44,Harmonogram!$F$2:$EW$150,COLUMN(Prehľad!B44)+1,FALSE))=0,"",IF(ISBLANK($B44),VLOOKUP($A44,Harmonogram!$A$1:$FA$162,COLUMN(Prehľad!B44)+6,FALSE),VLOOKUP(Prehľad!$B44,Harmonogram!$F$2:$EW$150,COLUMN(Prehľad!B44)+1,FALSE))),"")</f>
        <v>Rekonštrukciou tejto napájacej stanice sa zmodernizuje technológia, zvýši sa spoľahlivosť prevádzky, znížia sa náklady na opravy, údržbu a prevádzku</v>
      </c>
      <c r="E44" s="204" t="str">
        <f>IFERROR(IF(IF(ISBLANK($B44),VLOOKUP($A44,Harmonogram!$A$1:$FA$162,COLUMN(Prehľad!C44)+6,FALSE),VLOOKUP(Prehľad!$B44,Harmonogram!$F$2:$EW$150,COLUMN(Prehľad!C44)+1,FALSE))=0,"",IF(ISBLANK($B44),VLOOKUP($A44,Harmonogram!$A$1:$FA$162,COLUMN(Prehľad!C44)+6,FALSE),VLOOKUP(Prehľad!$B44,Harmonogram!$F$2:$EW$150,COLUMN(Prehľad!C44)+1,FALSE))),"")</f>
        <v>TEN-T core;
RFC 9 - hlavná trať
RFC 11 - alternatívna trať
Dĺžka(190a)= 36,9km; osôb/deň= 6000; mil.hrtkm/rok=589,9</v>
      </c>
      <c r="F44" s="177" t="str">
        <f>IF(ISBLANK(B44),"",IFERROR(VLOOKUP(B44,Harmonogram!$F$3:$EO$97,140,FALSE),"er"))</f>
        <v>Stavba do 3 km</v>
      </c>
      <c r="G44" s="177" t="str">
        <f>IFERROR(IF(IF(ISBLANK($B44),VLOOKUP($A44,Harmonogram!$A$1:$FA$162,COLUMN(Prehľad!D44)+6,FALSE),VLOOKUP(Prehľad!$B44,Harmonogram!$F$2:$EW$150,COLUMN(Prehľad!D44)+1,FALSE))=0,"",IF(ISBLANK($B44),VLOOKUP($A44,Harmonogram!$A$1:$FA$162,COLUMN(Prehľad!D44)+6,FALSE),VLOOKUP(Prehľad!$B44,Harmonogram!$F$2:$EW$150,COLUMN(Prehľad!D44)+1,FALSE))),"")</f>
        <v>1b</v>
      </c>
      <c r="H44" s="250" t="str">
        <f>IFERROR(IF(IF(ISBLANK($B44),VLOOKUP($A44,Harmonogram!$A$1:$FA$162,COLUMN(Prehľad!A44)+11,FALSE),VLOOKUP(Prehľad!$B44,Harmonogram!$F$2:$EW$150,COLUMN(Prehľad!A44)+6,FALSE))=0,"",IF(ISBLANK($B44),VLOOKUP($A44,Harmonogram!$A$1:$FA$162,COLUMN(Prehľad!A44)+11,FALSE),VLOOKUP(Prehľad!$B44,Harmonogram!$F$2:$EW$150,COLUMN(Prehľad!A44)+6,FALSE))),"")</f>
        <v>Príprava VO</v>
      </c>
      <c r="I44" s="260">
        <f>IF(LEN($B44)=0,VLOOKUP($A44,Harmonogram!$A$1:$FA$162,COLUMN(Prehľad!B44)+11,FALSE),VLOOKUP(Prehľad!$B44,Harmonogram!$F$2:$EW$150,COLUMN(Prehľad!B44)+6,FALSE))</f>
        <v>10342334.440000001</v>
      </c>
      <c r="J44" s="261">
        <f>IF(LEN($B44)=0,VLOOKUP($A44,Harmonogram!$A$1:$FA$162,COLUMN(Prehľad!A44)*12+12,FALSE),VLOOKUP(Prehľad!$B44,Harmonogram!$F$2:$EW$150,COLUMN(Prehľad!A44)*12+7,FALSE))</f>
        <v>305030</v>
      </c>
      <c r="K44" s="260">
        <f>IF(LEN($B44)=0,VLOOKUP($A44,Harmonogram!$A$1:$FA$162,COLUMN(Prehľad!B44)*12+12,FALSE),VLOOKUP(Prehľad!$B44,Harmonogram!$F$2:$EW$150,COLUMN(Prehľad!B44)*12+7,FALSE))</f>
        <v>15744.46</v>
      </c>
      <c r="L44" s="260">
        <f>IF(LEN($B44)=0,VLOOKUP($A44,Harmonogram!$A$1:$FA$162,COLUMN(Prehľad!C44)*12+12,FALSE),VLOOKUP(Prehľad!$B44,Harmonogram!$F$2:$EW$150,COLUMN(Prehľad!C44)*12+7,FALSE))</f>
        <v>0</v>
      </c>
      <c r="M44" s="260">
        <f>IF(LEN($B44)=0,VLOOKUP($A44,Harmonogram!$A$1:$FA$162,COLUMN(Prehľad!D44)*12+12,FALSE),VLOOKUP(Prehľad!$B44,Harmonogram!$F$2:$EW$150,COLUMN(Prehľad!D44)*12+7,FALSE))</f>
        <v>0</v>
      </c>
      <c r="N44" s="260">
        <f>IF(LEN($B44)=0,VLOOKUP($A44,Harmonogram!$A$1:$FA$162,COLUMN(Prehľad!E44)*12+12,FALSE),VLOOKUP(Prehľad!$B44,Harmonogram!$F$2:$EW$150,COLUMN(Prehľad!E44)*12+7,FALSE))</f>
        <v>0</v>
      </c>
      <c r="O44" s="260">
        <f>IF(LEN($B44)=0,VLOOKUP($A44,Harmonogram!$A$1:$FA$162,COLUMN(Prehľad!F44)*12+12,FALSE),VLOOKUP(Prehľad!$B44,Harmonogram!$F$2:$EW$150,COLUMN(Prehľad!F44)*12+7,FALSE))</f>
        <v>0</v>
      </c>
      <c r="P44" s="260">
        <f>IF(LEN($B44)=0,VLOOKUP($A44,Harmonogram!$A$1:$FA$162,COLUMN(Prehľad!G44)*12+12,FALSE),VLOOKUP(Prehľad!$B44,Harmonogram!$F$2:$EW$150,COLUMN(Prehľad!G44)*12+7,FALSE))</f>
        <v>10021559.98</v>
      </c>
      <c r="Q44" s="260">
        <f>IF(LEN($B44)=0,VLOOKUP($A44,Harmonogram!$A$1:$FA$162,COLUMN(Prehľad!H44)*12+12,FALSE),VLOOKUP(Prehľad!$B44,Harmonogram!$F$2:$EW$150,COLUMN(Prehľad!H44)*12+7,FALSE))</f>
        <v>0</v>
      </c>
      <c r="R44" s="260">
        <f>IF(LEN($B44)=0,VLOOKUP($A44,Harmonogram!$A$1:$FA$162,COLUMN(Prehľad!I44)*12+12,FALSE),VLOOKUP(Prehľad!$B44,Harmonogram!$F$2:$EW$150,COLUMN(Prehľad!I44)*12+7,FALSE))</f>
        <v>0</v>
      </c>
      <c r="S44" s="260">
        <f>IF(LEN($B44)=0,VLOOKUP($A44,Harmonogram!$A$1:$FA$162,COLUMN(Prehľad!J44)*12+12,FALSE),VLOOKUP(Prehľad!$B44,Harmonogram!$F$2:$EW$150,COLUMN(Prehľad!J44)*12+7,FALSE))</f>
        <v>0</v>
      </c>
      <c r="T44" s="262">
        <f>IF(LEN($B44)=0,VLOOKUP($A44,Harmonogram!$A$1:$FA$162,COLUMN(Prehľad!K44)*12+12,FALSE),VLOOKUP(Prehľad!$B44,Harmonogram!$F$2:$EW$150,COLUMN(Prehľad!K44)*12+7,FALSE))</f>
        <v>0</v>
      </c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</row>
    <row r="45" spans="1:33" ht="345" x14ac:dyDescent="0.25">
      <c r="A45" s="240"/>
      <c r="B45" s="203" t="s">
        <v>1031</v>
      </c>
      <c r="C45" s="177" t="str">
        <f>IFERROR(IF(IF(ISBLANK($B45),VLOOKUP($A45,Harmonogram!$A$1:$FA$162,COLUMN(Prehľad!A45)+6,FALSE),VLOOKUP(Prehľad!$B45,Harmonogram!$F$2:$EW$150,COLUMN(Prehľad!A45)+1,FALSE))=0,"",IF(ISBLANK($B45),VLOOKUP($A45,Harmonogram!$A$1:$FA$162,COLUMN(Prehľad!A45)+6,FALSE),VLOOKUP(Prehľad!$B45,Harmonogram!$F$2:$EW$150,COLUMN(Prehľad!A45)+1,FALSE))),"")</f>
        <v>Komplexná rekonštrukcia železničného zvršku, vrátane výmeny koľajového lôžka na mostných objektoch km 13,194 ; km 15,009 (PSKT nosníky) a km 13,674 ; km 14,573(spriahnuté konštrukcie) a v priľahlých úsekoch trate pre koľ. č. 1 a koľ. č. 2
- Súvislá výmena mostníc na moste, v km 14,159 hlavného mostného objektu (HMO) pre koľaj č. 1 a koľaj č. 2
- Oprava izolácie, odvodnenia, prekrytia medzier medzi nosníkmi a prekrytia dilatačných medzier medzi jednotlivými poliami pre mostné objekty (PSKT) v km 13,194 a km 15,009 pre koľaje č. 1 a č.2.
- Oprava izolácie, odvodnenia a prekrytia dilatačných medzier medzi jednotlivými poliami pre mostné objekty (spriahnuté) v km 13,674 a km 14,573 pre koľaje č. 1 a č.2.
- Výmena káblového žľabu a poklopov na mostoch v km 13,194; km 13,674; km 14,573; km 15,009
- Ošetrenie PSKT nosníkov na mostných objektoch v km 13,194 a km 15,009
- Protikorózna ochrana spriahnutých nosníkov na mostných objektoch v km 13,674 a km 14,573.
- Protikorózna ochrana zábradlia na mostných objektoch v km 13,194; km 13,674 km 14,573 a km 15,009
- Sanácia úložných konzol trakčných podpier, vrátane úložných prahov ložísk pre všetky polia mostných objektov v km 13,194; km 13,674; km 14,573; km 15,009 pre koľaje č. 1 a č.2
- Výmena trakčných podpier a trolejového vedenia v celom rekonštruovanom úseku DŽM pre koľ. č. 1 a koľ. č. 2</v>
      </c>
      <c r="D45" s="177" t="str">
        <f>IFERROR(IF(IF(ISBLANK($B45),VLOOKUP($A45,Harmonogram!$A$1:$FA$162,COLUMN(Prehľad!B45)+6,FALSE),VLOOKUP(Prehľad!$B45,Harmonogram!$F$2:$EW$150,COLUMN(Prehľad!B45)+1,FALSE))=0,"",IF(ISBLANK($B45),VLOOKUP($A45,Harmonogram!$A$1:$FA$162,COLUMN(Prehľad!B45)+6,FALSE),VLOOKUP(Prehľad!$B45,Harmonogram!$F$2:$EW$150,COLUMN(Prehľad!B45)+1,FALSE))),"")</f>
        <v>Mostné objekty Diaľnično-železničného mosta (DŽM – mosty v km 13,194; km 13,674; km 14,159; km 14,573; km 15,009) vykazujú na mnohých miestach známky opotrebenia a na dlhodobé zaistenie jeho prevádzky je potrebná súvislá rekonštrukcia železničného zvršku
na celom úseku DŽM a zlepšenie technického stavu mostných objektov. Stavba rieši odstránenie nevyhovujúceho technického stavu mostných objektov. Pre dlhodobé zaistenie prevádzky je potrebná súvislá rekonštrukcia železničného zvršku na celom úseku DŽM a úpravy ostatnej infraštruktúry potrebnej pre prevádzku železničnej dráhy v predmetnom úseku. Stavba je navrhnutá za účelom zlepšenia terajšieho stavu trate a pre zvýšenie bezpečnosti a komfortu cestujúcich, bezpečnosti a plynulosti prevádzky, spoločne so znížením nákladov na údržbu.</v>
      </c>
      <c r="E45" s="204" t="str">
        <f>IFERROR(IF(IF(ISBLANK($B45),VLOOKUP($A45,Harmonogram!$A$1:$FA$162,COLUMN(Prehľad!C45)+6,FALSE),VLOOKUP(Prehľad!$B45,Harmonogram!$F$2:$EW$150,COLUMN(Prehľad!C45)+1,FALSE))=0,"",IF(ISBLANK($B45),VLOOKUP($A45,Harmonogram!$A$1:$FA$162,COLUMN(Prehľad!C45)+6,FALSE),VLOOKUP(Prehľad!$B45,Harmonogram!$F$2:$EW$150,COLUMN(Prehľad!C45)+1,FALSE))),"")</f>
        <v>TEN-T core;
RFC 5 - hlavná trať
RFC 7 - hlavná trať
RFC 11 - hlavná trať
Dĺžka(BAJ)= 12,3km; osôb/deň= 1000; mil.hrtkm/rok=222,7</v>
      </c>
      <c r="F45" s="177" t="str">
        <f>IF(ISBLANK(B45),"",IFERROR(VLOOKUP(B45,Harmonogram!$F$3:$EO$97,140,FALSE),"er"))</f>
        <v>Stavba do 3 km</v>
      </c>
      <c r="G45" s="177" t="str">
        <f>IFERROR(IF(IF(ISBLANK($B45),VLOOKUP($A45,Harmonogram!$A$1:$FA$162,COLUMN(Prehľad!D45)+6,FALSE),VLOOKUP(Prehľad!$B45,Harmonogram!$F$2:$EW$150,COLUMN(Prehľad!D45)+1,FALSE))=0,"",IF(ISBLANK($B45),VLOOKUP($A45,Harmonogram!$A$1:$FA$162,COLUMN(Prehľad!D45)+6,FALSE),VLOOKUP(Prehľad!$B45,Harmonogram!$F$2:$EW$150,COLUMN(Prehľad!D45)+1,FALSE))),"")</f>
        <v>1b</v>
      </c>
      <c r="H45" s="250" t="str">
        <f>IFERROR(IF(IF(ISBLANK($B45),VLOOKUP($A45,Harmonogram!$A$1:$FA$162,COLUMN(Prehľad!A45)+11,FALSE),VLOOKUP(Prehľad!$B45,Harmonogram!$F$2:$EW$150,COLUMN(Prehľad!A45)+6,FALSE))=0,"",IF(ISBLANK($B45),VLOOKUP($A45,Harmonogram!$A$1:$FA$162,COLUMN(Prehľad!A45)+11,FALSE),VLOOKUP(Prehľad!$B45,Harmonogram!$F$2:$EW$150,COLUMN(Prehľad!A45)+6,FALSE))),"")</f>
        <v>Príprava VO</v>
      </c>
      <c r="I45" s="260">
        <f>IF(LEN($B45)=0,VLOOKUP($A45,Harmonogram!$A$1:$FA$162,COLUMN(Prehľad!B45)+11,FALSE),VLOOKUP(Prehľad!$B45,Harmonogram!$F$2:$EW$150,COLUMN(Prehľad!B45)+6,FALSE))</f>
        <v>5886869.5999999996</v>
      </c>
      <c r="J45" s="261">
        <f>IF(LEN($B45)=0,VLOOKUP($A45,Harmonogram!$A$1:$FA$162,COLUMN(Prehľad!A45)*12+12,FALSE),VLOOKUP(Prehľad!$B45,Harmonogram!$F$2:$EW$150,COLUMN(Prehľad!A45)*12+7,FALSE))</f>
        <v>296269.59999999998</v>
      </c>
      <c r="K45" s="260">
        <f>IF(LEN($B45)=0,VLOOKUP($A45,Harmonogram!$A$1:$FA$162,COLUMN(Prehľad!B45)*12+12,FALSE),VLOOKUP(Prehľad!$B45,Harmonogram!$F$2:$EW$150,COLUMN(Prehľad!B45)*12+7,FALSE))</f>
        <v>0</v>
      </c>
      <c r="L45" s="260">
        <f>IF(LEN($B45)=0,VLOOKUP($A45,Harmonogram!$A$1:$FA$162,COLUMN(Prehľad!C45)*12+12,FALSE),VLOOKUP(Prehľad!$B45,Harmonogram!$F$2:$EW$150,COLUMN(Prehľad!C45)*12+7,FALSE))</f>
        <v>0</v>
      </c>
      <c r="M45" s="260">
        <f>IF(LEN($B45)=0,VLOOKUP($A45,Harmonogram!$A$1:$FA$162,COLUMN(Prehľad!D45)*12+12,FALSE),VLOOKUP(Prehľad!$B45,Harmonogram!$F$2:$EW$150,COLUMN(Prehľad!D45)*12+7,FALSE))</f>
        <v>0</v>
      </c>
      <c r="N45" s="260">
        <f>IF(LEN($B45)=0,VLOOKUP($A45,Harmonogram!$A$1:$FA$162,COLUMN(Prehľad!E45)*12+12,FALSE),VLOOKUP(Prehľad!$B45,Harmonogram!$F$2:$EW$150,COLUMN(Prehľad!E45)*12+7,FALSE))</f>
        <v>0</v>
      </c>
      <c r="O45" s="260">
        <f>IF(LEN($B45)=0,VLOOKUP($A45,Harmonogram!$A$1:$FA$162,COLUMN(Prehľad!F45)*12+12,FALSE),VLOOKUP(Prehľad!$B45,Harmonogram!$F$2:$EW$150,COLUMN(Prehľad!F45)*12+7,FALSE))</f>
        <v>5590600</v>
      </c>
      <c r="P45" s="260">
        <f>IF(LEN($B45)=0,VLOOKUP($A45,Harmonogram!$A$1:$FA$162,COLUMN(Prehľad!G45)*12+12,FALSE),VLOOKUP(Prehľad!$B45,Harmonogram!$F$2:$EW$150,COLUMN(Prehľad!G45)*12+7,FALSE))</f>
        <v>0</v>
      </c>
      <c r="Q45" s="260">
        <f>IF(LEN($B45)=0,VLOOKUP($A45,Harmonogram!$A$1:$FA$162,COLUMN(Prehľad!H45)*12+12,FALSE),VLOOKUP(Prehľad!$B45,Harmonogram!$F$2:$EW$150,COLUMN(Prehľad!H45)*12+7,FALSE))</f>
        <v>0</v>
      </c>
      <c r="R45" s="260">
        <f>IF(LEN($B45)=0,VLOOKUP($A45,Harmonogram!$A$1:$FA$162,COLUMN(Prehľad!I45)*12+12,FALSE),VLOOKUP(Prehľad!$B45,Harmonogram!$F$2:$EW$150,COLUMN(Prehľad!I45)*12+7,FALSE))</f>
        <v>0</v>
      </c>
      <c r="S45" s="260">
        <f>IF(LEN($B45)=0,VLOOKUP($A45,Harmonogram!$A$1:$FA$162,COLUMN(Prehľad!J45)*12+12,FALSE),VLOOKUP(Prehľad!$B45,Harmonogram!$F$2:$EW$150,COLUMN(Prehľad!J45)*12+7,FALSE))</f>
        <v>0</v>
      </c>
      <c r="T45" s="262">
        <f>IF(LEN($B45)=0,VLOOKUP($A45,Harmonogram!$A$1:$FA$162,COLUMN(Prehľad!K45)*12+12,FALSE),VLOOKUP(Prehľad!$B45,Harmonogram!$F$2:$EW$150,COLUMN(Prehľad!K45)*12+7,FALSE))</f>
        <v>0</v>
      </c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</row>
    <row r="46" spans="1:33" ht="105" x14ac:dyDescent="0.25">
      <c r="A46" s="240"/>
      <c r="B46" s="203" t="s">
        <v>947</v>
      </c>
      <c r="C46" s="177" t="str">
        <f>IFERROR(IF(IF(ISBLANK($B46),VLOOKUP($A46,Harmonogram!$A$1:$FA$162,COLUMN(Prehľad!A46)+6,FALSE),VLOOKUP(Prehľad!$B46,Harmonogram!$F$2:$EW$150,COLUMN(Prehľad!A46)+1,FALSE))=0,"",IF(ISBLANK($B46),VLOOKUP($A46,Harmonogram!$A$1:$FA$162,COLUMN(Prehľad!A46)+6,FALSE),VLOOKUP(Prehľad!$B46,Harmonogram!$F$2:$EW$150,COLUMN(Prehľad!A46)+1,FALSE))),"")</f>
        <v>Dôvodom stavby je zvýšenie kapacity koľajiska ŽST Nové Košariská zmenou určenia koľaje č. 3 a 5. Zmenou koľaje č. 3 a 5 na dopravnú koľaj a zapojením do zabezpečovacieho zariadenia sa dosiahne zvýšenie kapacity koľajiska. Podmienkou pre využitie koľají pre vlakovú dopravu je vykonanie rekonštrukcie koľají z dôvodu ich nevyhovujúceho technického stavu. Aktuálny stav koľají č. 3 a 5 a výhybiek v ŽST Nové Košariská je vzhľadom na ich vek ťažko udržateľný v prevádzkyschopnom stave.</v>
      </c>
      <c r="D46" s="177" t="str">
        <f>IFERROR(IF(IF(ISBLANK($B46),VLOOKUP($A46,Harmonogram!$A$1:$FA$162,COLUMN(Prehľad!B46)+6,FALSE),VLOOKUP(Prehľad!$B46,Harmonogram!$F$2:$EW$150,COLUMN(Prehľad!B46)+1,FALSE))=0,"",IF(ISBLANK($B46),VLOOKUP($A46,Harmonogram!$A$1:$FA$162,COLUMN(Prehľad!B46)+6,FALSE),VLOOKUP(Prehľad!$B46,Harmonogram!$F$2:$EW$150,COLUMN(Prehľad!B46)+1,FALSE))),"")</f>
        <v xml:space="preserve">Rekonštrukciou sa dosiahne normový stav a zaistí požadovaná bezpečnosť a plynulosť železničnej dopravy, znížia predpokladané náklady na údržbu a dosiahne vyšší kvalitatívny štandard železničnej dopravy. </v>
      </c>
      <c r="E46" s="204" t="str">
        <f>IFERROR(IF(IF(ISBLANK($B46),VLOOKUP($A46,Harmonogram!$A$1:$FA$162,COLUMN(Prehľad!C46)+6,FALSE),VLOOKUP(Prehľad!$B46,Harmonogram!$F$2:$EW$150,COLUMN(Prehľad!C46)+1,FALSE))=0,"",IF(ISBLANK($B46),VLOOKUP($A46,Harmonogram!$A$1:$FA$162,COLUMN(Prehľad!C46)+6,FALSE),VLOOKUP(Prehľad!$B46,Harmonogram!$F$2:$EW$150,COLUMN(Prehľad!C46)+1,FALSE))),"")</f>
        <v>Hlavná trať ŽSR
RFC 5 - prípojná trať
RFC 7 - prípojná trať
RFC 11 - prípojná trať
Dĺžka(131a)= 21,1km; osôb/deň= 9000; mil.hrtkm/rok=88,6</v>
      </c>
      <c r="F46" s="177">
        <f>IF(ISBLANK(B46),"",IFERROR(VLOOKUP(B46,Harmonogram!$F$3:$EO$97,140,FALSE),"er"))</f>
        <v>1.9730000000000001</v>
      </c>
      <c r="G46" s="177" t="str">
        <f>IFERROR(IF(IF(ISBLANK($B46),VLOOKUP($A46,Harmonogram!$A$1:$FA$162,COLUMN(Prehľad!D46)+6,FALSE),VLOOKUP(Prehľad!$B46,Harmonogram!$F$2:$EW$150,COLUMN(Prehľad!D46)+1,FALSE))=0,"",IF(ISBLANK($B46),VLOOKUP($A46,Harmonogram!$A$1:$FA$162,COLUMN(Prehľad!D46)+6,FALSE),VLOOKUP(Prehľad!$B46,Harmonogram!$F$2:$EW$150,COLUMN(Prehľad!D46)+1,FALSE))),"")</f>
        <v>1b</v>
      </c>
      <c r="H46" s="250" t="str">
        <f>IFERROR(IF(IF(ISBLANK($B46),VLOOKUP($A46,Harmonogram!$A$1:$FA$162,COLUMN(Prehľad!A46)+11,FALSE),VLOOKUP(Prehľad!$B46,Harmonogram!$F$2:$EW$150,COLUMN(Prehľad!A46)+6,FALSE))=0,"",IF(ISBLANK($B46),VLOOKUP($A46,Harmonogram!$A$1:$FA$162,COLUMN(Prehľad!A46)+11,FALSE),VLOOKUP(Prehľad!$B46,Harmonogram!$F$2:$EW$150,COLUMN(Prehľad!A46)+6,FALSE))),"")</f>
        <v>Príprava VO</v>
      </c>
      <c r="I46" s="260">
        <f>IF(LEN($B46)=0,VLOOKUP($A46,Harmonogram!$A$1:$FA$162,COLUMN(Prehľad!B46)+11,FALSE),VLOOKUP(Prehľad!$B46,Harmonogram!$F$2:$EW$150,COLUMN(Prehľad!B46)+6,FALSE))</f>
        <v>2371649.37</v>
      </c>
      <c r="J46" s="261">
        <f>IF(LEN($B46)=0,VLOOKUP($A46,Harmonogram!$A$1:$FA$162,COLUMN(Prehľad!A46)*12+12,FALSE),VLOOKUP(Prehľad!$B46,Harmonogram!$F$2:$EW$150,COLUMN(Prehľad!A46)*12+7,FALSE))</f>
        <v>0</v>
      </c>
      <c r="K46" s="260">
        <f>IF(LEN($B46)=0,VLOOKUP($A46,Harmonogram!$A$1:$FA$162,COLUMN(Prehľad!B46)*12+12,FALSE),VLOOKUP(Prehľad!$B46,Harmonogram!$F$2:$EW$150,COLUMN(Prehľad!B46)*12+7,FALSE))</f>
        <v>21649.37</v>
      </c>
      <c r="L46" s="260">
        <f>IF(LEN($B46)=0,VLOOKUP($A46,Harmonogram!$A$1:$FA$162,COLUMN(Prehľad!C46)*12+12,FALSE),VLOOKUP(Prehľad!$B46,Harmonogram!$F$2:$EW$150,COLUMN(Prehľad!C46)*12+7,FALSE))</f>
        <v>0</v>
      </c>
      <c r="M46" s="260">
        <f>IF(LEN($B46)=0,VLOOKUP($A46,Harmonogram!$A$1:$FA$162,COLUMN(Prehľad!D46)*12+12,FALSE),VLOOKUP(Prehľad!$B46,Harmonogram!$F$2:$EW$150,COLUMN(Prehľad!D46)*12+7,FALSE))</f>
        <v>0</v>
      </c>
      <c r="N46" s="260">
        <f>IF(LEN($B46)=0,VLOOKUP($A46,Harmonogram!$A$1:$FA$162,COLUMN(Prehľad!E46)*12+12,FALSE),VLOOKUP(Prehľad!$B46,Harmonogram!$F$2:$EW$150,COLUMN(Prehľad!E46)*12+7,FALSE))</f>
        <v>2350000</v>
      </c>
      <c r="O46" s="260">
        <f>IF(LEN($B46)=0,VLOOKUP($A46,Harmonogram!$A$1:$FA$162,COLUMN(Prehľad!F46)*12+12,FALSE),VLOOKUP(Prehľad!$B46,Harmonogram!$F$2:$EW$150,COLUMN(Prehľad!F46)*12+7,FALSE))</f>
        <v>0</v>
      </c>
      <c r="P46" s="260">
        <f>IF(LEN($B46)=0,VLOOKUP($A46,Harmonogram!$A$1:$FA$162,COLUMN(Prehľad!G46)*12+12,FALSE),VLOOKUP(Prehľad!$B46,Harmonogram!$F$2:$EW$150,COLUMN(Prehľad!G46)*12+7,FALSE))</f>
        <v>0</v>
      </c>
      <c r="Q46" s="260">
        <f>IF(LEN($B46)=0,VLOOKUP($A46,Harmonogram!$A$1:$FA$162,COLUMN(Prehľad!H46)*12+12,FALSE),VLOOKUP(Prehľad!$B46,Harmonogram!$F$2:$EW$150,COLUMN(Prehľad!H46)*12+7,FALSE))</f>
        <v>0</v>
      </c>
      <c r="R46" s="260">
        <f>IF(LEN($B46)=0,VLOOKUP($A46,Harmonogram!$A$1:$FA$162,COLUMN(Prehľad!I46)*12+12,FALSE),VLOOKUP(Prehľad!$B46,Harmonogram!$F$2:$EW$150,COLUMN(Prehľad!I46)*12+7,FALSE))</f>
        <v>0</v>
      </c>
      <c r="S46" s="260">
        <f>IF(LEN($B46)=0,VLOOKUP($A46,Harmonogram!$A$1:$FA$162,COLUMN(Prehľad!J46)*12+12,FALSE),VLOOKUP(Prehľad!$B46,Harmonogram!$F$2:$EW$150,COLUMN(Prehľad!J46)*12+7,FALSE))</f>
        <v>0</v>
      </c>
      <c r="T46" s="262">
        <f>IF(LEN($B46)=0,VLOOKUP($A46,Harmonogram!$A$1:$FA$162,COLUMN(Prehľad!K46)*12+12,FALSE),VLOOKUP(Prehľad!$B46,Harmonogram!$F$2:$EW$150,COLUMN(Prehľad!K46)*12+7,FALSE))</f>
        <v>0</v>
      </c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</row>
    <row r="47" spans="1:33" ht="60" x14ac:dyDescent="0.25">
      <c r="A47" s="240"/>
      <c r="B47" s="203" t="s">
        <v>1041</v>
      </c>
      <c r="C47" s="177" t="str">
        <f>IFERROR(IF(IF(ISBLANK($B47),VLOOKUP($A47,Harmonogram!$A$1:$FA$162,COLUMN(Prehľad!A47)+6,FALSE),VLOOKUP(Prehľad!$B47,Harmonogram!$F$2:$EW$150,COLUMN(Prehľad!A47)+1,FALSE))=0,"",IF(ISBLANK($B47),VLOOKUP($A47,Harmonogram!$A$1:$FA$162,COLUMN(Prehľad!A47)+6,FALSE),VLOOKUP(Prehľad!$B47,Harmonogram!$F$2:$EW$150,COLUMN(Prehľad!A47)+1,FALSE))),"")</f>
        <v>sanácia skalného svahu nad železničnou traťou a telesom cesty III/2211</v>
      </c>
      <c r="D47" s="177" t="str">
        <f>IFERROR(IF(IF(ISBLANK($B47),VLOOKUP($A47,Harmonogram!$A$1:$FA$162,COLUMN(Prehľad!B47)+6,FALSE),VLOOKUP(Prehľad!$B47,Harmonogram!$F$2:$EW$150,COLUMN(Prehľad!B47)+1,FALSE))=0,"",IF(ISBLANK($B47),VLOOKUP($A47,Harmonogram!$A$1:$FA$162,COLUMN(Prehľad!B47)+6,FALSE),VLOOKUP(Prehľad!$B47,Harmonogram!$F$2:$EW$150,COLUMN(Prehľad!B47)+1,FALSE))),"")</f>
        <v>Zvýšenie bezpečnosti a plynulosti železničnej dopravy, skrátenie jazdnej doby vlakov a úspora prevádzkových nákladov.</v>
      </c>
      <c r="E47" s="204" t="str">
        <f>IFERROR(IF(IF(ISBLANK($B47),VLOOKUP($A47,Harmonogram!$A$1:$FA$162,COLUMN(Prehľad!C47)+6,FALSE),VLOOKUP(Prehľad!$B47,Harmonogram!$F$2:$EW$150,COLUMN(Prehľad!C47)+1,FALSE))=0,"",IF(ISBLANK($B47),VLOOKUP($A47,Harmonogram!$A$1:$FA$162,COLUMN(Prehľad!C47)+6,FALSE),VLOOKUP(Prehľad!$B47,Harmonogram!$F$2:$EW$150,COLUMN(Prehľad!C47)+1,FALSE))),"")</f>
        <v>TEN-T core;
RFC 9 - hlavná trať
Dĺžka(180b)= 61,2km; osôb/deň= 11000; mil.hrtkm/rok=1272,2</v>
      </c>
      <c r="F47" s="177" t="str">
        <f>IF(ISBLANK(B47),"",IFERROR(VLOOKUP(B47,Harmonogram!$F$3:$EO$97,140,FALSE),"er"))</f>
        <v>Stavba do 3 km</v>
      </c>
      <c r="G47" s="177" t="str">
        <f>IFERROR(IF(IF(ISBLANK($B47),VLOOKUP($A47,Harmonogram!$A$1:$FA$162,COLUMN(Prehľad!D47)+6,FALSE),VLOOKUP(Prehľad!$B47,Harmonogram!$F$2:$EW$150,COLUMN(Prehľad!D47)+1,FALSE))=0,"",IF(ISBLANK($B47),VLOOKUP($A47,Harmonogram!$A$1:$FA$162,COLUMN(Prehľad!D47)+6,FALSE),VLOOKUP(Prehľad!$B47,Harmonogram!$F$2:$EW$150,COLUMN(Prehľad!D47)+1,FALSE))),"")</f>
        <v>1b</v>
      </c>
      <c r="H47" s="250" t="str">
        <f>IFERROR(IF(IF(ISBLANK($B47),VLOOKUP($A47,Harmonogram!$A$1:$FA$162,COLUMN(Prehľad!A47)+11,FALSE),VLOOKUP(Prehľad!$B47,Harmonogram!$F$2:$EW$150,COLUMN(Prehľad!A47)+6,FALSE))=0,"",IF(ISBLANK($B47),VLOOKUP($A47,Harmonogram!$A$1:$FA$162,COLUMN(Prehľad!A47)+11,FALSE),VLOOKUP(Prehľad!$B47,Harmonogram!$F$2:$EW$150,COLUMN(Prehľad!A47)+6,FALSE))),"")</f>
        <v>Príprava VO</v>
      </c>
      <c r="I47" s="260">
        <f>IF(LEN($B47)=0,VLOOKUP($A47,Harmonogram!$A$1:$FA$162,COLUMN(Prehľad!B47)+11,FALSE),VLOOKUP(Prehľad!$B47,Harmonogram!$F$2:$EW$150,COLUMN(Prehľad!B47)+6,FALSE))</f>
        <v>2000000</v>
      </c>
      <c r="J47" s="261">
        <f>IF(LEN($B47)=0,VLOOKUP($A47,Harmonogram!$A$1:$FA$162,COLUMN(Prehľad!A47)*12+12,FALSE),VLOOKUP(Prehľad!$B47,Harmonogram!$F$2:$EW$150,COLUMN(Prehľad!A47)*12+7,FALSE))</f>
        <v>0</v>
      </c>
      <c r="K47" s="260">
        <f>IF(LEN($B47)=0,VLOOKUP($A47,Harmonogram!$A$1:$FA$162,COLUMN(Prehľad!B47)*12+12,FALSE),VLOOKUP(Prehľad!$B47,Harmonogram!$F$2:$EW$150,COLUMN(Prehľad!B47)*12+7,FALSE))</f>
        <v>0</v>
      </c>
      <c r="L47" s="260">
        <f>IF(LEN($B47)=0,VLOOKUP($A47,Harmonogram!$A$1:$FA$162,COLUMN(Prehľad!C47)*12+12,FALSE),VLOOKUP(Prehľad!$B47,Harmonogram!$F$2:$EW$150,COLUMN(Prehľad!C47)*12+7,FALSE))</f>
        <v>0</v>
      </c>
      <c r="M47" s="260">
        <f>IF(LEN($B47)=0,VLOOKUP($A47,Harmonogram!$A$1:$FA$162,COLUMN(Prehľad!D47)*12+12,FALSE),VLOOKUP(Prehľad!$B47,Harmonogram!$F$2:$EW$150,COLUMN(Prehľad!D47)*12+7,FALSE))</f>
        <v>0</v>
      </c>
      <c r="N47" s="260">
        <f>IF(LEN($B47)=0,VLOOKUP($A47,Harmonogram!$A$1:$FA$162,COLUMN(Prehľad!E47)*12+12,FALSE),VLOOKUP(Prehľad!$B47,Harmonogram!$F$2:$EW$150,COLUMN(Prehľad!E47)*12+7,FALSE))</f>
        <v>2000000</v>
      </c>
      <c r="O47" s="260">
        <f>IF(LEN($B47)=0,VLOOKUP($A47,Harmonogram!$A$1:$FA$162,COLUMN(Prehľad!F47)*12+12,FALSE),VLOOKUP(Prehľad!$B47,Harmonogram!$F$2:$EW$150,COLUMN(Prehľad!F47)*12+7,FALSE))</f>
        <v>0</v>
      </c>
      <c r="P47" s="260">
        <f>IF(LEN($B47)=0,VLOOKUP($A47,Harmonogram!$A$1:$FA$162,COLUMN(Prehľad!G47)*12+12,FALSE),VLOOKUP(Prehľad!$B47,Harmonogram!$F$2:$EW$150,COLUMN(Prehľad!G47)*12+7,FALSE))</f>
        <v>0</v>
      </c>
      <c r="Q47" s="260">
        <f>IF(LEN($B47)=0,VLOOKUP($A47,Harmonogram!$A$1:$FA$162,COLUMN(Prehľad!H47)*12+12,FALSE),VLOOKUP(Prehľad!$B47,Harmonogram!$F$2:$EW$150,COLUMN(Prehľad!H47)*12+7,FALSE))</f>
        <v>0</v>
      </c>
      <c r="R47" s="260">
        <f>IF(LEN($B47)=0,VLOOKUP($A47,Harmonogram!$A$1:$FA$162,COLUMN(Prehľad!I47)*12+12,FALSE),VLOOKUP(Prehľad!$B47,Harmonogram!$F$2:$EW$150,COLUMN(Prehľad!I47)*12+7,FALSE))</f>
        <v>0</v>
      </c>
      <c r="S47" s="260">
        <f>IF(LEN($B47)=0,VLOOKUP($A47,Harmonogram!$A$1:$FA$162,COLUMN(Prehľad!J47)*12+12,FALSE),VLOOKUP(Prehľad!$B47,Harmonogram!$F$2:$EW$150,COLUMN(Prehľad!J47)*12+7,FALSE))</f>
        <v>0</v>
      </c>
      <c r="T47" s="262">
        <f>IF(LEN($B47)=0,VLOOKUP($A47,Harmonogram!$A$1:$FA$162,COLUMN(Prehľad!K47)*12+12,FALSE),VLOOKUP(Prehľad!$B47,Harmonogram!$F$2:$EW$150,COLUMN(Prehľad!K47)*12+7,FALSE))</f>
        <v>0</v>
      </c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</row>
    <row r="48" spans="1:33" ht="270" x14ac:dyDescent="0.25">
      <c r="A48" s="240"/>
      <c r="B48" s="203" t="s">
        <v>936</v>
      </c>
      <c r="C48" s="177" t="str">
        <f>IFERROR(IF(IF(ISBLANK($B48),VLOOKUP($A48,Harmonogram!$A$1:$FA$162,COLUMN(Prehľad!A48)+6,FALSE),VLOOKUP(Prehľad!$B48,Harmonogram!$F$2:$EW$150,COLUMN(Prehľad!A48)+1,FALSE))=0,"",IF(ISBLANK($B48),VLOOKUP($A48,Harmonogram!$A$1:$FA$162,COLUMN(Prehľad!A48)+6,FALSE),VLOOKUP(Prehľad!$B48,Harmonogram!$F$2:$EW$150,COLUMN(Prehľad!A48)+1,FALSE))),"")</f>
        <v>Dôvodom rekonštrukcie výhybiek č. 23, 25ab, 27, 29, 30ab, 31, 32, 33, 34 je nevyhovujúci technický stav železničného zvršku (zastaraný typ železničného zvršku, zlý stav podvalov a výhybkových súčastí spojených s nefunkčnosťou upevňovadiel ) a spodku, Súčasťou stavby bude aj rekonštrukcia úrovňového priechodu km 114,620, ktorý slúži k prístupu na nástupište pri koľaji č.1, prechádzajúci cez koľaj č.1,3,5.</v>
      </c>
      <c r="D48" s="177" t="str">
        <f>IFERROR(IF(IF(ISBLANK($B48),VLOOKUP($A48,Harmonogram!$A$1:$FA$162,COLUMN(Prehľad!B48)+6,FALSE),VLOOKUP(Prehľad!$B48,Harmonogram!$F$2:$EW$150,COLUMN(Prehľad!B48)+1,FALSE))=0,"",IF(ISBLANK($B48),VLOOKUP($A48,Harmonogram!$A$1:$FA$162,COLUMN(Prehľad!B48)+6,FALSE),VLOOKUP(Prehľad!$B48,Harmonogram!$F$2:$EW$150,COLUMN(Prehľad!B48)+1,FALSE))),"")</f>
        <v>Cieľom je zlepšiť technický stav dopravnej cesty, znížiť náklady na údržbu, zabezpečiť bezpečnú a plynulú prevádzku. Účelom stavby je komplexná rekonštrukcia koľají a výhybiek ako aj úprava nástupíšť v ŽST Nové Košariská, ktoré umožnia prevádzkovanie a tým aj obslužnosť zastávok a staníc dlhšími vlakovými súpravami, čo prispeje k čiastočnému zlepšeniu prepravnej kapacity osobnej dopravy a v neposlednom rade zlepšeniu komfortu cestovania pre verejnosť , zabezpečenie štandardov pre cestujúcich v súlade s platnou legislatívou. Účelom stavby je aj zlepšenie technického stavu žel. zvršku a spodku, zariadení EE a OZT , predĺženie životnosti jednotlivých komponentov a zvýšenie priepustnosti jednokoľajnej trate. Zvýšenie únosnosti a vybudovanie nového odvodnenia železničného spodku,  zníženie nákladov na údržbu výhybiek po ukončení KRV zabudovaním nových prvkov železničného zvršku, obmedzenie nepredpokladaných porúch a z nich vyplývajúce obmedzenia prevádzky, vybudovanie nového EOV vrátane prenosových ciest prispeje k plynulosti žel. prevádzky najmä zimnom období, zvýšenie bezpečnosti prevádzky, zvýšenie kultúry, komfortu a plynulosti cestovania.</v>
      </c>
      <c r="E48" s="204" t="str">
        <f>IFERROR(IF(IF(ISBLANK($B48),VLOOKUP($A48,Harmonogram!$A$1:$FA$162,COLUMN(Prehľad!C48)+6,FALSE),VLOOKUP(Prehľad!$B48,Harmonogram!$F$2:$EW$150,COLUMN(Prehľad!C48)+1,FALSE))=0,"",IF(ISBLANK($B48),VLOOKUP($A48,Harmonogram!$A$1:$FA$162,COLUMN(Prehľad!C48)+6,FALSE),VLOOKUP(Prehľad!$B48,Harmonogram!$F$2:$EW$150,COLUMN(Prehľad!C48)+1,FALSE))),"")</f>
        <v>TEN-T core;
RFC 9 - hlavná trať
RFC 11 - hlavná trať
Dĺžka(180h)= 20,8km; osôb/deň= 11000; mil.hrtkm/rok=389
Dĺžka(180i)= 15,6km; osôb/deň= 14000; mil.hrtkm/rok=390,7</v>
      </c>
      <c r="F48" s="177" t="str">
        <f>IF(ISBLANK(B48),"",IFERROR(VLOOKUP(B48,Harmonogram!$F$3:$EO$97,140,FALSE),"er"))</f>
        <v>Stavba do 3 km; 
9 ks v.j.</v>
      </c>
      <c r="G48" s="177" t="str">
        <f>IFERROR(IF(IF(ISBLANK($B48),VLOOKUP($A48,Harmonogram!$A$1:$FA$162,COLUMN(Prehľad!D48)+6,FALSE),VLOOKUP(Prehľad!$B48,Harmonogram!$F$2:$EW$150,COLUMN(Prehľad!D48)+1,FALSE))=0,"",IF(ISBLANK($B48),VLOOKUP($A48,Harmonogram!$A$1:$FA$162,COLUMN(Prehľad!D48)+6,FALSE),VLOOKUP(Prehľad!$B48,Harmonogram!$F$2:$EW$150,COLUMN(Prehľad!D48)+1,FALSE))),"")</f>
        <v>1b</v>
      </c>
      <c r="H48" s="250" t="str">
        <f>IFERROR(IF(IF(ISBLANK($B48),VLOOKUP($A48,Harmonogram!$A$1:$FA$162,COLUMN(Prehľad!A48)+11,FALSE),VLOOKUP(Prehľad!$B48,Harmonogram!$F$2:$EW$150,COLUMN(Prehľad!A48)+6,FALSE))=0,"",IF(ISBLANK($B48),VLOOKUP($A48,Harmonogram!$A$1:$FA$162,COLUMN(Prehľad!A48)+11,FALSE),VLOOKUP(Prehľad!$B48,Harmonogram!$F$2:$EW$150,COLUMN(Prehľad!A48)+6,FALSE))),"")</f>
        <v>Príprava VO</v>
      </c>
      <c r="I48" s="260">
        <f>IF(LEN($B48)=0,VLOOKUP($A48,Harmonogram!$A$1:$FA$162,COLUMN(Prehľad!B48)+11,FALSE),VLOOKUP(Prehľad!$B48,Harmonogram!$F$2:$EW$150,COLUMN(Prehľad!B48)+6,FALSE))</f>
        <v>1816288.9</v>
      </c>
      <c r="J48" s="261">
        <f>IF(LEN($B48)=0,VLOOKUP($A48,Harmonogram!$A$1:$FA$162,COLUMN(Prehľad!A48)*12+12,FALSE),VLOOKUP(Prehľad!$B48,Harmonogram!$F$2:$EW$150,COLUMN(Prehľad!A48)*12+7,FALSE))</f>
        <v>215720.74</v>
      </c>
      <c r="K48" s="260">
        <f>IF(LEN($B48)=0,VLOOKUP($A48,Harmonogram!$A$1:$FA$162,COLUMN(Prehľad!B48)*12+12,FALSE),VLOOKUP(Prehľad!$B48,Harmonogram!$F$2:$EW$150,COLUMN(Prehľad!B48)*12+7,FALSE))</f>
        <v>8988.16</v>
      </c>
      <c r="L48" s="260">
        <f>IF(LEN($B48)=0,VLOOKUP($A48,Harmonogram!$A$1:$FA$162,COLUMN(Prehľad!C48)*12+12,FALSE),VLOOKUP(Prehľad!$B48,Harmonogram!$F$2:$EW$150,COLUMN(Prehľad!C48)*12+7,FALSE))</f>
        <v>0</v>
      </c>
      <c r="M48" s="260">
        <f>IF(LEN($B48)=0,VLOOKUP($A48,Harmonogram!$A$1:$FA$162,COLUMN(Prehľad!D48)*12+12,FALSE),VLOOKUP(Prehľad!$B48,Harmonogram!$F$2:$EW$150,COLUMN(Prehľad!D48)*12+7,FALSE))</f>
        <v>1591580</v>
      </c>
      <c r="N48" s="260">
        <f>IF(LEN($B48)=0,VLOOKUP($A48,Harmonogram!$A$1:$FA$162,COLUMN(Prehľad!E48)*12+12,FALSE),VLOOKUP(Prehľad!$B48,Harmonogram!$F$2:$EW$150,COLUMN(Prehľad!E48)*12+7,FALSE))</f>
        <v>0</v>
      </c>
      <c r="O48" s="260">
        <f>IF(LEN($B48)=0,VLOOKUP($A48,Harmonogram!$A$1:$FA$162,COLUMN(Prehľad!F48)*12+12,FALSE),VLOOKUP(Prehľad!$B48,Harmonogram!$F$2:$EW$150,COLUMN(Prehľad!F48)*12+7,FALSE))</f>
        <v>0</v>
      </c>
      <c r="P48" s="260">
        <f>IF(LEN($B48)=0,VLOOKUP($A48,Harmonogram!$A$1:$FA$162,COLUMN(Prehľad!G48)*12+12,FALSE),VLOOKUP(Prehľad!$B48,Harmonogram!$F$2:$EW$150,COLUMN(Prehľad!G48)*12+7,FALSE))</f>
        <v>0</v>
      </c>
      <c r="Q48" s="260">
        <f>IF(LEN($B48)=0,VLOOKUP($A48,Harmonogram!$A$1:$FA$162,COLUMN(Prehľad!H48)*12+12,FALSE),VLOOKUP(Prehľad!$B48,Harmonogram!$F$2:$EW$150,COLUMN(Prehľad!H48)*12+7,FALSE))</f>
        <v>0</v>
      </c>
      <c r="R48" s="260">
        <f>IF(LEN($B48)=0,VLOOKUP($A48,Harmonogram!$A$1:$FA$162,COLUMN(Prehľad!I48)*12+12,FALSE),VLOOKUP(Prehľad!$B48,Harmonogram!$F$2:$EW$150,COLUMN(Prehľad!I48)*12+7,FALSE))</f>
        <v>0</v>
      </c>
      <c r="S48" s="260">
        <f>IF(LEN($B48)=0,VLOOKUP($A48,Harmonogram!$A$1:$FA$162,COLUMN(Prehľad!J48)*12+12,FALSE),VLOOKUP(Prehľad!$B48,Harmonogram!$F$2:$EW$150,COLUMN(Prehľad!J48)*12+7,FALSE))</f>
        <v>0</v>
      </c>
      <c r="T48" s="262">
        <f>IF(LEN($B48)=0,VLOOKUP($A48,Harmonogram!$A$1:$FA$162,COLUMN(Prehľad!K48)*12+12,FALSE),VLOOKUP(Prehľad!$B48,Harmonogram!$F$2:$EW$150,COLUMN(Prehľad!K48)*12+7,FALSE))</f>
        <v>0</v>
      </c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</row>
    <row r="49" spans="1:33" s="5" customFormat="1" ht="60" x14ac:dyDescent="0.25">
      <c r="A49" s="240"/>
      <c r="B49" s="203" t="s">
        <v>1043</v>
      </c>
      <c r="C49" s="177" t="str">
        <f>IFERROR(IF(IF(ISBLANK($B49),VLOOKUP($A49,Harmonogram!$A$1:$FA$162,COLUMN(Prehľad!A49)+6,FALSE),VLOOKUP(Prehľad!$B49,Harmonogram!$F$2:$EW$150,COLUMN(Prehľad!A49)+1,FALSE))=0,"",IF(ISBLANK($B49),VLOOKUP($A49,Harmonogram!$A$1:$FA$162,COLUMN(Prehľad!A49)+6,FALSE),VLOOKUP(Prehľad!$B49,Harmonogram!$F$2:$EW$150,COLUMN(Prehľad!A49)+1,FALSE))),"")</f>
        <v>Sanácia podchodu</v>
      </c>
      <c r="D49" s="177" t="str">
        <f>IFERROR(IF(IF(ISBLANK($B49),VLOOKUP($A49,Harmonogram!$A$1:$FA$162,COLUMN(Prehľad!B49)+6,FALSE),VLOOKUP(Prehľad!$B49,Harmonogram!$F$2:$EW$150,COLUMN(Prehľad!B49)+1,FALSE))=0,"",IF(ISBLANK($B49),VLOOKUP($A49,Harmonogram!$A$1:$FA$162,COLUMN(Prehľad!B49)+6,FALSE),VLOOKUP(Prehľad!$B49,Harmonogram!$F$2:$EW$150,COLUMN(Prehľad!B49)+1,FALSE))),"")</f>
        <v xml:space="preserve">Projekt rieši stavebné úpravy povrchov podchodu, podláh, stien, prekládku plynovodu. </v>
      </c>
      <c r="E49" s="204" t="str">
        <f>IFERROR(IF(IF(ISBLANK($B49),VLOOKUP($A49,Harmonogram!$A$1:$FA$162,COLUMN(Prehľad!C49)+6,FALSE),VLOOKUP(Prehľad!$B49,Harmonogram!$F$2:$EW$150,COLUMN(Prehľad!C49)+1,FALSE))=0,"",IF(ISBLANK($B49),VLOOKUP($A49,Harmonogram!$A$1:$FA$162,COLUMN(Prehľad!C49)+6,FALSE),VLOOKUP(Prehľad!$B49,Harmonogram!$F$2:$EW$150,COLUMN(Prehľad!C49)+1,FALSE))),"")</f>
        <v>TEN-T core;
RFC 9 - hlavná trať
Dĺžka(180g)= 30,6km; osôb/deň= 10000; mil.hrtkm/rok=666,5</v>
      </c>
      <c r="F49" s="177" t="str">
        <f>IF(ISBLANK(B49),"",IFERROR(VLOOKUP(B49,Harmonogram!$F$3:$EO$97,140,FALSE),"er"))</f>
        <v>Stavba do 3 km</v>
      </c>
      <c r="G49" s="177" t="str">
        <f>IFERROR(IF(IF(ISBLANK($B49),VLOOKUP($A49,Harmonogram!$A$1:$FA$162,COLUMN(Prehľad!D49)+6,FALSE),VLOOKUP(Prehľad!$B49,Harmonogram!$F$2:$EW$150,COLUMN(Prehľad!D49)+1,FALSE))=0,"",IF(ISBLANK($B49),VLOOKUP($A49,Harmonogram!$A$1:$FA$162,COLUMN(Prehľad!D49)+6,FALSE),VLOOKUP(Prehľad!$B49,Harmonogram!$F$2:$EW$150,COLUMN(Prehľad!D49)+1,FALSE))),"")</f>
        <v>1b</v>
      </c>
      <c r="H49" s="250" t="str">
        <f>IFERROR(IF(IF(ISBLANK($B49),VLOOKUP($A49,Harmonogram!$A$1:$FA$162,COLUMN(Prehľad!A49)+11,FALSE),VLOOKUP(Prehľad!$B49,Harmonogram!$F$2:$EW$150,COLUMN(Prehľad!A49)+6,FALSE))=0,"",IF(ISBLANK($B49),VLOOKUP($A49,Harmonogram!$A$1:$FA$162,COLUMN(Prehľad!A49)+11,FALSE),VLOOKUP(Prehľad!$B49,Harmonogram!$F$2:$EW$150,COLUMN(Prehľad!A49)+6,FALSE))),"")</f>
        <v>Príprava VO</v>
      </c>
      <c r="I49" s="260">
        <f>IF(LEN($B49)=0,VLOOKUP($A49,Harmonogram!$A$1:$FA$162,COLUMN(Prehľad!B49)+11,FALSE),VLOOKUP(Prehľad!$B49,Harmonogram!$F$2:$EW$150,COLUMN(Prehľad!B49)+6,FALSE))</f>
        <v>1502000</v>
      </c>
      <c r="J49" s="261">
        <f>IF(LEN($B49)=0,VLOOKUP($A49,Harmonogram!$A$1:$FA$162,COLUMN(Prehľad!A49)*12+12,FALSE),VLOOKUP(Prehľad!$B49,Harmonogram!$F$2:$EW$150,COLUMN(Prehľad!A49)*12+7,FALSE))</f>
        <v>0</v>
      </c>
      <c r="K49" s="260">
        <f>IF(LEN($B49)=0,VLOOKUP($A49,Harmonogram!$A$1:$FA$162,COLUMN(Prehľad!B49)*12+12,FALSE),VLOOKUP(Prehľad!$B49,Harmonogram!$F$2:$EW$150,COLUMN(Prehľad!B49)*12+7,FALSE))</f>
        <v>2000</v>
      </c>
      <c r="L49" s="260">
        <f>IF(LEN($B49)=0,VLOOKUP($A49,Harmonogram!$A$1:$FA$162,COLUMN(Prehľad!C49)*12+12,FALSE),VLOOKUP(Prehľad!$B49,Harmonogram!$F$2:$EW$150,COLUMN(Prehľad!C49)*12+7,FALSE))</f>
        <v>0</v>
      </c>
      <c r="M49" s="260">
        <f>IF(LEN($B49)=0,VLOOKUP($A49,Harmonogram!$A$1:$FA$162,COLUMN(Prehľad!D49)*12+12,FALSE),VLOOKUP(Prehľad!$B49,Harmonogram!$F$2:$EW$150,COLUMN(Prehľad!D49)*12+7,FALSE))</f>
        <v>0</v>
      </c>
      <c r="N49" s="260">
        <f>IF(LEN($B49)=0,VLOOKUP($A49,Harmonogram!$A$1:$FA$162,COLUMN(Prehľad!E49)*12+12,FALSE),VLOOKUP(Prehľad!$B49,Harmonogram!$F$2:$EW$150,COLUMN(Prehľad!E49)*12+7,FALSE))</f>
        <v>1500000</v>
      </c>
      <c r="O49" s="260">
        <f>IF(LEN($B49)=0,VLOOKUP($A49,Harmonogram!$A$1:$FA$162,COLUMN(Prehľad!F49)*12+12,FALSE),VLOOKUP(Prehľad!$B49,Harmonogram!$F$2:$EW$150,COLUMN(Prehľad!F49)*12+7,FALSE))</f>
        <v>0</v>
      </c>
      <c r="P49" s="260">
        <f>IF(LEN($B49)=0,VLOOKUP($A49,Harmonogram!$A$1:$FA$162,COLUMN(Prehľad!G49)*12+12,FALSE),VLOOKUP(Prehľad!$B49,Harmonogram!$F$2:$EW$150,COLUMN(Prehľad!G49)*12+7,FALSE))</f>
        <v>0</v>
      </c>
      <c r="Q49" s="260">
        <f>IF(LEN($B49)=0,VLOOKUP($A49,Harmonogram!$A$1:$FA$162,COLUMN(Prehľad!H49)*12+12,FALSE),VLOOKUP(Prehľad!$B49,Harmonogram!$F$2:$EW$150,COLUMN(Prehľad!H49)*12+7,FALSE))</f>
        <v>0</v>
      </c>
      <c r="R49" s="260">
        <f>IF(LEN($B49)=0,VLOOKUP($A49,Harmonogram!$A$1:$FA$162,COLUMN(Prehľad!I49)*12+12,FALSE),VLOOKUP(Prehľad!$B49,Harmonogram!$F$2:$EW$150,COLUMN(Prehľad!I49)*12+7,FALSE))</f>
        <v>0</v>
      </c>
      <c r="S49" s="260">
        <f>IF(LEN($B49)=0,VLOOKUP($A49,Harmonogram!$A$1:$FA$162,COLUMN(Prehľad!J49)*12+12,FALSE),VLOOKUP(Prehľad!$B49,Harmonogram!$F$2:$EW$150,COLUMN(Prehľad!J49)*12+7,FALSE))</f>
        <v>0</v>
      </c>
      <c r="T49" s="262">
        <f>IF(LEN($B49)=0,VLOOKUP($A49,Harmonogram!$A$1:$FA$162,COLUMN(Prehľad!K49)*12+12,FALSE),VLOOKUP(Prehľad!$B49,Harmonogram!$F$2:$EW$150,COLUMN(Prehľad!K49)*12+7,FALSE))</f>
        <v>0</v>
      </c>
    </row>
    <row r="50" spans="1:33" ht="75" x14ac:dyDescent="0.25">
      <c r="A50" s="240"/>
      <c r="B50" s="203" t="s">
        <v>1194</v>
      </c>
      <c r="C50" s="177" t="str">
        <f>IFERROR(IF(IF(ISBLANK($B50),VLOOKUP($A50,Harmonogram!$A$1:$FA$162,COLUMN(Prehľad!A50)+6,FALSE),VLOOKUP(Prehľad!$B50,Harmonogram!$F$2:$EW$150,COLUMN(Prehľad!A50)+1,FALSE))=0,"",IF(ISBLANK($B50),VLOOKUP($A50,Harmonogram!$A$1:$FA$162,COLUMN(Prehľad!A50)+6,FALSE),VLOOKUP(Prehľad!$B50,Harmonogram!$F$2:$EW$150,COLUMN(Prehľad!A50)+1,FALSE))),"")</f>
        <v>Vplyvom zvýšenia zaťaženia po elektrifikácii trate a nevyhovujúcich objektov železničného spodku a stavieb železničného spodku vykazuje koľaj dlhodobo nevyhovujúce parametre pre bezpečnú železničnú prevádzku.</v>
      </c>
      <c r="D50" s="177" t="str">
        <f>IFERROR(IF(IF(ISBLANK($B50),VLOOKUP($A50,Harmonogram!$A$1:$FA$162,COLUMN(Prehľad!B50)+6,FALSE),VLOOKUP(Prehľad!$B50,Harmonogram!$F$2:$EW$150,COLUMN(Prehľad!B50)+1,FALSE))=0,"",IF(ISBLANK($B50),VLOOKUP($A50,Harmonogram!$A$1:$FA$162,COLUMN(Prehľad!B50)+6,FALSE),VLOOKUP(Prehľad!$B50,Harmonogram!$F$2:$EW$150,COLUMN(Prehľad!B50)+1,FALSE))),"")</f>
        <v>Cieľom rekonštrukcie je zjednotenie sústavy železničného zvršku rekonštruovaných výhybiek s rekonštruovaným nadväzujúcim úsekom priebežnej koľaje, dosiahnutie normových parametrov železničnej infraštruktúry vo všetkých jej ukazovateľoch a zaistenie bezpečnej železničnej prevádzky a pohotovej obsluhy železničnej infraštruktúry.</v>
      </c>
      <c r="E50" s="204" t="str">
        <f>IFERROR(IF(IF(ISBLANK($B50),VLOOKUP($A50,Harmonogram!$A$1:$FA$162,COLUMN(Prehľad!C50)+6,FALSE),VLOOKUP(Prehľad!$B50,Harmonogram!$F$2:$EW$150,COLUMN(Prehľad!C50)+1,FALSE))=0,"",IF(ISBLANK($B50),VLOOKUP($A50,Harmonogram!$A$1:$FA$162,COLUMN(Prehľad!C50)+6,FALSE),VLOOKUP(Prehľad!$B50,Harmonogram!$F$2:$EW$150,COLUMN(Prehľad!C50)+1,FALSE))),"")</f>
        <v>TEN-T comprehensive;
Dĺžka(150c)= 77,4km; osôb/deň= 3000; mil.hrtkm/rok=241</v>
      </c>
      <c r="F50" s="177">
        <f>IF(ISBLANK(B50),"",IFERROR(VLOOKUP(B50,Harmonogram!$F$3:$EO$97,140,FALSE),"er"))</f>
        <v>10.733000000000001</v>
      </c>
      <c r="G50" s="177" t="str">
        <f>IFERROR(IF(IF(ISBLANK($B50),VLOOKUP($A50,Harmonogram!$A$1:$FA$162,COLUMN(Prehľad!D50)+6,FALSE),VLOOKUP(Prehľad!$B50,Harmonogram!$F$2:$EW$150,COLUMN(Prehľad!D50)+1,FALSE))=0,"",IF(ISBLANK($B50),VLOOKUP($A50,Harmonogram!$A$1:$FA$162,COLUMN(Prehľad!D50)+6,FALSE),VLOOKUP(Prehľad!$B50,Harmonogram!$F$2:$EW$150,COLUMN(Prehľad!D50)+1,FALSE))),"")</f>
        <v>1a</v>
      </c>
      <c r="H50" s="250" t="str">
        <f>IFERROR(IF(IF(ISBLANK($B50),VLOOKUP($A50,Harmonogram!$A$1:$FA$162,COLUMN(Prehľad!A50)+11,FALSE),VLOOKUP(Prehľad!$B50,Harmonogram!$F$2:$EW$150,COLUMN(Prehľad!A50)+6,FALSE))=0,"",IF(ISBLANK($B50),VLOOKUP($A50,Harmonogram!$A$1:$FA$162,COLUMN(Prehľad!A50)+11,FALSE),VLOOKUP(Prehľad!$B50,Harmonogram!$F$2:$EW$150,COLUMN(Prehľad!A50)+6,FALSE))),"")</f>
        <v>DSZ/DRS</v>
      </c>
      <c r="I50" s="260">
        <f>IF(LEN($B50)=0,VLOOKUP($A50,Harmonogram!$A$1:$FA$162,COLUMN(Prehľad!B50)+11,FALSE),VLOOKUP(Prehľad!$B50,Harmonogram!$F$2:$EW$150,COLUMN(Prehľad!B50)+6,FALSE))</f>
        <v>39147000</v>
      </c>
      <c r="J50" s="261">
        <f>IF(LEN($B50)=0,VLOOKUP($A50,Harmonogram!$A$1:$FA$162,COLUMN(Prehľad!A50)*12+12,FALSE),VLOOKUP(Prehľad!$B50,Harmonogram!$F$2:$EW$150,COLUMN(Prehľad!A50)*12+7,FALSE))</f>
        <v>15000</v>
      </c>
      <c r="K50" s="260">
        <f>IF(LEN($B50)=0,VLOOKUP($A50,Harmonogram!$A$1:$FA$162,COLUMN(Prehľad!B50)*12+12,FALSE),VLOOKUP(Prehľad!$B50,Harmonogram!$F$2:$EW$150,COLUMN(Prehľad!B50)*12+7,FALSE))</f>
        <v>0</v>
      </c>
      <c r="L50" s="260">
        <f>IF(LEN($B50)=0,VLOOKUP($A50,Harmonogram!$A$1:$FA$162,COLUMN(Prehľad!C50)*12+12,FALSE),VLOOKUP(Prehľad!$B50,Harmonogram!$F$2:$EW$150,COLUMN(Prehľad!C50)*12+7,FALSE))</f>
        <v>18000</v>
      </c>
      <c r="M50" s="260">
        <f>IF(LEN($B50)=0,VLOOKUP($A50,Harmonogram!$A$1:$FA$162,COLUMN(Prehľad!D50)*12+12,FALSE),VLOOKUP(Prehľad!$B50,Harmonogram!$F$2:$EW$150,COLUMN(Prehľad!D50)*12+7,FALSE))</f>
        <v>4900000</v>
      </c>
      <c r="N50" s="260">
        <f>IF(LEN($B50)=0,VLOOKUP($A50,Harmonogram!$A$1:$FA$162,COLUMN(Prehľad!E50)*12+12,FALSE),VLOOKUP(Prehľad!$B50,Harmonogram!$F$2:$EW$150,COLUMN(Prehľad!E50)*12+7,FALSE))</f>
        <v>9000000</v>
      </c>
      <c r="O50" s="260">
        <f>IF(LEN($B50)=0,VLOOKUP($A50,Harmonogram!$A$1:$FA$162,COLUMN(Prehľad!F50)*12+12,FALSE),VLOOKUP(Prehľad!$B50,Harmonogram!$F$2:$EW$150,COLUMN(Prehľad!F50)*12+7,FALSE))</f>
        <v>12607000</v>
      </c>
      <c r="P50" s="260">
        <f>IF(LEN($B50)=0,VLOOKUP($A50,Harmonogram!$A$1:$FA$162,COLUMN(Prehľad!G50)*12+12,FALSE),VLOOKUP(Prehľad!$B50,Harmonogram!$F$2:$EW$150,COLUMN(Prehľad!G50)*12+7,FALSE))</f>
        <v>12607000</v>
      </c>
      <c r="Q50" s="260">
        <f>IF(LEN($B50)=0,VLOOKUP($A50,Harmonogram!$A$1:$FA$162,COLUMN(Prehľad!H50)*12+12,FALSE),VLOOKUP(Prehľad!$B50,Harmonogram!$F$2:$EW$150,COLUMN(Prehľad!H50)*12+7,FALSE))</f>
        <v>0</v>
      </c>
      <c r="R50" s="260">
        <f>IF(LEN($B50)=0,VLOOKUP($A50,Harmonogram!$A$1:$FA$162,COLUMN(Prehľad!I50)*12+12,FALSE),VLOOKUP(Prehľad!$B50,Harmonogram!$F$2:$EW$150,COLUMN(Prehľad!I50)*12+7,FALSE))</f>
        <v>0</v>
      </c>
      <c r="S50" s="260">
        <f>IF(LEN($B50)=0,VLOOKUP($A50,Harmonogram!$A$1:$FA$162,COLUMN(Prehľad!J50)*12+12,FALSE),VLOOKUP(Prehľad!$B50,Harmonogram!$F$2:$EW$150,COLUMN(Prehľad!J50)*12+7,FALSE))</f>
        <v>0</v>
      </c>
      <c r="T50" s="262">
        <f>IF(LEN($B50)=0,VLOOKUP($A50,Harmonogram!$A$1:$FA$162,COLUMN(Prehľad!K50)*12+12,FALSE),VLOOKUP(Prehľad!$B50,Harmonogram!$F$2:$EW$150,COLUMN(Prehľad!K50)*12+7,FALSE))</f>
        <v>0</v>
      </c>
    </row>
    <row r="51" spans="1:33" ht="105" x14ac:dyDescent="0.25">
      <c r="A51" s="241"/>
      <c r="B51" s="203" t="s">
        <v>1036</v>
      </c>
      <c r="C51" s="177" t="str">
        <f>IFERROR(IF(IF(ISBLANK($B51),VLOOKUP($A51,Harmonogram!$A$1:$FA$162,COLUMN(Prehľad!A51)+6,FALSE),VLOOKUP(Prehľad!$B51,Harmonogram!$F$2:$EW$150,COLUMN(Prehľad!A51)+1,FALSE))=0,"",IF(ISBLANK($B51),VLOOKUP($A51,Harmonogram!$A$1:$FA$162,COLUMN(Prehľad!A51)+6,FALSE),VLOOKUP(Prehľad!$B51,Harmonogram!$F$2:$EW$150,COLUMN(Prehľad!A51)+1,FALSE))),"")</f>
        <v xml:space="preserve">Predmetom stavby je elektrifikácia jednokoľajnej existujúcej železničnej trate na území Slovenskej republiky medzi Bratislavou a Viedňou, predstavuje vybudovanie trolejového vedenia v traťovom úseku medzi železničnou stanicou Devínska Nová Ves a mostom cez rieku Morava(po št. hranicu SR/RR ako rozhodujúceho stavebného objektu stavby a iné s tým súvisiace stavebné objekty a prevádzkové súbory, ktoré umožnia prevádzku vlakov s elektrickou trakciou medzi Bratislavou a Viedňou. </v>
      </c>
      <c r="D51" s="177" t="str">
        <f>IFERROR(IF(IF(ISBLANK($B51),VLOOKUP($A51,Harmonogram!$A$1:$FA$162,COLUMN(Prehľad!B51)+6,FALSE),VLOOKUP(Prehľad!$B51,Harmonogram!$F$2:$EW$150,COLUMN(Prehľad!B51)+1,FALSE))=0,"",IF(ISBLANK($B51),VLOOKUP($A51,Harmonogram!$A$1:$FA$162,COLUMN(Prehľad!B51)+6,FALSE),VLOOKUP(Prehľad!$B51,Harmonogram!$F$2:$EW$150,COLUMN(Prehľad!B51)+1,FALSE))),"")</f>
        <v>Zámerom elektrifikácie je vytvoriť podmienky pre vozbu vlakov osobnej a nákladnej dopravy v elektrickej trakcií, skrátenie cestovných časov a odstránenie negatívneho dopadu na životné prostredie.</v>
      </c>
      <c r="E51" s="204" t="str">
        <f>IFERROR(IF(IF(ISBLANK($B51),VLOOKUP($A51,Harmonogram!$A$1:$FA$162,COLUMN(Prehľad!C51)+6,FALSE),VLOOKUP(Prehľad!$B51,Harmonogram!$F$2:$EW$150,COLUMN(Prehľad!C51)+1,FALSE))=0,"",IF(ISBLANK($B51),VLOOKUP($A51,Harmonogram!$A$1:$FA$162,COLUMN(Prehľad!C51)+6,FALSE),VLOOKUP(Prehľad!$B51,Harmonogram!$F$2:$EW$150,COLUMN(Prehľad!C51)+1,FALSE))),"")</f>
        <v>TEN-T core;
RFC 5 - alternatívna trať
RFC 7 - alternatívna trať
Dĺžka(111a)= 2,4km; osôb/deň= 7000; mil.hrtkm/rok=1,1</v>
      </c>
      <c r="F51" s="177">
        <f>IF(ISBLANK(B51),"",IFERROR(VLOOKUP(B51,Harmonogram!$F$3:$EO$97,140,FALSE),"er"))</f>
        <v>2.3809999999999998</v>
      </c>
      <c r="G51" s="177" t="str">
        <f>IFERROR(IF(IF(ISBLANK($B51),VLOOKUP($A51,Harmonogram!$A$1:$FA$162,COLUMN(Prehľad!D51)+6,FALSE),VLOOKUP(Prehľad!$B51,Harmonogram!$F$2:$EW$150,COLUMN(Prehľad!D51)+1,FALSE))=0,"",IF(ISBLANK($B51),VLOOKUP($A51,Harmonogram!$A$1:$FA$162,COLUMN(Prehľad!D51)+6,FALSE),VLOOKUP(Prehľad!$B51,Harmonogram!$F$2:$EW$150,COLUMN(Prehľad!D51)+1,FALSE))),"")</f>
        <v>2a; 4a</v>
      </c>
      <c r="H51" s="250" t="str">
        <f>IFERROR(IF(IF(ISBLANK($B51),VLOOKUP($A51,Harmonogram!$A$1:$FA$162,COLUMN(Prehľad!A51)+11,FALSE),VLOOKUP(Prehľad!$B51,Harmonogram!$F$2:$EW$150,COLUMN(Prehľad!A51)+6,FALSE))=0,"",IF(ISBLANK($B51),VLOOKUP($A51,Harmonogram!$A$1:$FA$162,COLUMN(Prehľad!A51)+11,FALSE),VLOOKUP(Prehľad!$B51,Harmonogram!$F$2:$EW$150,COLUMN(Prehľad!A51)+6,FALSE))),"")</f>
        <v>EIA/DSPRS</v>
      </c>
      <c r="I51" s="260">
        <f>IF(LEN($B51)=0,VLOOKUP($A51,Harmonogram!$A$1:$FA$162,COLUMN(Prehľad!B51)+11,FALSE),VLOOKUP(Prehľad!$B51,Harmonogram!$F$2:$EW$150,COLUMN(Prehľad!B51)+6,FALSE))</f>
        <v>5567100</v>
      </c>
      <c r="J51" s="261">
        <f>IF(LEN($B51)=0,VLOOKUP($A51,Harmonogram!$A$1:$FA$162,COLUMN(Prehľad!A51)*12+12,FALSE),VLOOKUP(Prehľad!$B51,Harmonogram!$F$2:$EW$150,COLUMN(Prehľad!A51)*12+7,FALSE))</f>
        <v>817100</v>
      </c>
      <c r="K51" s="260">
        <f>IF(LEN($B51)=0,VLOOKUP($A51,Harmonogram!$A$1:$FA$162,COLUMN(Prehľad!B51)*12+12,FALSE),VLOOKUP(Prehľad!$B51,Harmonogram!$F$2:$EW$150,COLUMN(Prehľad!B51)*12+7,FALSE))</f>
        <v>0</v>
      </c>
      <c r="L51" s="260">
        <f>IF(LEN($B51)=0,VLOOKUP($A51,Harmonogram!$A$1:$FA$162,COLUMN(Prehľad!C51)*12+12,FALSE),VLOOKUP(Prehľad!$B51,Harmonogram!$F$2:$EW$150,COLUMN(Prehľad!C51)*12+7,FALSE))</f>
        <v>0</v>
      </c>
      <c r="M51" s="260">
        <f>IF(LEN($B51)=0,VLOOKUP($A51,Harmonogram!$A$1:$FA$162,COLUMN(Prehľad!D51)*12+12,FALSE),VLOOKUP(Prehľad!$B51,Harmonogram!$F$2:$EW$150,COLUMN(Prehľad!D51)*12+7,FALSE))</f>
        <v>3062500</v>
      </c>
      <c r="N51" s="260">
        <f>IF(LEN($B51)=0,VLOOKUP($A51,Harmonogram!$A$1:$FA$162,COLUMN(Prehľad!E51)*12+12,FALSE),VLOOKUP(Prehľad!$B51,Harmonogram!$F$2:$EW$150,COLUMN(Prehľad!E51)*12+7,FALSE))</f>
        <v>1687500</v>
      </c>
      <c r="O51" s="260">
        <f>IF(LEN($B51)=0,VLOOKUP($A51,Harmonogram!$A$1:$FA$162,COLUMN(Prehľad!F51)*12+12,FALSE),VLOOKUP(Prehľad!$B51,Harmonogram!$F$2:$EW$150,COLUMN(Prehľad!F51)*12+7,FALSE))</f>
        <v>0</v>
      </c>
      <c r="P51" s="260">
        <f>IF(LEN($B51)=0,VLOOKUP($A51,Harmonogram!$A$1:$FA$162,COLUMN(Prehľad!G51)*12+12,FALSE),VLOOKUP(Prehľad!$B51,Harmonogram!$F$2:$EW$150,COLUMN(Prehľad!G51)*12+7,FALSE))</f>
        <v>0</v>
      </c>
      <c r="Q51" s="260">
        <f>IF(LEN($B51)=0,VLOOKUP($A51,Harmonogram!$A$1:$FA$162,COLUMN(Prehľad!H51)*12+12,FALSE),VLOOKUP(Prehľad!$B51,Harmonogram!$F$2:$EW$150,COLUMN(Prehľad!H51)*12+7,FALSE))</f>
        <v>0</v>
      </c>
      <c r="R51" s="260">
        <f>IF(LEN($B51)=0,VLOOKUP($A51,Harmonogram!$A$1:$FA$162,COLUMN(Prehľad!I51)*12+12,FALSE),VLOOKUP(Prehľad!$B51,Harmonogram!$F$2:$EW$150,COLUMN(Prehľad!I51)*12+7,FALSE))</f>
        <v>0</v>
      </c>
      <c r="S51" s="260">
        <f>IF(LEN($B51)=0,VLOOKUP($A51,Harmonogram!$A$1:$FA$162,COLUMN(Prehľad!J51)*12+12,FALSE),VLOOKUP(Prehľad!$B51,Harmonogram!$F$2:$EW$150,COLUMN(Prehľad!J51)*12+7,FALSE))</f>
        <v>0</v>
      </c>
      <c r="T51" s="262">
        <f>IF(LEN($B51)=0,VLOOKUP($A51,Harmonogram!$A$1:$FA$162,COLUMN(Prehľad!K51)*12+12,FALSE),VLOOKUP(Prehľad!$B51,Harmonogram!$F$2:$EW$150,COLUMN(Prehľad!K51)*12+7,FALSE))</f>
        <v>0</v>
      </c>
    </row>
    <row r="52" spans="1:33" ht="165" x14ac:dyDescent="0.25">
      <c r="A52" s="240"/>
      <c r="B52" s="203" t="s">
        <v>1284</v>
      </c>
      <c r="C52" s="177" t="str">
        <f>IFERROR(IF(IF(ISBLANK($B52),VLOOKUP($A52,Harmonogram!$A$1:$FA$162,COLUMN(Prehľad!A52)+6,FALSE),VLOOKUP(Prehľad!$B52,Harmonogram!$F$2:$EW$150,COLUMN(Prehľad!A52)+1,FALSE))=0,"",IF(ISBLANK($B52),VLOOKUP($A52,Harmonogram!$A$1:$FA$162,COLUMN(Prehľad!A52)+6,FALSE),VLOOKUP(Prehľad!$B52,Harmonogram!$F$2:$EW$150,COLUMN(Prehľad!A52)+1,FALSE))),"")</f>
        <v>Predmetom projektu je modernizácia trate na rýchlosť do 200 km/h. Akcia je súčasťou Medzinárodného projektu spájajúceho slovensko-českú hranicu cez Bratislavu so slovensko-maďarskou hranicou.</v>
      </c>
      <c r="D52" s="177" t="str">
        <f>IFERROR(IF(IF(ISBLANK($B52),VLOOKUP($A52,Harmonogram!$A$1:$FA$162,COLUMN(Prehľad!B52)+6,FALSE),VLOOKUP(Prehľad!$B52,Harmonogram!$F$2:$EW$150,COLUMN(Prehľad!B52)+1,FALSE))=0,"",IF(ISBLANK($B52),VLOOKUP($A52,Harmonogram!$A$1:$FA$162,COLUMN(Prehľad!B52)+6,FALSE),VLOOKUP(Prehľad!$B52,Harmonogram!$F$2:$EW$150,COLUMN(Prehľad!B52)+1,FALSE))),"")</f>
        <v>Ciele projektu sú odstránenie prekážok železničnej trate, zabezpečenie optimálnej úrovne integrácie a interoperability v súlade s Nariadením (EÚ) č. 1299/2014 a Smernicou o interoperabilite 2008/57/ES, skrátenie cestovného času, modernizácia železničných staníc a zastávok, zvýšenie kvality infraštruktúry z hľadiska bezpečnosti, spoľahlivosti a účinnosti, podpora rozdelenia používania jednotlivých druhov dopravy podporovaním využívania železničnej dopravy, zvyšovanie bezpečnosti na železničných tratiach odstraňovaním úrovňových križovatiek križovaní žel. trate s pozemnými komunikáciami a ich nahrádzaním mimoúrovňovými križovaním (nadjazdy, podjazdy, podchody), znižovanie hlukového a atmosférického znečistenia.</v>
      </c>
      <c r="E52" s="204" t="str">
        <f>IFERROR(IF(IF(ISBLANK($B52),VLOOKUP($A52,Harmonogram!$A$1:$FA$162,COLUMN(Prehľad!C52)+6,FALSE),VLOOKUP(Prehľad!$B52,Harmonogram!$F$2:$EW$150,COLUMN(Prehľad!C52)+1,FALSE))=0,"",IF(ISBLANK($B52),VLOOKUP($A52,Harmonogram!$A$1:$FA$162,COLUMN(Prehľad!C52)+6,FALSE),VLOOKUP(Prehľad!$B52,Harmonogram!$F$2:$EW$150,COLUMN(Prehľad!C52)+1,FALSE))),"")</f>
        <v>TEN-T core;
RFC 7 - hlavná trať
Dĺžka(110a)= 6,4km; osôb/deň= 5000; mil.hrtkm/rok=170,9
Dĺžka(110b)= 26,5km; osôb/deň= 9000; mil.hrtkm/rok=690,6
Dĺžka(110c)= 23,6km; osôb/deň= 12000; mil.hrtkm/rok=530,7</v>
      </c>
      <c r="F52" s="177">
        <f>IF(ISBLANK(B52),"",IFERROR(VLOOKUP(B52,Harmonogram!$F$3:$EO$97,140,FALSE),"er"))</f>
        <v>42.42</v>
      </c>
      <c r="G52" s="177" t="str">
        <f>IFERROR(IF(IF(ISBLANK($B52),VLOOKUP($A52,Harmonogram!$A$1:$FA$162,COLUMN(Prehľad!D52)+6,FALSE),VLOOKUP(Prehľad!$B52,Harmonogram!$F$2:$EW$150,COLUMN(Prehľad!D52)+1,FALSE))=0,"",IF(ISBLANK($B52),VLOOKUP($A52,Harmonogram!$A$1:$FA$162,COLUMN(Prehľad!D52)+6,FALSE),VLOOKUP(Prehľad!$B52,Harmonogram!$F$2:$EW$150,COLUMN(Prehľad!D52)+1,FALSE))),"")</f>
        <v>3b</v>
      </c>
      <c r="H52" s="250" t="str">
        <f>IFERROR(IF(IF(ISBLANK($B52),VLOOKUP($A52,Harmonogram!$A$1:$FA$162,COLUMN(Prehľad!A52)+11,FALSE),VLOOKUP(Prehľad!$B52,Harmonogram!$F$2:$EW$150,COLUMN(Prehľad!A52)+6,FALSE))=0,"",IF(ISBLANK($B52),VLOOKUP($A52,Harmonogram!$A$1:$FA$162,COLUMN(Prehľad!A52)+11,FALSE),VLOOKUP(Prehľad!$B52,Harmonogram!$F$2:$EW$150,COLUMN(Prehľad!A52)+6,FALSE))),"")</f>
        <v>PD</v>
      </c>
      <c r="I52" s="260">
        <f>IF(LEN($B52)=0,VLOOKUP($A52,Harmonogram!$A$1:$FA$162,COLUMN(Prehľad!B52)+11,FALSE),VLOOKUP(Prehľad!$B52,Harmonogram!$F$2:$EW$150,COLUMN(Prehľad!B52)+6,FALSE))</f>
        <v>447463747.48000002</v>
      </c>
      <c r="J52" s="261">
        <f>IF(LEN($B52)=0,VLOOKUP($A52,Harmonogram!$A$1:$FA$162,COLUMN(Prehľad!A52)*12+12,FALSE),VLOOKUP(Prehľad!$B52,Harmonogram!$F$2:$EW$150,COLUMN(Prehľad!A52)*12+7,FALSE))</f>
        <v>960182.89</v>
      </c>
      <c r="K52" s="260">
        <f>IF(LEN($B52)=0,VLOOKUP($A52,Harmonogram!$A$1:$FA$162,COLUMN(Prehľad!B52)*12+12,FALSE),VLOOKUP(Prehľad!$B52,Harmonogram!$F$2:$EW$150,COLUMN(Prehľad!B52)*12+7,FALSE))</f>
        <v>1503564.59</v>
      </c>
      <c r="L52" s="260">
        <f>IF(LEN($B52)=0,VLOOKUP($A52,Harmonogram!$A$1:$FA$162,COLUMN(Prehľad!C52)*12+12,FALSE),VLOOKUP(Prehľad!$B52,Harmonogram!$F$2:$EW$150,COLUMN(Prehľad!C52)*12+7,FALSE))</f>
        <v>0</v>
      </c>
      <c r="M52" s="260">
        <f>IF(LEN($B52)=0,VLOOKUP($A52,Harmonogram!$A$1:$FA$162,COLUMN(Prehľad!D52)*12+12,FALSE),VLOOKUP(Prehľad!$B52,Harmonogram!$F$2:$EW$150,COLUMN(Prehľad!D52)*12+7,FALSE))</f>
        <v>0</v>
      </c>
      <c r="N52" s="260">
        <f>IF(LEN($B52)=0,VLOOKUP($A52,Harmonogram!$A$1:$FA$162,COLUMN(Prehľad!E52)*12+12,FALSE),VLOOKUP(Prehľad!$B52,Harmonogram!$F$2:$EW$150,COLUMN(Prehľad!E52)*12+7,FALSE))</f>
        <v>55027000</v>
      </c>
      <c r="O52" s="260">
        <f>IF(LEN($B52)=0,VLOOKUP($A52,Harmonogram!$A$1:$FA$162,COLUMN(Prehľad!F52)*12+12,FALSE),VLOOKUP(Prehľad!$B52,Harmonogram!$F$2:$EW$150,COLUMN(Prehľad!F52)*12+7,FALSE))</f>
        <v>115000000</v>
      </c>
      <c r="P52" s="260">
        <f>IF(LEN($B52)=0,VLOOKUP($A52,Harmonogram!$A$1:$FA$162,COLUMN(Prehľad!G52)*12+12,FALSE),VLOOKUP(Prehľad!$B52,Harmonogram!$F$2:$EW$150,COLUMN(Prehľad!G52)*12+7,FALSE))</f>
        <v>110000000</v>
      </c>
      <c r="Q52" s="260">
        <f>IF(LEN($B52)=0,VLOOKUP($A52,Harmonogram!$A$1:$FA$162,COLUMN(Prehľad!H52)*12+12,FALSE),VLOOKUP(Prehľad!$B52,Harmonogram!$F$2:$EW$150,COLUMN(Prehľad!H52)*12+7,FALSE))</f>
        <v>110000000</v>
      </c>
      <c r="R52" s="260">
        <f>IF(LEN($B52)=0,VLOOKUP($A52,Harmonogram!$A$1:$FA$162,COLUMN(Prehľad!I52)*12+12,FALSE),VLOOKUP(Prehľad!$B52,Harmonogram!$F$2:$EW$150,COLUMN(Prehľad!I52)*12+7,FALSE))</f>
        <v>54973000</v>
      </c>
      <c r="S52" s="260">
        <f>IF(LEN($B52)=0,VLOOKUP($A52,Harmonogram!$A$1:$FA$162,COLUMN(Prehľad!J52)*12+12,FALSE),VLOOKUP(Prehľad!$B52,Harmonogram!$F$2:$EW$150,COLUMN(Prehľad!J52)*12+7,FALSE))</f>
        <v>0</v>
      </c>
      <c r="T52" s="262">
        <f>IF(LEN($B52)=0,VLOOKUP($A52,Harmonogram!$A$1:$FA$162,COLUMN(Prehľad!K52)*12+12,FALSE),VLOOKUP(Prehľad!$B52,Harmonogram!$F$2:$EW$150,COLUMN(Prehľad!K52)*12+7,FALSE))</f>
        <v>0</v>
      </c>
    </row>
    <row r="53" spans="1:33" ht="165" x14ac:dyDescent="0.25">
      <c r="A53" s="240"/>
      <c r="B53" s="203" t="s">
        <v>1285</v>
      </c>
      <c r="C53" s="177" t="str">
        <f>IFERROR(IF(IF(ISBLANK($B53),VLOOKUP($A53,Harmonogram!$A$1:$FA$162,COLUMN(Prehľad!A53)+6,FALSE),VLOOKUP(Prehľad!$B53,Harmonogram!$F$2:$EW$150,COLUMN(Prehľad!A53)+1,FALSE))=0,"",IF(ISBLANK($B53),VLOOKUP($A53,Harmonogram!$A$1:$FA$162,COLUMN(Prehľad!A53)+6,FALSE),VLOOKUP(Prehľad!$B53,Harmonogram!$F$2:$EW$150,COLUMN(Prehľad!A53)+1,FALSE))),"")</f>
        <v xml:space="preserve">Predmetom projektu je modernizácia trate na rýchlosť do 160 km/h. </v>
      </c>
      <c r="D53" s="177" t="str">
        <f>IFERROR(IF(IF(ISBLANK($B53),VLOOKUP($A53,Harmonogram!$A$1:$FA$162,COLUMN(Prehľad!B53)+6,FALSE),VLOOKUP(Prehľad!$B53,Harmonogram!$F$2:$EW$150,COLUMN(Prehľad!B53)+1,FALSE))=0,"",IF(ISBLANK($B53),VLOOKUP($A53,Harmonogram!$A$1:$FA$162,COLUMN(Prehľad!B53)+6,FALSE),VLOOKUP(Prehľad!$B53,Harmonogram!$F$2:$EW$150,COLUMN(Prehľad!B53)+1,FALSE))),"")</f>
        <v>Ciele projektu sú odstránenie prekážok železničnej trate, zabezpečenie optimálnej úrovne integrácie a interoperability v súlade s Nariadením (EÚ) č. 1299/2014 a Smernicou o interoperabilite 2008/57/ES, skrátenie cestovného času, modernizácia železničných staníc a zastávok, zvýšenie kvality infraštruktúry z hľadiska bezpečnosti, spoľahlivosti a účinnosti, podpora rozdelenia používania jednotlivých druhov dopravy podporovaním využívania železničnej dopravy, zvyšovanie bezpečnosti na železničných tratiach odstraňovaním úrovňových križovatiek križovaní žel. trate s pozemnými komunikáciami a ich nahrádzaním mimoúrovňovými križovaním (nadjazdy, podjazdy, podchody), znižovanie hlukového a atmosférického znečistenia.</v>
      </c>
      <c r="E53" s="204" t="str">
        <f>IFERROR(IF(IF(ISBLANK($B53),VLOOKUP($A53,Harmonogram!$A$1:$FA$162,COLUMN(Prehľad!C53)+6,FALSE),VLOOKUP(Prehľad!$B53,Harmonogram!$F$2:$EW$150,COLUMN(Prehľad!C53)+1,FALSE))=0,"",IF(ISBLANK($B53),VLOOKUP($A53,Harmonogram!$A$1:$FA$162,COLUMN(Prehľad!C53)+6,FALSE),VLOOKUP(Prehľad!$B53,Harmonogram!$F$2:$EW$150,COLUMN(Prehľad!C53)+1,FALSE))),"")</f>
        <v>TEN-T core;
RFC 9 - hlavná trať
Dĺžka(180f)= 35,1km; osôb/deň= 10000; mil.hrtkm/rok=731,4</v>
      </c>
      <c r="F53" s="177">
        <f>IF(ISBLANK(B53),"",IFERROR(VLOOKUP(B53,Harmonogram!$F$3:$EO$97,140,FALSE),"er"))</f>
        <v>25.134</v>
      </c>
      <c r="G53" s="177" t="str">
        <f>IFERROR(IF(IF(ISBLANK($B53),VLOOKUP($A53,Harmonogram!$A$1:$FA$162,COLUMN(Prehľad!D53)+6,FALSE),VLOOKUP(Prehľad!$B53,Harmonogram!$F$2:$EW$150,COLUMN(Prehľad!D53)+1,FALSE))=0,"",IF(ISBLANK($B53),VLOOKUP($A53,Harmonogram!$A$1:$FA$162,COLUMN(Prehľad!D53)+6,FALSE),VLOOKUP(Prehľad!$B53,Harmonogram!$F$2:$EW$150,COLUMN(Prehľad!D53)+1,FALSE))),"")</f>
        <v>3b</v>
      </c>
      <c r="H53" s="250" t="str">
        <f>IFERROR(IF(IF(ISBLANK($B53),VLOOKUP($A53,Harmonogram!$A$1:$FA$162,COLUMN(Prehľad!A53)+11,FALSE),VLOOKUP(Prehľad!$B53,Harmonogram!$F$2:$EW$150,COLUMN(Prehľad!A53)+6,FALSE))=0,"",IF(ISBLANK($B53),VLOOKUP($A53,Harmonogram!$A$1:$FA$162,COLUMN(Prehľad!A53)+11,FALSE),VLOOKUP(Prehľad!$B53,Harmonogram!$F$2:$EW$150,COLUMN(Prehľad!A53)+6,FALSE))),"")</f>
        <v>Stavebné povolenie/ DRS</v>
      </c>
      <c r="I53" s="260">
        <f>IF(LEN($B53)=0,VLOOKUP($A53,Harmonogram!$A$1:$FA$162,COLUMN(Prehľad!B53)+11,FALSE),VLOOKUP(Prehľad!$B53,Harmonogram!$F$2:$EW$150,COLUMN(Prehľad!B53)+6,FALSE))</f>
        <v>510023304.07999998</v>
      </c>
      <c r="J53" s="261">
        <f>IF(LEN($B53)=0,VLOOKUP($A53,Harmonogram!$A$1:$FA$162,COLUMN(Prehľad!A53)*12+12,FALSE),VLOOKUP(Prehľad!$B53,Harmonogram!$F$2:$EW$150,COLUMN(Prehľad!A53)*12+7,FALSE))</f>
        <v>12561230.190000001</v>
      </c>
      <c r="K53" s="260">
        <f>IF(LEN($B53)=0,VLOOKUP($A53,Harmonogram!$A$1:$FA$162,COLUMN(Prehľad!B53)*12+12,FALSE),VLOOKUP(Prehľad!$B53,Harmonogram!$F$2:$EW$150,COLUMN(Prehľad!B53)*12+7,FALSE))</f>
        <v>222073.89000000013</v>
      </c>
      <c r="L53" s="260">
        <f>IF(LEN($B53)=0,VLOOKUP($A53,Harmonogram!$A$1:$FA$162,COLUMN(Prehľad!C53)*12+12,FALSE),VLOOKUP(Prehľad!$B53,Harmonogram!$F$2:$EW$150,COLUMN(Prehľad!C53)*12+7,FALSE))</f>
        <v>0</v>
      </c>
      <c r="M53" s="260">
        <f>IF(LEN($B53)=0,VLOOKUP($A53,Harmonogram!$A$1:$FA$162,COLUMN(Prehľad!D53)*12+12,FALSE),VLOOKUP(Prehľad!$B53,Harmonogram!$F$2:$EW$150,COLUMN(Prehľad!D53)*12+7,FALSE))</f>
        <v>0</v>
      </c>
      <c r="N53" s="260">
        <f>IF(LEN($B53)=0,VLOOKUP($A53,Harmonogram!$A$1:$FA$162,COLUMN(Prehľad!E53)*12+12,FALSE),VLOOKUP(Prehľad!$B53,Harmonogram!$F$2:$EW$150,COLUMN(Prehľad!E53)*12+7,FALSE))</f>
        <v>80000000</v>
      </c>
      <c r="O53" s="260">
        <f>IF(LEN($B53)=0,VLOOKUP($A53,Harmonogram!$A$1:$FA$162,COLUMN(Prehľad!F53)*12+12,FALSE),VLOOKUP(Prehľad!$B53,Harmonogram!$F$2:$EW$150,COLUMN(Prehľad!F53)*12+7,FALSE))</f>
        <v>208620000</v>
      </c>
      <c r="P53" s="260">
        <f>IF(LEN($B53)=0,VLOOKUP($A53,Harmonogram!$A$1:$FA$162,COLUMN(Prehľad!G53)*12+12,FALSE),VLOOKUP(Prehľad!$B53,Harmonogram!$F$2:$EW$150,COLUMN(Prehľad!G53)*12+7,FALSE))</f>
        <v>208620000</v>
      </c>
      <c r="Q53" s="260">
        <f>IF(LEN($B53)=0,VLOOKUP($A53,Harmonogram!$A$1:$FA$162,COLUMN(Prehľad!H53)*12+12,FALSE),VLOOKUP(Prehľad!$B53,Harmonogram!$F$2:$EW$150,COLUMN(Prehľad!H53)*12+7,FALSE))</f>
        <v>0</v>
      </c>
      <c r="R53" s="260">
        <f>IF(LEN($B53)=0,VLOOKUP($A53,Harmonogram!$A$1:$FA$162,COLUMN(Prehľad!I53)*12+12,FALSE),VLOOKUP(Prehľad!$B53,Harmonogram!$F$2:$EW$150,COLUMN(Prehľad!I53)*12+7,FALSE))</f>
        <v>0</v>
      </c>
      <c r="S53" s="260">
        <f>IF(LEN($B53)=0,VLOOKUP($A53,Harmonogram!$A$1:$FA$162,COLUMN(Prehľad!J53)*12+12,FALSE),VLOOKUP(Prehľad!$B53,Harmonogram!$F$2:$EW$150,COLUMN(Prehľad!J53)*12+7,FALSE))</f>
        <v>0</v>
      </c>
      <c r="T53" s="262">
        <f>IF(LEN($B53)=0,VLOOKUP($A53,Harmonogram!$A$1:$FA$162,COLUMN(Prehľad!K53)*12+12,FALSE),VLOOKUP(Prehľad!$B53,Harmonogram!$F$2:$EW$150,COLUMN(Prehľad!K53)*12+7,FALSE))</f>
        <v>0</v>
      </c>
    </row>
    <row r="54" spans="1:33" ht="150" x14ac:dyDescent="0.25">
      <c r="A54" s="240"/>
      <c r="B54" s="203" t="s">
        <v>1158</v>
      </c>
      <c r="C54" s="177" t="str">
        <f>IFERROR(IF(IF(ISBLANK($B54),VLOOKUP($A54,Harmonogram!$A$1:$FA$162,COLUMN(Prehľad!A54)+6,FALSE),VLOOKUP(Prehľad!$B54,Harmonogram!$F$2:$EW$150,COLUMN(Prehľad!A54)+1,FALSE))=0,"",IF(ISBLANK($B54),VLOOKUP($A54,Harmonogram!$A$1:$FA$162,COLUMN(Prehľad!A54)+6,FALSE),VLOOKUP(Prehľad!$B54,Harmonogram!$F$2:$EW$150,COLUMN(Prehľad!A54)+1,FALSE))),"")</f>
        <v>Predmetom projektu je elektrifikácia a modernizácia jednokoľajnej trate na celom úseku Bánovce nad Ondavou – Humenné v dĺžke 33,5 km. Maximálna rýchlosť na trati dosahuje 100 km/h. Elektrifikácia je spojená s nevyhnutnou rekonštrukciou trate a s modernizáciou železničnej infraštruktúry.</v>
      </c>
      <c r="D54" s="177" t="str">
        <f>IFERROR(IF(IF(ISBLANK($B54),VLOOKUP($A54,Harmonogram!$A$1:$FA$162,COLUMN(Prehľad!B54)+6,FALSE),VLOOKUP(Prehľad!$B54,Harmonogram!$F$2:$EW$150,COLUMN(Prehľad!B54)+1,FALSE))=0,"",IF(ISBLANK($B54),VLOOKUP($A54,Harmonogram!$A$1:$FA$162,COLUMN(Prehľad!B54)+6,FALSE),VLOOKUP(Prehľad!$B54,Harmonogram!$F$2:$EW$150,COLUMN(Prehľad!B54)+1,FALSE))),"")</f>
        <v>Cieľom projektu je zníženie negatívnych dopadov železničnej dopravy na životné prostredie a zlepšenie stavu železničnej infraštruktúry na trati. Elektrifikácia Bánovce nad Ondavou – Humenné umožní nahradiť motorovú trakciu elektrickou pre väčšinu vlakov na linke Košice – Humenné. Okrem zníženia emisií skleníkových plynov povedie elektrifikácia aj k skráteniu jazdných časov vďaka lepšej dynamike jazdy elektrických vozidiel. Komplexná rekonštrukcia a modernizácia železničnej infraštruktúry zlepšia bezpečnosť prevádzky, umožnia zvýšiť maximálnu rýchlosť v závislosti od zvolenej alternatívy, povedú k ďalším časovým úsporám a znížia prevádzkové náklady ŽSR.</v>
      </c>
      <c r="E54" s="204" t="str">
        <f>IFERROR(IF(IF(ISBLANK($B54),VLOOKUP($A54,Harmonogram!$A$1:$FA$162,COLUMN(Prehľad!C54)+6,FALSE),VLOOKUP(Prehľad!$B54,Harmonogram!$F$2:$EW$150,COLUMN(Prehľad!C54)+1,FALSE))=0,"",IF(ISBLANK($B54),VLOOKUP($A54,Harmonogram!$A$1:$FA$162,COLUMN(Prehľad!C54)+6,FALSE),VLOOKUP(Prehľad!$B54,Harmonogram!$F$2:$EW$150,COLUMN(Prehľad!C54)+1,FALSE))),"")</f>
        <v>Hlavná trať ŽSR
Dĺžka(191c)= 21,9km; osôb/deň= 2500; mil.hrtkm/rok=36,3
Dĺžka(191d)= 10,8km; osôb/deň= 3000; mil.hrtkm/rok=12,9</v>
      </c>
      <c r="F54" s="177">
        <f>IF(ISBLANK(B54),"",IFERROR(VLOOKUP(B54,Harmonogram!$F$3:$EO$97,140,FALSE),"er"))</f>
        <v>34.249000000000002</v>
      </c>
      <c r="G54" s="177" t="str">
        <f>IFERROR(IF(IF(ISBLANK($B54),VLOOKUP($A54,Harmonogram!$A$1:$FA$162,COLUMN(Prehľad!D54)+6,FALSE),VLOOKUP(Prehľad!$B54,Harmonogram!$F$2:$EW$150,COLUMN(Prehľad!D54)+1,FALSE))=0,"",IF(ISBLANK($B54),VLOOKUP($A54,Harmonogram!$A$1:$FA$162,COLUMN(Prehľad!D54)+6,FALSE),VLOOKUP(Prehľad!$B54,Harmonogram!$F$2:$EW$150,COLUMN(Prehľad!D54)+1,FALSE))),"")</f>
        <v>4a</v>
      </c>
      <c r="H54" s="250" t="str">
        <f>IFERROR(IF(IF(ISBLANK($B54),VLOOKUP($A54,Harmonogram!$A$1:$FA$162,COLUMN(Prehľad!A54)+11,FALSE),VLOOKUP(Prehľad!$B54,Harmonogram!$F$2:$EW$150,COLUMN(Prehľad!A54)+6,FALSE))=0,"",IF(ISBLANK($B54),VLOOKUP($A54,Harmonogram!$A$1:$FA$162,COLUMN(Prehľad!A54)+11,FALSE),VLOOKUP(Prehľad!$B54,Harmonogram!$F$2:$EW$150,COLUMN(Prehľad!A54)+6,FALSE))),"")</f>
        <v>DRS</v>
      </c>
      <c r="I54" s="260">
        <f>IF(LEN($B54)=0,VLOOKUP($A54,Harmonogram!$A$1:$FA$162,COLUMN(Prehľad!B54)+11,FALSE),VLOOKUP(Prehľad!$B54,Harmonogram!$F$2:$EW$150,COLUMN(Prehľad!B54)+6,FALSE))</f>
        <v>149405806.09999999</v>
      </c>
      <c r="J54" s="261">
        <f>IF(LEN($B54)=0,VLOOKUP($A54,Harmonogram!$A$1:$FA$162,COLUMN(Prehľad!A54)*12+12,FALSE),VLOOKUP(Prehľad!$B54,Harmonogram!$F$2:$EW$150,COLUMN(Prehľad!A54)*12+7,FALSE))</f>
        <v>3296771.6799999997</v>
      </c>
      <c r="K54" s="260">
        <f>IF(LEN($B54)=0,VLOOKUP($A54,Harmonogram!$A$1:$FA$162,COLUMN(Prehľad!B54)*12+12,FALSE),VLOOKUP(Prehľad!$B54,Harmonogram!$F$2:$EW$150,COLUMN(Prehľad!B54)*12+7,FALSE))</f>
        <v>37099.42</v>
      </c>
      <c r="L54" s="260">
        <f>IF(LEN($B54)=0,VLOOKUP($A54,Harmonogram!$A$1:$FA$162,COLUMN(Prehľad!C54)*12+12,FALSE),VLOOKUP(Prehľad!$B54,Harmonogram!$F$2:$EW$150,COLUMN(Prehľad!C54)*12+7,FALSE))</f>
        <v>997080</v>
      </c>
      <c r="M54" s="260">
        <f>IF(LEN($B54)=0,VLOOKUP($A54,Harmonogram!$A$1:$FA$162,COLUMN(Prehľad!D54)*12+12,FALSE),VLOOKUP(Prehľad!$B54,Harmonogram!$F$2:$EW$150,COLUMN(Prehľad!D54)*12+7,FALSE))</f>
        <v>74855</v>
      </c>
      <c r="N54" s="260">
        <f>IF(LEN($B54)=0,VLOOKUP($A54,Harmonogram!$A$1:$FA$162,COLUMN(Prehľad!E54)*12+12,FALSE),VLOOKUP(Prehľad!$B54,Harmonogram!$F$2:$EW$150,COLUMN(Prehľad!E54)*12+7,FALSE))</f>
        <v>50000000</v>
      </c>
      <c r="O54" s="260">
        <f>IF(LEN($B54)=0,VLOOKUP($A54,Harmonogram!$A$1:$FA$162,COLUMN(Prehľad!F54)*12+12,FALSE),VLOOKUP(Prehľad!$B54,Harmonogram!$F$2:$EW$150,COLUMN(Prehľad!F54)*12+7,FALSE))</f>
        <v>47500000</v>
      </c>
      <c r="P54" s="260">
        <f>IF(LEN($B54)=0,VLOOKUP($A54,Harmonogram!$A$1:$FA$162,COLUMN(Prehľad!G54)*12+12,FALSE),VLOOKUP(Prehľad!$B54,Harmonogram!$F$2:$EW$150,COLUMN(Prehľad!G54)*12+7,FALSE))</f>
        <v>47500000</v>
      </c>
      <c r="Q54" s="260">
        <f>IF(LEN($B54)=0,VLOOKUP($A54,Harmonogram!$A$1:$FA$162,COLUMN(Prehľad!H54)*12+12,FALSE),VLOOKUP(Prehľad!$B54,Harmonogram!$F$2:$EW$150,COLUMN(Prehľad!H54)*12+7,FALSE))</f>
        <v>0</v>
      </c>
      <c r="R54" s="260">
        <f>IF(LEN($B54)=0,VLOOKUP($A54,Harmonogram!$A$1:$FA$162,COLUMN(Prehľad!I54)*12+12,FALSE),VLOOKUP(Prehľad!$B54,Harmonogram!$F$2:$EW$150,COLUMN(Prehľad!I54)*12+7,FALSE))</f>
        <v>0</v>
      </c>
      <c r="S54" s="260">
        <f>IF(LEN($B54)=0,VLOOKUP($A54,Harmonogram!$A$1:$FA$162,COLUMN(Prehľad!J54)*12+12,FALSE),VLOOKUP(Prehľad!$B54,Harmonogram!$F$2:$EW$150,COLUMN(Prehľad!J54)*12+7,FALSE))</f>
        <v>0</v>
      </c>
      <c r="T54" s="262">
        <f>IF(LEN($B54)=0,VLOOKUP($A54,Harmonogram!$A$1:$FA$162,COLUMN(Prehľad!K54)*12+12,FALSE),VLOOKUP(Prehľad!$B54,Harmonogram!$F$2:$EW$150,COLUMN(Prehľad!K54)*12+7,FALSE))</f>
        <v>0</v>
      </c>
    </row>
    <row r="55" spans="1:33" s="101" customFormat="1" ht="90.75" thickBot="1" x14ac:dyDescent="0.3">
      <c r="A55" s="240"/>
      <c r="B55" s="203" t="s">
        <v>1018</v>
      </c>
      <c r="C55" s="177" t="str">
        <f>IFERROR(IF(IF(ISBLANK($B55),VLOOKUP($A55,Harmonogram!$A$1:$FA$162,COLUMN(Prehľad!A55)+6,FALSE),VLOOKUP(Prehľad!$B55,Harmonogram!$F$2:$EW$150,COLUMN(Prehľad!A55)+1,FALSE))=0,"",IF(ISBLANK($B55),VLOOKUP($A55,Harmonogram!$A$1:$FA$162,COLUMN(Prehľad!A55)+6,FALSE),VLOOKUP(Prehľad!$B55,Harmonogram!$F$2:$EW$150,COLUMN(Prehľad!A55)+1,FALSE))),"")</f>
        <v>Revitalizácia trate</v>
      </c>
      <c r="D55" s="177" t="str">
        <f>IFERROR(IF(IF(ISBLANK($B55),VLOOKUP($A55,Harmonogram!$A$1:$FA$162,COLUMN(Prehľad!B55)+6,FALSE),VLOOKUP(Prehľad!$B55,Harmonogram!$F$2:$EW$150,COLUMN(Prehľad!B55)+1,FALSE))=0,"",IF(ISBLANK($B55),VLOOKUP($A55,Harmonogram!$A$1:$FA$162,COLUMN(Prehľad!B55)+6,FALSE),VLOOKUP(Prehľad!$B55,Harmonogram!$F$2:$EW$150,COLUMN(Prehľad!B55)+1,FALSE))),"")</f>
        <v>Zvýšenie bezpečnosti a plynulosti železničnej dopravy, skrátenie jazdnej doby vlakov a úspora prevádzkových nákladov.</v>
      </c>
      <c r="E55" s="204" t="str">
        <f>IFERROR(IF(IF(ISBLANK($B55),VLOOKUP($A55,Harmonogram!$A$1:$FA$162,COLUMN(Prehľad!C55)+6,FALSE),VLOOKUP(Prehľad!$B55,Harmonogram!$F$2:$EW$150,COLUMN(Prehľad!C55)+1,FALSE))=0,"",IF(ISBLANK($B55),VLOOKUP($A55,Harmonogram!$A$1:$FA$162,COLUMN(Prehľad!C55)+6,FALSE),VLOOKUP(Prehľad!$B55,Harmonogram!$F$2:$EW$150,COLUMN(Prehľad!C55)+1,FALSE))),"")</f>
        <v>TEN-T core;
RFC 5 - hlavná trať
RFC 7 - hlavná trať
RFC 11 - hlavná trať
Dĺžka(BAJ)= 12,3km; osôb/deň= 1000; mil.hrtkm/rok=222,7</v>
      </c>
      <c r="F55" s="177">
        <f>IF(ISBLANK(B55),"",IFERROR(VLOOKUP(B55,Harmonogram!$F$3:$EO$97,140,FALSE),"er"))</f>
        <v>6.423</v>
      </c>
      <c r="G55" s="177" t="str">
        <f>IFERROR(IF(IF(ISBLANK($B55),VLOOKUP($A55,Harmonogram!$A$1:$FA$162,COLUMN(Prehľad!D55)+6,FALSE),VLOOKUP(Prehľad!$B55,Harmonogram!$F$2:$EW$150,COLUMN(Prehľad!D55)+1,FALSE))=0,"",IF(ISBLANK($B55),VLOOKUP($A55,Harmonogram!$A$1:$FA$162,COLUMN(Prehľad!D55)+6,FALSE),VLOOKUP(Prehľad!$B55,Harmonogram!$F$2:$EW$150,COLUMN(Prehľad!D55)+1,FALSE))),"")</f>
        <v>1b</v>
      </c>
      <c r="H55" s="250" t="str">
        <f>IFERROR(IF(IF(ISBLANK($B55),VLOOKUP($A55,Harmonogram!$A$1:$FA$162,COLUMN(Prehľad!A55)+11,FALSE),VLOOKUP(Prehľad!$B55,Harmonogram!$F$2:$EW$150,COLUMN(Prehľad!A55)+6,FALSE))=0,"",IF(ISBLANK($B55),VLOOKUP($A55,Harmonogram!$A$1:$FA$162,COLUMN(Prehľad!A55)+11,FALSE),VLOOKUP(Prehľad!$B55,Harmonogram!$F$2:$EW$150,COLUMN(Prehľad!A55)+6,FALSE))),"")</f>
        <v xml:space="preserve"> DRS</v>
      </c>
      <c r="I55" s="260">
        <f>IF(LEN($B55)=0,VLOOKUP($A55,Harmonogram!$A$1:$FA$162,COLUMN(Prehľad!B55)+11,FALSE),VLOOKUP(Prehľad!$B55,Harmonogram!$F$2:$EW$150,COLUMN(Prehľad!B55)+6,FALSE))</f>
        <v>15007309.800000001</v>
      </c>
      <c r="J55" s="261">
        <f>IF(LEN($B55)=0,VLOOKUP($A55,Harmonogram!$A$1:$FA$162,COLUMN(Prehľad!A55)*12+12,FALSE),VLOOKUP(Prehľad!$B55,Harmonogram!$F$2:$EW$150,COLUMN(Prehľad!A55)*12+7,FALSE))</f>
        <v>167309.79999999999</v>
      </c>
      <c r="K55" s="260">
        <f>IF(LEN($B55)=0,VLOOKUP($A55,Harmonogram!$A$1:$FA$162,COLUMN(Prehľad!B55)*12+12,FALSE),VLOOKUP(Prehľad!$B55,Harmonogram!$F$2:$EW$150,COLUMN(Prehľad!B55)*12+7,FALSE))</f>
        <v>0</v>
      </c>
      <c r="L55" s="260">
        <f>IF(LEN($B55)=0,VLOOKUP($A55,Harmonogram!$A$1:$FA$162,COLUMN(Prehľad!C55)*12+12,FALSE),VLOOKUP(Prehľad!$B55,Harmonogram!$F$2:$EW$150,COLUMN(Prehľad!C55)*12+7,FALSE))</f>
        <v>150000</v>
      </c>
      <c r="M55" s="260">
        <f>IF(LEN($B55)=0,VLOOKUP($A55,Harmonogram!$A$1:$FA$162,COLUMN(Prehľad!D55)*12+12,FALSE),VLOOKUP(Prehľad!$B55,Harmonogram!$F$2:$EW$150,COLUMN(Prehľad!D55)*12+7,FALSE))</f>
        <v>350000</v>
      </c>
      <c r="N55" s="260">
        <f>IF(LEN($B55)=0,VLOOKUP($A55,Harmonogram!$A$1:$FA$162,COLUMN(Prehľad!E55)*12+12,FALSE),VLOOKUP(Prehľad!$B55,Harmonogram!$F$2:$EW$150,COLUMN(Prehľad!E55)*12+7,FALSE))</f>
        <v>250000</v>
      </c>
      <c r="O55" s="260">
        <f>IF(LEN($B55)=0,VLOOKUP($A55,Harmonogram!$A$1:$FA$162,COLUMN(Prehľad!F55)*12+12,FALSE),VLOOKUP(Prehľad!$B55,Harmonogram!$F$2:$EW$150,COLUMN(Prehľad!F55)*12+7,FALSE))</f>
        <v>7045000</v>
      </c>
      <c r="P55" s="260">
        <f>IF(LEN($B55)=0,VLOOKUP($A55,Harmonogram!$A$1:$FA$162,COLUMN(Prehľad!G55)*12+12,FALSE),VLOOKUP(Prehľad!$B55,Harmonogram!$F$2:$EW$150,COLUMN(Prehľad!G55)*12+7,FALSE))</f>
        <v>7045000</v>
      </c>
      <c r="Q55" s="260">
        <f>IF(LEN($B55)=0,VLOOKUP($A55,Harmonogram!$A$1:$FA$162,COLUMN(Prehľad!H55)*12+12,FALSE),VLOOKUP(Prehľad!$B55,Harmonogram!$F$2:$EW$150,COLUMN(Prehľad!H55)*12+7,FALSE))</f>
        <v>0</v>
      </c>
      <c r="R55" s="260">
        <f>IF(LEN($B55)=0,VLOOKUP($A55,Harmonogram!$A$1:$FA$162,COLUMN(Prehľad!I55)*12+12,FALSE),VLOOKUP(Prehľad!$B55,Harmonogram!$F$2:$EW$150,COLUMN(Prehľad!I55)*12+7,FALSE))</f>
        <v>0</v>
      </c>
      <c r="S55" s="260">
        <f>IF(LEN($B55)=0,VLOOKUP($A55,Harmonogram!$A$1:$FA$162,COLUMN(Prehľad!J55)*12+12,FALSE),VLOOKUP(Prehľad!$B55,Harmonogram!$F$2:$EW$150,COLUMN(Prehľad!J55)*12+7,FALSE))</f>
        <v>0</v>
      </c>
      <c r="T55" s="262">
        <f>IF(LEN($B55)=0,VLOOKUP($A55,Harmonogram!$A$1:$FA$162,COLUMN(Prehľad!K55)*12+12,FALSE),VLOOKUP(Prehľad!$B55,Harmonogram!$F$2:$EW$150,COLUMN(Prehľad!K55)*12+7,FALSE))</f>
        <v>0</v>
      </c>
      <c r="AF55" s="14"/>
      <c r="AG55" s="14"/>
    </row>
    <row r="56" spans="1:33" s="11" customFormat="1" ht="15.75" thickBot="1" x14ac:dyDescent="0.3">
      <c r="A56" s="180" t="s">
        <v>1299</v>
      </c>
      <c r="B56" s="216"/>
      <c r="C56" s="217"/>
      <c r="D56" s="217"/>
      <c r="E56" s="218"/>
      <c r="F56" s="252" t="str">
        <f>IF(ISBLANK(B56),"",IFERROR(VLOOKUP(B56,Harmonogram!$F$3:$EO$97,140,FALSE),"er"))</f>
        <v/>
      </c>
      <c r="G56" s="177" t="str">
        <f>IFERROR(IF(IF(ISBLANK($B56),VLOOKUP($A56,Harmonogram!$A$1:$FA$162,COLUMN(Prehľad!D56)+6,FALSE),VLOOKUP(Prehľad!$B56,Harmonogram!$F$2:$EW$150,COLUMN(Prehľad!D56)+1,FALSE))=0,"",IF(ISBLANK($B56),VLOOKUP($A56,Harmonogram!$A$1:$FA$162,COLUMN(Prehľad!D56)+6,FALSE),VLOOKUP(Prehľad!$B56,Harmonogram!$F$2:$EW$150,COLUMN(Prehľad!D56)+1,FALSE))),"")</f>
        <v/>
      </c>
      <c r="H56" s="250" t="str">
        <f>IFERROR(IF(IF(ISBLANK($B56),VLOOKUP($A56,Harmonogram!$A$1:$FA$162,COLUMN(Prehľad!A56)+11,FALSE),VLOOKUP(Prehľad!$B56,Harmonogram!$F$2:$EW$150,COLUMN(Prehľad!A56)+6,FALSE))=0,"",IF(ISBLANK($B56),VLOOKUP($A56,Harmonogram!$A$1:$FA$162,COLUMN(Prehľad!A56)+11,FALSE),VLOOKUP(Prehľad!$B56,Harmonogram!$F$2:$EW$150,COLUMN(Prehľad!A56)+6,FALSE))),"")</f>
        <v/>
      </c>
      <c r="I56" s="260">
        <f>IF(LEN($B56)=0,VLOOKUP($A56,Harmonogram!$A$1:$FA$162,COLUMN(Prehľad!B56)+11,FALSE),VLOOKUP(Prehľad!$B56,Harmonogram!$F$2:$EW$150,COLUMN(Prehľad!B56)+6,FALSE))</f>
        <v>1523363913.7899997</v>
      </c>
      <c r="J56" s="261">
        <f>IF(LEN($B56)=0,VLOOKUP($A56,Harmonogram!$A$1:$FA$162,COLUMN(Prehľad!A56)*12+12,FALSE),VLOOKUP(Prehľad!$B56,Harmonogram!$F$2:$EW$150,COLUMN(Prehľad!A56)*12+7,FALSE))</f>
        <v>33049956.920000002</v>
      </c>
      <c r="K56" s="260">
        <f>IF(LEN($B56)=0,VLOOKUP($A56,Harmonogram!$A$1:$FA$162,COLUMN(Prehľad!B56)*12+12,FALSE),VLOOKUP(Prehľad!$B56,Harmonogram!$F$2:$EW$150,COLUMN(Prehľad!B56)*12+7,FALSE))</f>
        <v>2708312.9</v>
      </c>
      <c r="L56" s="260">
        <f>IF(LEN($B56)=0,VLOOKUP($A56,Harmonogram!$A$1:$FA$162,COLUMN(Prehľad!C56)*12+12,FALSE),VLOOKUP(Prehľad!$B56,Harmonogram!$F$2:$EW$150,COLUMN(Prehľad!C56)*12+7,FALSE))</f>
        <v>72211429.092946053</v>
      </c>
      <c r="M56" s="260">
        <f>IF(LEN($B56)=0,VLOOKUP($A56,Harmonogram!$A$1:$FA$162,COLUMN(Prehľad!D56)*12+12,FALSE),VLOOKUP(Prehľad!$B56,Harmonogram!$F$2:$EW$150,COLUMN(Prehľad!D56)*12+7,FALSE))</f>
        <v>182032654.86991113</v>
      </c>
      <c r="N56" s="260">
        <f>IF(LEN($B56)=0,VLOOKUP($A56,Harmonogram!$A$1:$FA$162,COLUMN(Prehľad!E56)*12+12,FALSE),VLOOKUP(Prehľad!$B56,Harmonogram!$F$2:$EW$150,COLUMN(Prehľad!E56)*12+7,FALSE))</f>
        <v>252112400.02714285</v>
      </c>
      <c r="O56" s="260">
        <f>IF(LEN($B56)=0,VLOOKUP($A56,Harmonogram!$A$1:$FA$162,COLUMN(Prehľad!F56)*12+12,FALSE),VLOOKUP(Prehľad!$B56,Harmonogram!$F$2:$EW$150,COLUMN(Prehľad!F56)*12+7,FALSE))</f>
        <v>403232600</v>
      </c>
      <c r="P56" s="260">
        <f>IF(LEN($B56)=0,VLOOKUP($A56,Harmonogram!$A$1:$FA$162,COLUMN(Prehľad!G56)*12+12,FALSE),VLOOKUP(Prehľad!$B56,Harmonogram!$F$2:$EW$150,COLUMN(Prehľad!G56)*12+7,FALSE))</f>
        <v>407493559.98000002</v>
      </c>
      <c r="Q56" s="260">
        <f>IF(LEN($B56)=0,VLOOKUP($A56,Harmonogram!$A$1:$FA$162,COLUMN(Prehľad!H56)*12+12,FALSE),VLOOKUP(Prehľad!$B56,Harmonogram!$F$2:$EW$150,COLUMN(Prehľad!H56)*12+7,FALSE))</f>
        <v>115550000</v>
      </c>
      <c r="R56" s="260">
        <f>IF(LEN($B56)=0,VLOOKUP($A56,Harmonogram!$A$1:$FA$162,COLUMN(Prehľad!I56)*12+12,FALSE),VLOOKUP(Prehľad!$B56,Harmonogram!$F$2:$EW$150,COLUMN(Prehľad!I56)*12+7,FALSE))</f>
        <v>54973000</v>
      </c>
      <c r="S56" s="260">
        <f>IF(LEN($B56)=0,VLOOKUP($A56,Harmonogram!$A$1:$FA$162,COLUMN(Prehľad!J56)*12+12,FALSE),VLOOKUP(Prehľad!$B56,Harmonogram!$F$2:$EW$150,COLUMN(Prehľad!J56)*12+7,FALSE))</f>
        <v>0</v>
      </c>
      <c r="T56" s="262">
        <f>IF(LEN($B56)=0,VLOOKUP($A56,Harmonogram!$A$1:$FA$162,COLUMN(Prehľad!K56)*12+12,FALSE),VLOOKUP(Prehľad!$B56,Harmonogram!$F$2:$EW$150,COLUMN(Prehľad!K56)*12+7,FALSE))</f>
        <v>0</v>
      </c>
    </row>
    <row r="57" spans="1:33" s="11" customFormat="1" ht="15.75" thickBot="1" x14ac:dyDescent="0.3">
      <c r="A57" s="180" t="s">
        <v>1244</v>
      </c>
      <c r="B57" s="216"/>
      <c r="C57" s="217"/>
      <c r="D57" s="217"/>
      <c r="E57" s="218"/>
      <c r="F57" s="252" t="str">
        <f>IF(ISBLANK(B57),"",IFERROR(VLOOKUP(B57,Harmonogram!$F$3:$EO$97,140,FALSE),"er"))</f>
        <v/>
      </c>
      <c r="G57" s="177" t="str">
        <f>IFERROR(IF(IF(ISBLANK($B57),VLOOKUP($A57,Harmonogram!$A$1:$FA$162,COLUMN(Prehľad!D57)+6,FALSE),VLOOKUP(Prehľad!$B57,Harmonogram!$F$2:$EW$150,COLUMN(Prehľad!D57)+1,FALSE))=0,"",IF(ISBLANK($B57),VLOOKUP($A57,Harmonogram!$A$1:$FA$162,COLUMN(Prehľad!D57)+6,FALSE),VLOOKUP(Prehľad!$B57,Harmonogram!$F$2:$EW$150,COLUMN(Prehľad!D57)+1,FALSE))),"")</f>
        <v/>
      </c>
      <c r="H57" s="250" t="str">
        <f>IFERROR(IF(IF(ISBLANK($B57),VLOOKUP($A57,Harmonogram!$A$1:$FA$162,COLUMN(Prehľad!A57)+11,FALSE),VLOOKUP(Prehľad!$B57,Harmonogram!$F$2:$EW$150,COLUMN(Prehľad!A57)+6,FALSE))=0,"",IF(ISBLANK($B57),VLOOKUP($A57,Harmonogram!$A$1:$FA$162,COLUMN(Prehľad!A57)+11,FALSE),VLOOKUP(Prehľad!$B57,Harmonogram!$F$2:$EW$150,COLUMN(Prehľad!A57)+6,FALSE))),"")</f>
        <v/>
      </c>
      <c r="I57" s="260">
        <f>IF(LEN($B57)=0,VLOOKUP($A57,Harmonogram!$A$1:$FA$162,COLUMN(Prehľad!B57)+11,FALSE),VLOOKUP(Prehľad!$B57,Harmonogram!$F$2:$EW$150,COLUMN(Prehľad!B57)+6,FALSE))</f>
        <v>83853006.375</v>
      </c>
      <c r="J57" s="261">
        <f>IF(LEN($B57)=0,VLOOKUP($A57,Harmonogram!$A$1:$FA$162,COLUMN(Prehľad!A57)*12+12,FALSE),VLOOKUP(Prehľad!$B57,Harmonogram!$F$2:$EW$150,COLUMN(Prehľad!A57)*12+7,FALSE))</f>
        <v>60073652.504999995</v>
      </c>
      <c r="K57" s="260">
        <f>IF(LEN($B57)=0,VLOOKUP($A57,Harmonogram!$A$1:$FA$162,COLUMN(Prehľad!B57)*12+12,FALSE),VLOOKUP(Prehľad!$B57,Harmonogram!$F$2:$EW$150,COLUMN(Prehľad!B57)*12+7,FALSE))</f>
        <v>3679337.87</v>
      </c>
      <c r="L57" s="260">
        <f>IF(LEN($B57)=0,VLOOKUP($A57,Harmonogram!$A$1:$FA$162,COLUMN(Prehľad!C57)*12+12,FALSE),VLOOKUP(Prehľad!$B57,Harmonogram!$F$2:$EW$150,COLUMN(Prehľad!C57)*12+7,FALSE))</f>
        <v>10357294</v>
      </c>
      <c r="M57" s="260">
        <f>IF(LEN($B57)=0,VLOOKUP($A57,Harmonogram!$A$1:$FA$162,COLUMN(Prehľad!D57)*12+12,FALSE),VLOOKUP(Prehľad!$B57,Harmonogram!$F$2:$EW$150,COLUMN(Prehľad!D57)*12+7,FALSE))</f>
        <v>4032722</v>
      </c>
      <c r="N57" s="260">
        <f>IF(LEN($B57)=0,VLOOKUP($A57,Harmonogram!$A$1:$FA$162,COLUMN(Prehľad!E57)*12+12,FALSE),VLOOKUP(Prehľad!$B57,Harmonogram!$F$2:$EW$150,COLUMN(Prehľad!E57)*12+7,FALSE))</f>
        <v>2000000</v>
      </c>
      <c r="O57" s="260">
        <f>IF(LEN($B57)=0,VLOOKUP($A57,Harmonogram!$A$1:$FA$162,COLUMN(Prehľad!F57)*12+12,FALSE),VLOOKUP(Prehľad!$B57,Harmonogram!$F$2:$EW$150,COLUMN(Prehľad!F57)*12+7,FALSE))</f>
        <v>3710000</v>
      </c>
      <c r="P57" s="260">
        <f>IF(LEN($B57)=0,VLOOKUP($A57,Harmonogram!$A$1:$FA$162,COLUMN(Prehľad!G57)*12+12,FALSE),VLOOKUP(Prehľad!$B57,Harmonogram!$F$2:$EW$150,COLUMN(Prehľad!G57)*12+7,FALSE))</f>
        <v>0</v>
      </c>
      <c r="Q57" s="260">
        <f>IF(LEN($B57)=0,VLOOKUP($A57,Harmonogram!$A$1:$FA$162,COLUMN(Prehľad!H57)*12+12,FALSE),VLOOKUP(Prehľad!$B57,Harmonogram!$F$2:$EW$150,COLUMN(Prehľad!H57)*12+7,FALSE))</f>
        <v>0</v>
      </c>
      <c r="R57" s="260">
        <f>IF(LEN($B57)=0,VLOOKUP($A57,Harmonogram!$A$1:$FA$162,COLUMN(Prehľad!I57)*12+12,FALSE),VLOOKUP(Prehľad!$B57,Harmonogram!$F$2:$EW$150,COLUMN(Prehľad!I57)*12+7,FALSE))</f>
        <v>0</v>
      </c>
      <c r="S57" s="260">
        <f>IF(LEN($B57)=0,VLOOKUP($A57,Harmonogram!$A$1:$FA$162,COLUMN(Prehľad!J57)*12+12,FALSE),VLOOKUP(Prehľad!$B57,Harmonogram!$F$2:$EW$150,COLUMN(Prehľad!J57)*12+7,FALSE))</f>
        <v>0</v>
      </c>
      <c r="T57" s="262">
        <f>IF(LEN($B57)=0,VLOOKUP($A57,Harmonogram!$A$1:$FA$162,COLUMN(Prehľad!K57)*12+12,FALSE),VLOOKUP(Prehľad!$B57,Harmonogram!$F$2:$EW$150,COLUMN(Prehľad!K57)*12+7,FALSE))</f>
        <v>0</v>
      </c>
      <c r="AF57" s="14"/>
      <c r="AG57" s="14"/>
    </row>
    <row r="58" spans="1:33" ht="27" thickBot="1" x14ac:dyDescent="0.3">
      <c r="A58" s="190" t="s">
        <v>1188</v>
      </c>
      <c r="B58" s="219"/>
      <c r="C58" s="220"/>
      <c r="D58" s="220"/>
      <c r="E58" s="221"/>
      <c r="F58" s="253" t="str">
        <f>IF(ISBLANK(B58),"",IFERROR(VLOOKUP(B58,Harmonogram!$F$3:$EO$97,140,FALSE),"er"))</f>
        <v/>
      </c>
      <c r="G58" s="177" t="str">
        <f>IFERROR(IF(IF(ISBLANK($B58),VLOOKUP($A58,Harmonogram!$A$1:$FA$162,COLUMN(Prehľad!D58)+6,FALSE),VLOOKUP(Prehľad!$B58,Harmonogram!$F$2:$EW$150,COLUMN(Prehľad!D58)+1,FALSE))=0,"",IF(ISBLANK($B58),VLOOKUP($A58,Harmonogram!$A$1:$FA$162,COLUMN(Prehľad!D58)+6,FALSE),VLOOKUP(Prehľad!$B58,Harmonogram!$F$2:$EW$150,COLUMN(Prehľad!D58)+1,FALSE))),"")</f>
        <v/>
      </c>
      <c r="H58" s="250" t="str">
        <f>IFERROR(IF(IF(ISBLANK($B58),VLOOKUP($A58,Harmonogram!$A$1:$FA$162,COLUMN(Prehľad!A58)+11,FALSE),VLOOKUP(Prehľad!$B58,Harmonogram!$F$2:$EW$150,COLUMN(Prehľad!A58)+6,FALSE))=0,"",IF(ISBLANK($B58),VLOOKUP($A58,Harmonogram!$A$1:$FA$162,COLUMN(Prehľad!A58)+11,FALSE),VLOOKUP(Prehľad!$B58,Harmonogram!$F$2:$EW$150,COLUMN(Prehľad!A58)+6,FALSE))),"")</f>
        <v/>
      </c>
      <c r="I58" s="260"/>
      <c r="J58" s="261">
        <f>IF(LEN($B58)=0,VLOOKUP($A58,Harmonogram!$A$1:$FA$162,COLUMN(Prehľad!A58)*12+12,FALSE),VLOOKUP(Prehľad!$B58,Harmonogram!$F$2:$EW$150,COLUMN(Prehľad!A58)*12+7,FALSE))</f>
        <v>0</v>
      </c>
      <c r="K58" s="260">
        <f>IF(LEN($B58)=0,VLOOKUP($A58,Harmonogram!$A$1:$FA$162,COLUMN(Prehľad!B58)*12+12,FALSE),VLOOKUP(Prehľad!$B58,Harmonogram!$F$2:$EW$150,COLUMN(Prehľad!B58)*12+7,FALSE))</f>
        <v>0</v>
      </c>
      <c r="L58" s="260">
        <f>IF(LEN($B58)=0,VLOOKUP($A58,Harmonogram!$A$1:$FA$162,COLUMN(Prehľad!C58)*12+12,FALSE),VLOOKUP(Prehľad!$B58,Harmonogram!$F$2:$EW$150,COLUMN(Prehľad!C58)*12+7,FALSE))</f>
        <v>0</v>
      </c>
      <c r="M58" s="260">
        <f>IF(LEN($B58)=0,VLOOKUP($A58,Harmonogram!$A$1:$FA$162,COLUMN(Prehľad!D58)*12+12,FALSE),VLOOKUP(Prehľad!$B58,Harmonogram!$F$2:$EW$150,COLUMN(Prehľad!D58)*12+7,FALSE))</f>
        <v>0</v>
      </c>
      <c r="N58" s="260">
        <f>IF(LEN($B58)=0,VLOOKUP($A58,Harmonogram!$A$1:$FA$162,COLUMN(Prehľad!E58)*12+12,FALSE),VLOOKUP(Prehľad!$B58,Harmonogram!$F$2:$EW$150,COLUMN(Prehľad!E58)*12+7,FALSE))</f>
        <v>0</v>
      </c>
      <c r="O58" s="260">
        <f>IF(LEN($B58)=0,VLOOKUP($A58,Harmonogram!$A$1:$FA$162,COLUMN(Prehľad!F58)*12+12,FALSE),VLOOKUP(Prehľad!$B58,Harmonogram!$F$2:$EW$150,COLUMN(Prehľad!F58)*12+7,FALSE))</f>
        <v>0</v>
      </c>
      <c r="P58" s="260">
        <f>IF(LEN($B58)=0,VLOOKUP($A58,Harmonogram!$A$1:$FA$162,COLUMN(Prehľad!G58)*12+12,FALSE),VLOOKUP(Prehľad!$B58,Harmonogram!$F$2:$EW$150,COLUMN(Prehľad!G58)*12+7,FALSE))</f>
        <v>0</v>
      </c>
      <c r="Q58" s="260">
        <f>IF(LEN($B58)=0,VLOOKUP($A58,Harmonogram!$A$1:$FA$162,COLUMN(Prehľad!H58)*12+12,FALSE),VLOOKUP(Prehľad!$B58,Harmonogram!$F$2:$EW$150,COLUMN(Prehľad!H58)*12+7,FALSE))</f>
        <v>0</v>
      </c>
      <c r="R58" s="260">
        <f>IF(LEN($B58)=0,VLOOKUP($A58,Harmonogram!$A$1:$FA$162,COLUMN(Prehľad!I58)*12+12,FALSE),VLOOKUP(Prehľad!$B58,Harmonogram!$F$2:$EW$150,COLUMN(Prehľad!I58)*12+7,FALSE))</f>
        <v>0</v>
      </c>
      <c r="S58" s="260">
        <f>IF(LEN($B58)=0,VLOOKUP($A58,Harmonogram!$A$1:$FA$162,COLUMN(Prehľad!J58)*12+12,FALSE),VLOOKUP(Prehľad!$B58,Harmonogram!$F$2:$EW$150,COLUMN(Prehľad!J58)*12+7,FALSE))</f>
        <v>0</v>
      </c>
      <c r="T58" s="262">
        <f>IF(LEN($B58)=0,VLOOKUP($A58,Harmonogram!$A$1:$FA$162,COLUMN(Prehľad!K58)*12+12,FALSE),VLOOKUP(Prehľad!$B58,Harmonogram!$F$2:$EW$150,COLUMN(Prehľad!K58)*12+7,FALSE))</f>
        <v>0</v>
      </c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</row>
    <row r="59" spans="1:33" ht="120" x14ac:dyDescent="0.25">
      <c r="A59" s="242" t="s">
        <v>1300</v>
      </c>
      <c r="B59" s="205" t="s">
        <v>1286</v>
      </c>
      <c r="C59" s="206" t="str">
        <f>IFERROR(IF(IF(ISBLANK($B59),VLOOKUP($A59,Harmonogram!$A$1:$FA$162,COLUMN(Prehľad!A59)+6,FALSE),VLOOKUP(Prehľad!$B59,Harmonogram!$F$2:$EW$150,COLUMN(Prehľad!A59)+1,FALSE))=0,"",IF(ISBLANK($B59),VLOOKUP($A59,Harmonogram!$A$1:$FA$162,COLUMN(Prehľad!A59)+6,FALSE),VLOOKUP(Prehľad!$B59,Harmonogram!$F$2:$EW$150,COLUMN(Prehľad!A59)+1,FALSE))),"")</f>
        <v>Revitalizácia trate</v>
      </c>
      <c r="D59" s="206" t="str">
        <f>IFERROR(IF(IF(ISBLANK($B59),VLOOKUP($A59,Harmonogram!$A$1:$FA$162,COLUMN(Prehľad!B59)+6,FALSE),VLOOKUP(Prehľad!$B59,Harmonogram!$F$2:$EW$150,COLUMN(Prehľad!B59)+1,FALSE))=0,"",IF(ISBLANK($B59),VLOOKUP($A59,Harmonogram!$A$1:$FA$162,COLUMN(Prehľad!B59)+6,FALSE),VLOOKUP(Prehľad!$B59,Harmonogram!$F$2:$EW$150,COLUMN(Prehľad!B59)+1,FALSE))),"")</f>
        <v>Zvýšenie bezpečnosti a plynulosti železničnej dopravy, skrátenie jazdnej doby vlakov a úspora prevádzkových nákladov.</v>
      </c>
      <c r="E59" s="207" t="str">
        <f>IFERROR(IF(IF(ISBLANK($B59),VLOOKUP($A59,Harmonogram!$A$1:$FA$162,COLUMN(Prehľad!C59)+6,FALSE),VLOOKUP(Prehľad!$B59,Harmonogram!$F$2:$EW$150,COLUMN(Prehľad!C59)+1,FALSE))=0,"",IF(ISBLANK($B59),VLOOKUP($A59,Harmonogram!$A$1:$FA$162,COLUMN(Prehľad!C59)+6,FALSE),VLOOKUP(Prehľad!$B59,Harmonogram!$F$2:$EW$150,COLUMN(Prehľad!C59)+1,FALSE))),"")</f>
        <v>TEN-T core;
RFC 9 - hlavná trať
RFC 11 - hlavná trať
Dĺžka(180i)= 15,6km; osôb/deň= 14000; mil.hrtkm/rok=390,7</v>
      </c>
      <c r="F59" s="206">
        <f>IF(ISBLANK(B59),"",IFERROR(VLOOKUP(B59,Harmonogram!$F$3:$EO$97,140,FALSE),"er"))</f>
        <v>14.058999999999999</v>
      </c>
      <c r="G59" s="177" t="str">
        <f>IFERROR(IF(IF(ISBLANK($B59),VLOOKUP($A59,Harmonogram!$A$1:$FA$162,COLUMN(Prehľad!D59)+6,FALSE),VLOOKUP(Prehľad!$B59,Harmonogram!$F$2:$EW$150,COLUMN(Prehľad!D59)+1,FALSE))=0,"",IF(ISBLANK($B59),VLOOKUP($A59,Harmonogram!$A$1:$FA$162,COLUMN(Prehľad!D59)+6,FALSE),VLOOKUP(Prehľad!$B59,Harmonogram!$F$2:$EW$150,COLUMN(Prehľad!D59)+1,FALSE))),"")</f>
        <v>1b; 3a; 3b</v>
      </c>
      <c r="H59" s="250" t="str">
        <f>IFERROR(IF(IF(ISBLANK($B59),VLOOKUP($A59,Harmonogram!$A$1:$FA$162,COLUMN(Prehľad!A59)+11,FALSE),VLOOKUP(Prehľad!$B59,Harmonogram!$F$2:$EW$150,COLUMN(Prehľad!A59)+6,FALSE))=0,"",IF(ISBLANK($B59),VLOOKUP($A59,Harmonogram!$A$1:$FA$162,COLUMN(Prehľad!A59)+11,FALSE),VLOOKUP(Prehľad!$B59,Harmonogram!$F$2:$EW$150,COLUMN(Prehľad!A59)+6,FALSE))),"")</f>
        <v>EIA</v>
      </c>
      <c r="I59" s="260">
        <f>IF(LEN($B59)=0,VLOOKUP($A59,Harmonogram!$A$1:$FA$162,COLUMN(Prehľad!B59)+11,FALSE),VLOOKUP(Prehľad!$B59,Harmonogram!$F$2:$EW$150,COLUMN(Prehľad!B59)+6,FALSE))</f>
        <v>37091753.21470274</v>
      </c>
      <c r="J59" s="261">
        <f>IF(LEN($B59)=0,VLOOKUP($A59,Harmonogram!$A$1:$FA$162,COLUMN(Prehľad!A59)*12+12,FALSE),VLOOKUP(Prehľad!$B59,Harmonogram!$F$2:$EW$150,COLUMN(Prehľad!A59)*12+7,FALSE))</f>
        <v>0</v>
      </c>
      <c r="K59" s="260">
        <f>IF(LEN($B59)=0,VLOOKUP($A59,Harmonogram!$A$1:$FA$162,COLUMN(Prehľad!B59)*12+12,FALSE),VLOOKUP(Prehľad!$B59,Harmonogram!$F$2:$EW$150,COLUMN(Prehľad!B59)*12+7,FALSE))</f>
        <v>0</v>
      </c>
      <c r="L59" s="260">
        <f>IF(LEN($B59)=0,VLOOKUP($A59,Harmonogram!$A$1:$FA$162,COLUMN(Prehľad!C59)*12+12,FALSE),VLOOKUP(Prehľad!$B59,Harmonogram!$F$2:$EW$150,COLUMN(Prehľad!C59)*12+7,FALSE))</f>
        <v>0</v>
      </c>
      <c r="M59" s="260">
        <f>IF(LEN($B59)=0,VLOOKUP($A59,Harmonogram!$A$1:$FA$162,COLUMN(Prehľad!D59)*12+12,FALSE),VLOOKUP(Prehľad!$B59,Harmonogram!$F$2:$EW$150,COLUMN(Prehľad!D59)*12+7,FALSE))</f>
        <v>463646.91518378432</v>
      </c>
      <c r="N59" s="260">
        <f>IF(LEN($B59)=0,VLOOKUP($A59,Harmonogram!$A$1:$FA$162,COLUMN(Prehľad!E59)*12+12,FALSE),VLOOKUP(Prehľad!$B59,Harmonogram!$F$2:$EW$150,COLUMN(Prehľad!E59)*12+7,FALSE))</f>
        <v>463646.91518378432</v>
      </c>
      <c r="O59" s="260">
        <f>IF(LEN($B59)=0,VLOOKUP($A59,Harmonogram!$A$1:$FA$162,COLUMN(Prehľad!F59)*12+12,FALSE),VLOOKUP(Prehľad!$B59,Harmonogram!$F$2:$EW$150,COLUMN(Prehľad!F59)*12+7,FALSE))</f>
        <v>463646.91518378432</v>
      </c>
      <c r="P59" s="260">
        <f>IF(LEN($B59)=0,VLOOKUP($A59,Harmonogram!$A$1:$FA$162,COLUMN(Prehľad!G59)*12+12,FALSE),VLOOKUP(Prehľad!$B59,Harmonogram!$F$2:$EW$150,COLUMN(Prehľad!G59)*12+7,FALSE))</f>
        <v>463646.91518378432</v>
      </c>
      <c r="Q59" s="260">
        <f>IF(LEN($B59)=0,VLOOKUP($A59,Harmonogram!$A$1:$FA$162,COLUMN(Prehľad!H59)*12+12,FALSE),VLOOKUP(Prehľad!$B59,Harmonogram!$F$2:$EW$150,COLUMN(Prehľad!H59)*12+7,FALSE))</f>
        <v>11745721.851322534</v>
      </c>
      <c r="R59" s="260">
        <f>IF(LEN($B59)=0,VLOOKUP($A59,Harmonogram!$A$1:$FA$162,COLUMN(Prehľad!I59)*12+12,FALSE),VLOOKUP(Prehľad!$B59,Harmonogram!$F$2:$EW$150,COLUMN(Prehľad!I59)*12+7,FALSE))</f>
        <v>11745721.851322534</v>
      </c>
      <c r="S59" s="260">
        <f>IF(LEN($B59)=0,VLOOKUP($A59,Harmonogram!$A$1:$FA$162,COLUMN(Prehľad!J59)*12+12,FALSE),VLOOKUP(Prehľad!$B59,Harmonogram!$F$2:$EW$150,COLUMN(Prehľad!J59)*12+7,FALSE))</f>
        <v>11745721.851322534</v>
      </c>
      <c r="T59" s="262">
        <f>IF(LEN($B59)=0,VLOOKUP($A59,Harmonogram!$A$1:$FA$162,COLUMN(Prehľad!K59)*12+12,FALSE),VLOOKUP(Prehľad!$B59,Harmonogram!$F$2:$EW$150,COLUMN(Prehľad!K59)*12+7,FALSE))</f>
        <v>0</v>
      </c>
      <c r="U59" s="91"/>
      <c r="V59" s="91"/>
    </row>
    <row r="60" spans="1:33" ht="135" x14ac:dyDescent="0.25">
      <c r="A60" s="243"/>
      <c r="B60" s="203" t="s">
        <v>336</v>
      </c>
      <c r="C60" s="177" t="str">
        <f>IFERROR(IF(IF(ISBLANK($B60),VLOOKUP($A60,Harmonogram!$A$1:$FA$162,COLUMN(Prehľad!A60)+6,FALSE),VLOOKUP(Prehľad!$B60,Harmonogram!$F$2:$EW$150,COLUMN(Prehľad!A60)+1,FALSE))=0,"",IF(ISBLANK($B60),VLOOKUP($A60,Harmonogram!$A$1:$FA$162,COLUMN(Prehľad!A60)+6,FALSE),VLOOKUP(Prehľad!$B60,Harmonogram!$F$2:$EW$150,COLUMN(Prehľad!A60)+1,FALSE))),"")</f>
        <v>Vybudovanie nových zabezpečovacích (SZZ, TZZ, PZZ) a oznamovacích zariadení, diaľkového riadenia trate, zriadenia dispečerského pracoviska pre DOT Prievidza – Jelšovce a rekonštrukcii existujúcej infraštruktúry s cieľom komplexného zlepšenia jej technického stavu. Celý riešený úsek zostáva v medzistaničných úsekoch jednokoľajný. Maximálna rýchlosť sa oproti súčasnému stavu zvýši až na 120 km/h. V úseku Bystričany (mimo) – Prievidza dôjde iba k oprave zariadení železničných tratí a stavieb bez ich rekonštrukcie pre zvýšenie traťovej rýchlosti na 120 km/h z dôvodu ich postačujúceho stavu pre rýchlosť 80 km/h z hľadiska rozloženia ŽST a zohľadnenia možnej dynamiky jazdy vlakov.</v>
      </c>
      <c r="D60" s="177" t="str">
        <f>IFERROR(IF(IF(ISBLANK($B60),VLOOKUP($A60,Harmonogram!$A$1:$FA$162,COLUMN(Prehľad!B60)+6,FALSE),VLOOKUP(Prehľad!$B60,Harmonogram!$F$2:$EW$150,COLUMN(Prehľad!B60)+1,FALSE))=0,"",IF(ISBLANK($B60),VLOOKUP($A60,Harmonogram!$A$1:$FA$162,COLUMN(Prehľad!B60)+6,FALSE),VLOOKUP(Prehľad!$B60,Harmonogram!$F$2:$EW$150,COLUMN(Prehľad!B60)+1,FALSE))),"")</f>
        <v>Zvýšenie bezpečnosti a plynulosti železničnej dopravy, úspora času cestujúcich cca 17 min. a úspora prevádzkových nákladov</v>
      </c>
      <c r="E60" s="204" t="str">
        <f>IFERROR(IF(IF(ISBLANK($B60),VLOOKUP($A60,Harmonogram!$A$1:$FA$162,COLUMN(Prehľad!C60)+6,FALSE),VLOOKUP(Prehľad!$B60,Harmonogram!$F$2:$EW$150,COLUMN(Prehľad!C60)+1,FALSE))=0,"",IF(ISBLANK($B60),VLOOKUP($A60,Harmonogram!$A$1:$FA$162,COLUMN(Prehľad!C60)+6,FALSE),VLOOKUP(Prehľad!$B60,Harmonogram!$F$2:$EW$150,COLUMN(Prehľad!C60)+1,FALSE))),"")</f>
        <v>Hlavná trať ŽSR
Dĺžka(137a)= 1,7km; osôb/deň= 7000; mil.hrtkm/rok=21,1</v>
      </c>
      <c r="F60" s="177">
        <f>IF(ISBLANK(B60),"",IFERROR(VLOOKUP(B60,Harmonogram!$F$3:$EO$97,140,FALSE),"er"))</f>
        <v>71.274000000000001</v>
      </c>
      <c r="G60" s="177" t="str">
        <f>IFERROR(IF(IF(ISBLANK($B60),VLOOKUP($A60,Harmonogram!$A$1:$FA$162,COLUMN(Prehľad!D60)+6,FALSE),VLOOKUP(Prehľad!$B60,Harmonogram!$F$2:$EW$150,COLUMN(Prehľad!D60)+1,FALSE))=0,"",IF(ISBLANK($B60),VLOOKUP($A60,Harmonogram!$A$1:$FA$162,COLUMN(Prehľad!D60)+6,FALSE),VLOOKUP(Prehľad!$B60,Harmonogram!$F$2:$EW$150,COLUMN(Prehľad!D60)+1,FALSE))),"")</f>
        <v>4b, 2a; 2b na 140d</v>
      </c>
      <c r="H60" s="250" t="str">
        <f>IFERROR(IF(IF(ISBLANK($B60),VLOOKUP($A60,Harmonogram!$A$1:$FA$162,COLUMN(Prehľad!A60)+11,FALSE),VLOOKUP(Prehľad!$B60,Harmonogram!$F$2:$EW$150,COLUMN(Prehľad!A60)+6,FALSE))=0,"",IF(ISBLANK($B60),VLOOKUP($A60,Harmonogram!$A$1:$FA$162,COLUMN(Prehľad!A60)+11,FALSE),VLOOKUP(Prehľad!$B60,Harmonogram!$F$2:$EW$150,COLUMN(Prehľad!A60)+6,FALSE))),"")</f>
        <v>štúdia/EIA</v>
      </c>
      <c r="I60" s="260">
        <f>IF(LEN($B60)=0,VLOOKUP($A60,Harmonogram!$A$1:$FA$162,COLUMN(Prehľad!B60)+11,FALSE),VLOOKUP(Prehľad!$B60,Harmonogram!$F$2:$EW$150,COLUMN(Prehľad!B60)+6,FALSE))</f>
        <v>145272842</v>
      </c>
      <c r="J60" s="261">
        <f>IF(LEN($B60)=0,VLOOKUP($A60,Harmonogram!$A$1:$FA$162,COLUMN(Prehľad!A60)*12+12,FALSE),VLOOKUP(Prehľad!$B60,Harmonogram!$F$2:$EW$150,COLUMN(Prehľad!A60)*12+7,FALSE))</f>
        <v>0</v>
      </c>
      <c r="K60" s="260">
        <f>IF(LEN($B60)=0,VLOOKUP($A60,Harmonogram!$A$1:$FA$162,COLUMN(Prehľad!B60)*12+12,FALSE),VLOOKUP(Prehľad!$B60,Harmonogram!$F$2:$EW$150,COLUMN(Prehľad!B60)*12+7,FALSE))</f>
        <v>0</v>
      </c>
      <c r="L60" s="260">
        <f>IF(LEN($B60)=0,VLOOKUP($A60,Harmonogram!$A$1:$FA$162,COLUMN(Prehľad!C60)*12+12,FALSE),VLOOKUP(Prehľad!$B60,Harmonogram!$F$2:$EW$150,COLUMN(Prehľad!C60)*12+7,FALSE))</f>
        <v>0</v>
      </c>
      <c r="M60" s="260">
        <f>IF(LEN($B60)=0,VLOOKUP($A60,Harmonogram!$A$1:$FA$162,COLUMN(Prehľad!D60)*12+12,FALSE),VLOOKUP(Prehľad!$B60,Harmonogram!$F$2:$EW$150,COLUMN(Prehľad!D60)*12+7,FALSE))</f>
        <v>354000</v>
      </c>
      <c r="N60" s="260">
        <f>IF(LEN($B60)=0,VLOOKUP($A60,Harmonogram!$A$1:$FA$162,COLUMN(Prehľad!E60)*12+12,FALSE),VLOOKUP(Prehľad!$B60,Harmonogram!$F$2:$EW$150,COLUMN(Prehľad!E60)*12+7,FALSE))</f>
        <v>2360000</v>
      </c>
      <c r="O60" s="260">
        <f>IF(LEN($B60)=0,VLOOKUP($A60,Harmonogram!$A$1:$FA$162,COLUMN(Prehľad!F60)*12+12,FALSE),VLOOKUP(Prehľad!$B60,Harmonogram!$F$2:$EW$150,COLUMN(Prehľad!F60)*12+7,FALSE))</f>
        <v>6286000</v>
      </c>
      <c r="P60" s="260">
        <f>IF(LEN($B60)=0,VLOOKUP($A60,Harmonogram!$A$1:$FA$162,COLUMN(Prehľad!G60)*12+12,FALSE),VLOOKUP(Prehľad!$B60,Harmonogram!$F$2:$EW$150,COLUMN(Prehľad!G60)*12+7,FALSE))</f>
        <v>45424280</v>
      </c>
      <c r="Q60" s="260">
        <f>IF(LEN($B60)=0,VLOOKUP($A60,Harmonogram!$A$1:$FA$162,COLUMN(Prehľad!H60)*12+12,FALSE),VLOOKUP(Prehľad!$B60,Harmonogram!$F$2:$EW$150,COLUMN(Prehľad!H60)*12+7,FALSE))</f>
        <v>45424281</v>
      </c>
      <c r="R60" s="260">
        <f>IF(LEN($B60)=0,VLOOKUP($A60,Harmonogram!$A$1:$FA$162,COLUMN(Prehľad!I60)*12+12,FALSE),VLOOKUP(Prehľad!$B60,Harmonogram!$F$2:$EW$150,COLUMN(Prehľad!I60)*12+7,FALSE))</f>
        <v>45424281</v>
      </c>
      <c r="S60" s="260">
        <f>IF(LEN($B60)=0,VLOOKUP($A60,Harmonogram!$A$1:$FA$162,COLUMN(Prehľad!J60)*12+12,FALSE),VLOOKUP(Prehľad!$B60,Harmonogram!$F$2:$EW$150,COLUMN(Prehľad!J60)*12+7,FALSE))</f>
        <v>0</v>
      </c>
      <c r="T60" s="262">
        <f>IF(LEN($B60)=0,VLOOKUP($A60,Harmonogram!$A$1:$FA$162,COLUMN(Prehľad!K60)*12+12,FALSE),VLOOKUP(Prehľad!$B60,Harmonogram!$F$2:$EW$150,COLUMN(Prehľad!K60)*12+7,FALSE))</f>
        <v>0</v>
      </c>
      <c r="U60" s="9"/>
    </row>
    <row r="61" spans="1:33" s="105" customFormat="1" ht="135" x14ac:dyDescent="0.25">
      <c r="A61" s="240"/>
      <c r="B61" s="203" t="s">
        <v>1011</v>
      </c>
      <c r="C61" s="177" t="str">
        <f>IFERROR(IF(IF(ISBLANK($B61),VLOOKUP($A61,Harmonogram!$A$1:$FA$162,COLUMN(Prehľad!A61)+6,FALSE),VLOOKUP(Prehľad!$B61,Harmonogram!$F$2:$EW$150,COLUMN(Prehľad!A61)+1,FALSE))=0,"",IF(ISBLANK($B61),VLOOKUP($A61,Harmonogram!$A$1:$FA$162,COLUMN(Prehľad!A61)+6,FALSE),VLOOKUP(Prehľad!$B61,Harmonogram!$F$2:$EW$150,COLUMN(Prehľad!A61)+1,FALSE))),"")</f>
        <v>Vybudovanie dispečerského riadenia trate vrátane modernizácie SZZ, TZZ, PZZ.</v>
      </c>
      <c r="D61" s="177" t="str">
        <f>IFERROR(IF(IF(ISBLANK($B61),VLOOKUP($A61,Harmonogram!$A$1:$FA$162,COLUMN(Prehľad!B61)+6,FALSE),VLOOKUP(Prehľad!$B61,Harmonogram!$F$2:$EW$150,COLUMN(Prehľad!B61)+1,FALSE))=0,"",IF(ISBLANK($B61),VLOOKUP($A61,Harmonogram!$A$1:$FA$162,COLUMN(Prehľad!B61)+6,FALSE),VLOOKUP(Prehľad!$B61,Harmonogram!$F$2:$EW$150,COLUMN(Prehľad!B61)+1,FALSE))),"")</f>
        <v>Zvýšenie bezpečnosti a plynulosti železničnej dopravy, skrátenie jazdnej doby vlakov a úspora prevádzkových nákladov.</v>
      </c>
      <c r="E61" s="204" t="str">
        <f>IFERROR(IF(IF(ISBLANK($B61),VLOOKUP($A61,Harmonogram!$A$1:$FA$162,COLUMN(Prehľad!C61)+6,FALSE),VLOOKUP(Prehľad!$B61,Harmonogram!$F$2:$EW$150,COLUMN(Prehľad!C61)+1,FALSE))=0,"",IF(ISBLANK($B61),VLOOKUP($A61,Harmonogram!$A$1:$FA$162,COLUMN(Prehľad!C61)+6,FALSE),VLOOKUP(Prehľad!$B61,Harmonogram!$F$2:$EW$150,COLUMN(Prehľad!C61)+1,FALSE))),"")</f>
        <v>Hlavná trať ŽSR
Dĺžka(140a)= 9,9km; osôb/deň= 3000; mil.hrtkm/rok=18,8
Dĺžka(140b)= 24km; osôb/deň= 3000; mil.hrtkm/rok=4,7
Dĺžka(140c)= 7,4km; osôb/deň= 3000; mil.hrtkm/rok=2
Dĺžka(141a)= 31km; osôb/deň= 4000; mil.hrtkm/rok=37,3</v>
      </c>
      <c r="F61" s="177">
        <f>IF(ISBLANK(B61),"",IFERROR(VLOOKUP(B61,Harmonogram!$F$3:$EO$97,140,FALSE),"er"))</f>
        <v>68.665999999999997</v>
      </c>
      <c r="G61" s="177" t="str">
        <f>IFERROR(IF(IF(ISBLANK($B61),VLOOKUP($A61,Harmonogram!$A$1:$FA$162,COLUMN(Prehľad!D61)+6,FALSE),VLOOKUP(Prehľad!$B61,Harmonogram!$F$2:$EW$150,COLUMN(Prehľad!D61)+1,FALSE))=0,"",IF(ISBLANK($B61),VLOOKUP($A61,Harmonogram!$A$1:$FA$162,COLUMN(Prehľad!D61)+6,FALSE),VLOOKUP(Prehľad!$B61,Harmonogram!$F$2:$EW$150,COLUMN(Prehľad!D61)+1,FALSE))),"")</f>
        <v>2a; 2b</v>
      </c>
      <c r="H61" s="250" t="str">
        <f>IFERROR(IF(IF(ISBLANK($B61),VLOOKUP($A61,Harmonogram!$A$1:$FA$162,COLUMN(Prehľad!A61)+11,FALSE),VLOOKUP(Prehľad!$B61,Harmonogram!$F$2:$EW$150,COLUMN(Prehľad!A61)+6,FALSE))=0,"",IF(ISBLANK($B61),VLOOKUP($A61,Harmonogram!$A$1:$FA$162,COLUMN(Prehľad!A61)+11,FALSE),VLOOKUP(Prehľad!$B61,Harmonogram!$F$2:$EW$150,COLUMN(Prehľad!A61)+6,FALSE))),"")</f>
        <v>Strategický/Investičný zámer/Štúdia</v>
      </c>
      <c r="I61" s="260">
        <f>IF(LEN($B61)=0,VLOOKUP($A61,Harmonogram!$A$1:$FA$162,COLUMN(Prehľad!B61)+11,FALSE),VLOOKUP(Prehľad!$B61,Harmonogram!$F$2:$EW$150,COLUMN(Prehľad!B61)+6,FALSE))</f>
        <v>68794000</v>
      </c>
      <c r="J61" s="261">
        <f>IF(LEN($B61)=0,VLOOKUP($A61,Harmonogram!$A$1:$FA$162,COLUMN(Prehľad!A61)*12+12,FALSE),VLOOKUP(Prehľad!$B61,Harmonogram!$F$2:$EW$150,COLUMN(Prehľad!A61)*12+7,FALSE))</f>
        <v>0</v>
      </c>
      <c r="K61" s="260">
        <f>IF(LEN($B61)=0,VLOOKUP($A61,Harmonogram!$A$1:$FA$162,COLUMN(Prehľad!B61)*12+12,FALSE),VLOOKUP(Prehľad!$B61,Harmonogram!$F$2:$EW$150,COLUMN(Prehľad!B61)*12+7,FALSE))</f>
        <v>0</v>
      </c>
      <c r="L61" s="260">
        <f>IF(LEN($B61)=0,VLOOKUP($A61,Harmonogram!$A$1:$FA$162,COLUMN(Prehľad!C61)*12+12,FALSE),VLOOKUP(Prehľad!$B61,Harmonogram!$F$2:$EW$150,COLUMN(Prehľad!C61)*12+7,FALSE))</f>
        <v>260000</v>
      </c>
      <c r="M61" s="260">
        <f>IF(LEN($B61)=0,VLOOKUP($A61,Harmonogram!$A$1:$FA$162,COLUMN(Prehľad!D61)*12+12,FALSE),VLOOKUP(Prehľad!$B61,Harmonogram!$F$2:$EW$150,COLUMN(Prehľad!D61)*12+7,FALSE))</f>
        <v>1500000</v>
      </c>
      <c r="N61" s="260">
        <f>IF(LEN($B61)=0,VLOOKUP($A61,Harmonogram!$A$1:$FA$162,COLUMN(Prehľad!E61)*12+12,FALSE),VLOOKUP(Prehľad!$B61,Harmonogram!$F$2:$EW$150,COLUMN(Prehľad!E61)*12+7,FALSE))</f>
        <v>1500000</v>
      </c>
      <c r="O61" s="260">
        <f>IF(LEN($B61)=0,VLOOKUP($A61,Harmonogram!$A$1:$FA$162,COLUMN(Prehľad!F61)*12+12,FALSE),VLOOKUP(Prehľad!$B61,Harmonogram!$F$2:$EW$150,COLUMN(Prehľad!F61)*12+7,FALSE))</f>
        <v>22267334</v>
      </c>
      <c r="P61" s="260">
        <f>IF(LEN($B61)=0,VLOOKUP($A61,Harmonogram!$A$1:$FA$162,COLUMN(Prehľad!G61)*12+12,FALSE),VLOOKUP(Prehľad!$B61,Harmonogram!$F$2:$EW$150,COLUMN(Prehľad!G61)*12+7,FALSE))</f>
        <v>21633333</v>
      </c>
      <c r="Q61" s="260">
        <f>IF(LEN($B61)=0,VLOOKUP($A61,Harmonogram!$A$1:$FA$162,COLUMN(Prehľad!H61)*12+12,FALSE),VLOOKUP(Prehľad!$B61,Harmonogram!$F$2:$EW$150,COLUMN(Prehľad!H61)*12+7,FALSE))</f>
        <v>21633333</v>
      </c>
      <c r="R61" s="260">
        <f>IF(LEN($B61)=0,VLOOKUP($A61,Harmonogram!$A$1:$FA$162,COLUMN(Prehľad!I61)*12+12,FALSE),VLOOKUP(Prehľad!$B61,Harmonogram!$F$2:$EW$150,COLUMN(Prehľad!I61)*12+7,FALSE))</f>
        <v>0</v>
      </c>
      <c r="S61" s="260">
        <f>IF(LEN($B61)=0,VLOOKUP($A61,Harmonogram!$A$1:$FA$162,COLUMN(Prehľad!J61)*12+12,FALSE),VLOOKUP(Prehľad!$B61,Harmonogram!$F$2:$EW$150,COLUMN(Prehľad!J61)*12+7,FALSE))</f>
        <v>0</v>
      </c>
      <c r="T61" s="262">
        <f>IF(LEN($B61)=0,VLOOKUP($A61,Harmonogram!$A$1:$FA$162,COLUMN(Prehľad!K61)*12+12,FALSE),VLOOKUP(Prehľad!$B61,Harmonogram!$F$2:$EW$150,COLUMN(Prehľad!K61)*12+7,FALSE))</f>
        <v>0</v>
      </c>
      <c r="AF61" s="5"/>
      <c r="AG61" s="5"/>
    </row>
    <row r="62" spans="1:33" s="9" customFormat="1" ht="75" x14ac:dyDescent="0.25">
      <c r="A62" s="240"/>
      <c r="B62" s="203" t="s">
        <v>59</v>
      </c>
      <c r="C62" s="177" t="str">
        <f>IFERROR(IF(IF(ISBLANK($B62),VLOOKUP($A62,Harmonogram!$A$1:$FA$162,COLUMN(Prehľad!A62)+6,FALSE),VLOOKUP(Prehľad!$B62,Harmonogram!$F$2:$EW$150,COLUMN(Prehľad!A62)+1,FALSE))=0,"",IF(ISBLANK($B62),VLOOKUP($A62,Harmonogram!$A$1:$FA$162,COLUMN(Prehľad!A62)+6,FALSE),VLOOKUP(Prehľad!$B62,Harmonogram!$F$2:$EW$150,COLUMN(Prehľad!A62)+1,FALSE))),"")</f>
        <v>Revitalizácia trate
Vybudovanie peronizácie Bernolákovo, Senec</v>
      </c>
      <c r="D62" s="177" t="str">
        <f>IFERROR(IF(IF(ISBLANK($B62),VLOOKUP($A62,Harmonogram!$A$1:$FA$162,COLUMN(Prehľad!B62)+6,FALSE),VLOOKUP(Prehľad!$B62,Harmonogram!$F$2:$EW$150,COLUMN(Prehľad!B62)+1,FALSE))=0,"",IF(ISBLANK($B62),VLOOKUP($A62,Harmonogram!$A$1:$FA$162,COLUMN(Prehľad!B62)+6,FALSE),VLOOKUP(Prehľad!$B62,Harmonogram!$F$2:$EW$150,COLUMN(Prehľad!B62)+1,FALSE))),"")</f>
        <v>Odstránenie nedostatkov: nízka pravidelnosť dopravy (perónové intervaly, zdržania)</v>
      </c>
      <c r="E62" s="204" t="str">
        <f>IFERROR(IF(IF(ISBLANK($B62),VLOOKUP($A62,Harmonogram!$A$1:$FA$162,COLUMN(Prehľad!C62)+6,FALSE),VLOOKUP(Prehľad!$B62,Harmonogram!$F$2:$EW$150,COLUMN(Prehľad!C62)+1,FALSE))=0,"",IF(ISBLANK($B62),VLOOKUP($A62,Harmonogram!$A$1:$FA$162,COLUMN(Prehľad!C62)+6,FALSE),VLOOKUP(Prehľad!$B62,Harmonogram!$F$2:$EW$150,COLUMN(Prehľad!C62)+1,FALSE))),"")</f>
        <v>TEN-T core;
RFC 5 - alternatívna trať
RFC 7 - hlavná trať
Dĺžka(130a)= 17,1km; osôb/deň= 16000; mil.hrtkm/rok=246,5</v>
      </c>
      <c r="F62" s="177">
        <f>IF(ISBLANK(B62),"",IFERROR(VLOOKUP(B62,Harmonogram!$F$3:$EO$97,140,FALSE),"er"))</f>
        <v>13.987</v>
      </c>
      <c r="G62" s="177" t="str">
        <f>IFERROR(IF(IF(ISBLANK($B62),VLOOKUP($A62,Harmonogram!$A$1:$FA$162,COLUMN(Prehľad!D62)+6,FALSE),VLOOKUP(Prehľad!$B62,Harmonogram!$F$2:$EW$150,COLUMN(Prehľad!D62)+1,FALSE))=0,"",IF(ISBLANK($B62),VLOOKUP($A62,Harmonogram!$A$1:$FA$162,COLUMN(Prehľad!D62)+6,FALSE),VLOOKUP(Prehľad!$B62,Harmonogram!$F$2:$EW$150,COLUMN(Prehľad!D62)+1,FALSE))),"")</f>
        <v>1b; 2a</v>
      </c>
      <c r="H62" s="250" t="str">
        <f>IFERROR(IF(IF(ISBLANK($B62),VLOOKUP($A62,Harmonogram!$A$1:$FA$162,COLUMN(Prehľad!A62)+11,FALSE),VLOOKUP(Prehľad!$B62,Harmonogram!$F$2:$EW$150,COLUMN(Prehľad!A62)+6,FALSE))=0,"",IF(ISBLANK($B62),VLOOKUP($A62,Harmonogram!$A$1:$FA$162,COLUMN(Prehľad!A62)+11,FALSE),VLOOKUP(Prehľad!$B62,Harmonogram!$F$2:$EW$150,COLUMN(Prehľad!A62)+6,FALSE))),"")</f>
        <v/>
      </c>
      <c r="I62" s="260">
        <f>IF(LEN($B62)=0,VLOOKUP($A62,Harmonogram!$A$1:$FA$162,COLUMN(Prehľad!B62)+11,FALSE),VLOOKUP(Prehľad!$B62,Harmonogram!$F$2:$EW$150,COLUMN(Prehľad!B62)+6,FALSE))</f>
        <v>45984326.182713799</v>
      </c>
      <c r="J62" s="261">
        <f>IF(LEN($B62)=0,VLOOKUP($A62,Harmonogram!$A$1:$FA$162,COLUMN(Prehľad!A62)*12+12,FALSE),VLOOKUP(Prehľad!$B62,Harmonogram!$F$2:$EW$150,COLUMN(Prehľad!A62)*12+7,FALSE))</f>
        <v>0</v>
      </c>
      <c r="K62" s="260">
        <f>IF(LEN($B62)=0,VLOOKUP($A62,Harmonogram!$A$1:$FA$162,COLUMN(Prehľad!B62)*12+12,FALSE),VLOOKUP(Prehľad!$B62,Harmonogram!$F$2:$EW$150,COLUMN(Prehľad!B62)*12+7,FALSE))</f>
        <v>0</v>
      </c>
      <c r="L62" s="260">
        <f>IF(LEN($B62)=0,VLOOKUP($A62,Harmonogram!$A$1:$FA$162,COLUMN(Prehľad!C62)*12+12,FALSE),VLOOKUP(Prehľad!$B62,Harmonogram!$F$2:$EW$150,COLUMN(Prehľad!C62)*12+7,FALSE))</f>
        <v>459843.26182713796</v>
      </c>
      <c r="M62" s="260">
        <f>IF(LEN($B62)=0,VLOOKUP($A62,Harmonogram!$A$1:$FA$162,COLUMN(Prehľad!D62)*12+12,FALSE),VLOOKUP(Prehľad!$B62,Harmonogram!$F$2:$EW$150,COLUMN(Prehľad!D62)*12+7,FALSE))</f>
        <v>459843.26182713796</v>
      </c>
      <c r="N62" s="260">
        <f>IF(LEN($B62)=0,VLOOKUP($A62,Harmonogram!$A$1:$FA$162,COLUMN(Prehľad!E62)*12+12,FALSE),VLOOKUP(Prehľad!$B62,Harmonogram!$F$2:$EW$150,COLUMN(Prehľad!E62)*12+7,FALSE))</f>
        <v>459843.26182713796</v>
      </c>
      <c r="O62" s="260">
        <f>IF(LEN($B62)=0,VLOOKUP($A62,Harmonogram!$A$1:$FA$162,COLUMN(Prehľad!F62)*12+12,FALSE),VLOOKUP(Prehľad!$B62,Harmonogram!$F$2:$EW$150,COLUMN(Prehľad!F62)*12+7,FALSE))</f>
        <v>459843.26182713796</v>
      </c>
      <c r="P62" s="260">
        <f>IF(LEN($B62)=0,VLOOKUP($A62,Harmonogram!$A$1:$FA$162,COLUMN(Prehľad!G62)*12+12,FALSE),VLOOKUP(Prehľad!$B62,Harmonogram!$F$2:$EW$150,COLUMN(Prehľad!G62)*12+7,FALSE))</f>
        <v>459843.26182713796</v>
      </c>
      <c r="Q62" s="260">
        <f>IF(LEN($B62)=0,VLOOKUP($A62,Harmonogram!$A$1:$FA$162,COLUMN(Prehľad!H62)*12+12,FALSE),VLOOKUP(Prehľad!$B62,Harmonogram!$F$2:$EW$150,COLUMN(Prehľad!H62)*12+7,FALSE))</f>
        <v>14561703.291192703</v>
      </c>
      <c r="R62" s="260">
        <f>IF(LEN($B62)=0,VLOOKUP($A62,Harmonogram!$A$1:$FA$162,COLUMN(Prehľad!I62)*12+12,FALSE),VLOOKUP(Prehľad!$B62,Harmonogram!$F$2:$EW$150,COLUMN(Prehľad!I62)*12+7,FALSE))</f>
        <v>14561703.291192703</v>
      </c>
      <c r="S62" s="260">
        <f>IF(LEN($B62)=0,VLOOKUP($A62,Harmonogram!$A$1:$FA$162,COLUMN(Prehľad!J62)*12+12,FALSE),VLOOKUP(Prehľad!$B62,Harmonogram!$F$2:$EW$150,COLUMN(Prehľad!J62)*12+7,FALSE))</f>
        <v>14561703.291192703</v>
      </c>
      <c r="T62" s="262">
        <f>IF(LEN($B62)=0,VLOOKUP($A62,Harmonogram!$A$1:$FA$162,COLUMN(Prehľad!K62)*12+12,FALSE),VLOOKUP(Prehľad!$B62,Harmonogram!$F$2:$EW$150,COLUMN(Prehľad!K62)*12+7,FALSE))</f>
        <v>0</v>
      </c>
      <c r="AF62" s="14"/>
      <c r="AG62" s="14"/>
    </row>
    <row r="63" spans="1:33" s="9" customFormat="1" ht="90" x14ac:dyDescent="0.25">
      <c r="A63" s="241"/>
      <c r="B63" s="203" t="s">
        <v>71</v>
      </c>
      <c r="C63" s="177" t="str">
        <f>IFERROR(IF(IF(ISBLANK($B63),VLOOKUP($A63,Harmonogram!$A$1:$FA$162,COLUMN(Prehľad!A63)+6,FALSE),VLOOKUP(Prehľad!$B63,Harmonogram!$F$2:$EW$150,COLUMN(Prehľad!A63)+1,FALSE))=0,"",IF(ISBLANK($B63),VLOOKUP($A63,Harmonogram!$A$1:$FA$162,COLUMN(Prehľad!A63)+6,FALSE),VLOOKUP(Prehľad!$B63,Harmonogram!$F$2:$EW$150,COLUMN(Prehľad!A63)+1,FALSE))),"")</f>
        <v>Revitalizácia trate
Vybudovanie odb. Ružinov; rozšírenie stanice N. Košariská; AH N. Košariská - Kvetoslavov</v>
      </c>
      <c r="D63" s="177" t="str">
        <f>IFERROR(IF(IF(ISBLANK($B63),VLOOKUP($A63,Harmonogram!$A$1:$FA$162,COLUMN(Prehľad!B63)+6,FALSE),VLOOKUP(Prehľad!$B63,Harmonogram!$F$2:$EW$150,COLUMN(Prehľad!B63)+1,FALSE))=0,"",IF(ISBLANK($B63),VLOOKUP($A63,Harmonogram!$A$1:$FA$162,COLUMN(Prehľad!B63)+6,FALSE),VLOOKUP(Prehľad!$B63,Harmonogram!$F$2:$EW$150,COLUMN(Prehľad!B63)+1,FALSE))),"")</f>
        <v>Odstránenie nedostatkov: nemožnosť pravidelného intervalu (30 min Os a 60 min REX) a nedostatočná kapacita pre nakladne vlaky</v>
      </c>
      <c r="E63" s="204" t="str">
        <f>IFERROR(IF(IF(ISBLANK($B63),VLOOKUP($A63,Harmonogram!$A$1:$FA$162,COLUMN(Prehľad!C63)+6,FALSE),VLOOKUP(Prehľad!$B63,Harmonogram!$F$2:$EW$150,COLUMN(Prehľad!C63)+1,FALSE))=0,"",IF(ISBLANK($B63),VLOOKUP($A63,Harmonogram!$A$1:$FA$162,COLUMN(Prehľad!C63)+6,FALSE),VLOOKUP(Prehľad!$B63,Harmonogram!$F$2:$EW$150,COLUMN(Prehľad!C63)+1,FALSE))),"")</f>
        <v>Hlavná trať ŽSR
RFC 5 - prípojná trať
RFC 7 - prípojná trať
RFC 11 - prípojná trať
Dĺžka(131a)= 21,1km; osôb/deň= 9000; mil.hrtkm/rok=88,6</v>
      </c>
      <c r="F63" s="177">
        <f>IF(ISBLANK(B63),"",IFERROR(VLOOKUP(B63,Harmonogram!$F$3:$EO$97,140,FALSE),"er"))</f>
        <v>21.408000000000001</v>
      </c>
      <c r="G63" s="177" t="str">
        <f>IFERROR(IF(IF(ISBLANK($B63),VLOOKUP($A63,Harmonogram!$A$1:$FA$162,COLUMN(Prehľad!D63)+6,FALSE),VLOOKUP(Prehľad!$B63,Harmonogram!$F$2:$EW$150,COLUMN(Prehľad!D63)+1,FALSE))=0,"",IF(ISBLANK($B63),VLOOKUP($A63,Harmonogram!$A$1:$FA$162,COLUMN(Prehľad!D63)+6,FALSE),VLOOKUP(Prehľad!$B63,Harmonogram!$F$2:$EW$150,COLUMN(Prehľad!D63)+1,FALSE))),"")</f>
        <v>1b;2a</v>
      </c>
      <c r="H63" s="250" t="str">
        <f>IFERROR(IF(IF(ISBLANK($B63),VLOOKUP($A63,Harmonogram!$A$1:$FA$162,COLUMN(Prehľad!A63)+11,FALSE),VLOOKUP(Prehľad!$B63,Harmonogram!$F$2:$EW$150,COLUMN(Prehľad!A63)+6,FALSE))=0,"",IF(ISBLANK($B63),VLOOKUP($A63,Harmonogram!$A$1:$FA$162,COLUMN(Prehľad!A63)+11,FALSE),VLOOKUP(Prehľad!$B63,Harmonogram!$F$2:$EW$150,COLUMN(Prehľad!A63)+6,FALSE))),"")</f>
        <v/>
      </c>
      <c r="I63" s="260">
        <f>IF(LEN($B63)=0,VLOOKUP($A63,Harmonogram!$A$1:$FA$162,COLUMN(Prehľad!B63)+11,FALSE),VLOOKUP(Prehľad!$B63,Harmonogram!$F$2:$EW$150,COLUMN(Prehľad!B63)+6,FALSE))</f>
        <v>37762565.039865501</v>
      </c>
      <c r="J63" s="261">
        <f>IF(LEN($B63)=0,VLOOKUP($A63,Harmonogram!$A$1:$FA$162,COLUMN(Prehľad!A63)*12+12,FALSE),VLOOKUP(Prehľad!$B63,Harmonogram!$F$2:$EW$150,COLUMN(Prehľad!A63)*12+7,FALSE))</f>
        <v>0</v>
      </c>
      <c r="K63" s="260">
        <f>IF(LEN($B63)=0,VLOOKUP($A63,Harmonogram!$A$1:$FA$162,COLUMN(Prehľad!B63)*12+12,FALSE),VLOOKUP(Prehľad!$B63,Harmonogram!$F$2:$EW$150,COLUMN(Prehľad!B63)*12+7,FALSE))</f>
        <v>0</v>
      </c>
      <c r="L63" s="260">
        <f>IF(LEN($B63)=0,VLOOKUP($A63,Harmonogram!$A$1:$FA$162,COLUMN(Prehľad!C63)*12+12,FALSE),VLOOKUP(Prehľad!$B63,Harmonogram!$F$2:$EW$150,COLUMN(Prehľad!C63)*12+7,FALSE))</f>
        <v>377625.65039865539</v>
      </c>
      <c r="M63" s="260">
        <f>IF(LEN($B63)=0,VLOOKUP($A63,Harmonogram!$A$1:$FA$162,COLUMN(Prehľad!D63)*12+12,FALSE),VLOOKUP(Prehľad!$B63,Harmonogram!$F$2:$EW$150,COLUMN(Prehľad!D63)*12+7,FALSE))</f>
        <v>377625.65039865539</v>
      </c>
      <c r="N63" s="260">
        <f>IF(LEN($B63)=0,VLOOKUP($A63,Harmonogram!$A$1:$FA$162,COLUMN(Prehľad!E63)*12+12,FALSE),VLOOKUP(Prehľad!$B63,Harmonogram!$F$2:$EW$150,COLUMN(Prehľad!E63)*12+7,FALSE))</f>
        <v>377625.65039865539</v>
      </c>
      <c r="O63" s="260">
        <f>IF(LEN($B63)=0,VLOOKUP($A63,Harmonogram!$A$1:$FA$162,COLUMN(Prehľad!F63)*12+12,FALSE),VLOOKUP(Prehľad!$B63,Harmonogram!$F$2:$EW$150,COLUMN(Prehľad!F63)*12+7,FALSE))</f>
        <v>377625.65039865539</v>
      </c>
      <c r="P63" s="260">
        <f>IF(LEN($B63)=0,VLOOKUP($A63,Harmonogram!$A$1:$FA$162,COLUMN(Prehľad!G63)*12+12,FALSE),VLOOKUP(Prehľad!$B63,Harmonogram!$F$2:$EW$150,COLUMN(Prehľad!G63)*12+7,FALSE))</f>
        <v>377625.65039865539</v>
      </c>
      <c r="Q63" s="260">
        <f>IF(LEN($B63)=0,VLOOKUP($A63,Harmonogram!$A$1:$FA$162,COLUMN(Prehľad!H63)*12+12,FALSE),VLOOKUP(Prehľad!$B63,Harmonogram!$F$2:$EW$150,COLUMN(Prehľad!H63)*12+7,FALSE))</f>
        <v>11958145.595957419</v>
      </c>
      <c r="R63" s="260">
        <f>IF(LEN($B63)=0,VLOOKUP($A63,Harmonogram!$A$1:$FA$162,COLUMN(Prehľad!I63)*12+12,FALSE),VLOOKUP(Prehľad!$B63,Harmonogram!$F$2:$EW$150,COLUMN(Prehľad!I63)*12+7,FALSE))</f>
        <v>11958145.595957419</v>
      </c>
      <c r="S63" s="260">
        <f>IF(LEN($B63)=0,VLOOKUP($A63,Harmonogram!$A$1:$FA$162,COLUMN(Prehľad!J63)*12+12,FALSE),VLOOKUP(Prehľad!$B63,Harmonogram!$F$2:$EW$150,COLUMN(Prehľad!J63)*12+7,FALSE))</f>
        <v>11958145.595957419</v>
      </c>
      <c r="T63" s="262">
        <f>IF(LEN($B63)=0,VLOOKUP($A63,Harmonogram!$A$1:$FA$162,COLUMN(Prehľad!K63)*12+12,FALSE),VLOOKUP(Prehľad!$B63,Harmonogram!$F$2:$EW$150,COLUMN(Prehľad!K63)*12+7,FALSE))</f>
        <v>0</v>
      </c>
      <c r="AF63" s="14"/>
      <c r="AG63" s="14"/>
    </row>
    <row r="64" spans="1:33" ht="75" x14ac:dyDescent="0.25">
      <c r="A64" s="244"/>
      <c r="B64" s="203" t="s">
        <v>1314</v>
      </c>
      <c r="C64" s="177" t="str">
        <f>IFERROR(IF(IF(ISBLANK($B64),VLOOKUP($A64,Harmonogram!$A$1:$FA$162,COLUMN(Prehľad!A64)+6,FALSE),VLOOKUP(Prehľad!$B64,Harmonogram!$F$2:$EW$150,COLUMN(Prehľad!A64)+1,FALSE))=0,"",IF(ISBLANK($B64),VLOOKUP($A64,Harmonogram!$A$1:$FA$162,COLUMN(Prehľad!A64)+6,FALSE),VLOOKUP(Prehľad!$B64,Harmonogram!$F$2:$EW$150,COLUMN(Prehľad!A64)+1,FALSE))),"")</f>
        <v>Revitalizácia trate</v>
      </c>
      <c r="D64" s="177" t="str">
        <f>IFERROR(IF(IF(ISBLANK($B64),VLOOKUP($A64,Harmonogram!$A$1:$FA$162,COLUMN(Prehľad!B64)+6,FALSE),VLOOKUP(Prehľad!$B64,Harmonogram!$F$2:$EW$150,COLUMN(Prehľad!B64)+1,FALSE))=0,"",IF(ISBLANK($B64),VLOOKUP($A64,Harmonogram!$A$1:$FA$162,COLUMN(Prehľad!B64)+6,FALSE),VLOOKUP(Prehľad!$B64,Harmonogram!$F$2:$EW$150,COLUMN(Prehľad!B64)+1,FALSE))),"")</f>
        <v>Zvýšenie bezpečnosti a plynulosti železničnej dopravy, skrátenie jazdnej doby vlakov a úspora prevádzkových nákladov.</v>
      </c>
      <c r="E64" s="204" t="str">
        <f>IFERROR(IF(IF(ISBLANK($B64),VLOOKUP($A64,Harmonogram!$A$1:$FA$162,COLUMN(Prehľad!C64)+6,FALSE),VLOOKUP(Prehľad!$B64,Harmonogram!$F$2:$EW$150,COLUMN(Prehľad!C64)+1,FALSE))=0,"",IF(ISBLANK($B64),VLOOKUP($A64,Harmonogram!$A$1:$FA$162,COLUMN(Prehľad!C64)+6,FALSE),VLOOKUP(Prehľad!$B64,Harmonogram!$F$2:$EW$150,COLUMN(Prehľad!C64)+1,FALSE))),"")</f>
        <v>TEN-T core;
RFC 7 - hlavná trať
RFC 11 - hlavná trať
Dĺžka(130c)= 32,3km; osôb/deň= 16000; mil.hrtkm/rok=586,4</v>
      </c>
      <c r="F64" s="177">
        <f>IF(ISBLANK(B64),"",IFERROR(VLOOKUP(B64,Harmonogram!$F$3:$EO$97,140,FALSE),"er"))</f>
        <v>32.341000000000001</v>
      </c>
      <c r="G64" s="177" t="str">
        <f>IFERROR(IF(IF(ISBLANK($B64),VLOOKUP($A64,Harmonogram!$A$1:$FA$162,COLUMN(Prehľad!D64)+6,FALSE),VLOOKUP(Prehľad!$B64,Harmonogram!$F$2:$EW$150,COLUMN(Prehľad!D64)+1,FALSE))=0,"",IF(ISBLANK($B64),VLOOKUP($A64,Harmonogram!$A$1:$FA$162,COLUMN(Prehľad!D64)+6,FALSE),VLOOKUP(Prehľad!$B64,Harmonogram!$F$2:$EW$150,COLUMN(Prehľad!D64)+1,FALSE))),"")</f>
        <v>1b</v>
      </c>
      <c r="H64" s="250" t="str">
        <f>IFERROR(IF(IF(ISBLANK($B64),VLOOKUP($A64,Harmonogram!$A$1:$FA$162,COLUMN(Prehľad!A64)+11,FALSE),VLOOKUP(Prehľad!$B64,Harmonogram!$F$2:$EW$150,COLUMN(Prehľad!A64)+6,FALSE))=0,"",IF(ISBLANK($B64),VLOOKUP($A64,Harmonogram!$A$1:$FA$162,COLUMN(Prehľad!A64)+11,FALSE),VLOOKUP(Prehľad!$B64,Harmonogram!$F$2:$EW$150,COLUMN(Prehľad!A64)+6,FALSE))),"")</f>
        <v/>
      </c>
      <c r="I64" s="260">
        <f>IF(LEN($B64)=0,VLOOKUP($A64,Harmonogram!$A$1:$FA$162,COLUMN(Prehľad!B64)+11,FALSE),VLOOKUP(Prehľad!$B64,Harmonogram!$F$2:$EW$150,COLUMN(Prehľad!B64)+6,FALSE))</f>
        <v>108488055.14887901</v>
      </c>
      <c r="J64" s="261">
        <f>IF(LEN($B64)=0,VLOOKUP($A64,Harmonogram!$A$1:$FA$162,COLUMN(Prehľad!A64)*12+12,FALSE),VLOOKUP(Prehľad!$B64,Harmonogram!$F$2:$EW$150,COLUMN(Prehľad!A64)*12+7,FALSE))</f>
        <v>0</v>
      </c>
      <c r="K64" s="260">
        <f>IF(LEN($B64)=0,VLOOKUP($A64,Harmonogram!$A$1:$FA$162,COLUMN(Prehľad!B64)*12+12,FALSE),VLOOKUP(Prehľad!$B64,Harmonogram!$F$2:$EW$150,COLUMN(Prehľad!B64)*12+7,FALSE))</f>
        <v>0</v>
      </c>
      <c r="L64" s="260">
        <f>IF(LEN($B64)=0,VLOOKUP($A64,Harmonogram!$A$1:$FA$162,COLUMN(Prehľad!C64)*12+12,FALSE),VLOOKUP(Prehľad!$B64,Harmonogram!$F$2:$EW$150,COLUMN(Prehľad!C64)*12+7,FALSE))</f>
        <v>1084880.55</v>
      </c>
      <c r="M64" s="260">
        <f>IF(LEN($B64)=0,VLOOKUP($A64,Harmonogram!$A$1:$FA$162,COLUMN(Prehľad!D64)*12+12,FALSE),VLOOKUP(Prehľad!$B64,Harmonogram!$F$2:$EW$150,COLUMN(Prehľad!D64)*12+7,FALSE))</f>
        <v>1084880.55</v>
      </c>
      <c r="N64" s="260">
        <f>IF(LEN($B64)=0,VLOOKUP($A64,Harmonogram!$A$1:$FA$162,COLUMN(Prehľad!E64)*12+12,FALSE),VLOOKUP(Prehľad!$B64,Harmonogram!$F$2:$EW$150,COLUMN(Prehľad!E64)*12+7,FALSE))</f>
        <v>1084880.55</v>
      </c>
      <c r="O64" s="260">
        <f>IF(LEN($B64)=0,VLOOKUP($A64,Harmonogram!$A$1:$FA$162,COLUMN(Prehľad!F64)*12+12,FALSE),VLOOKUP(Prehľad!$B64,Harmonogram!$F$2:$EW$150,COLUMN(Prehľad!F64)*12+7,FALSE))</f>
        <v>1084880.55</v>
      </c>
      <c r="P64" s="260">
        <f>IF(LEN($B64)=0,VLOOKUP($A64,Harmonogram!$A$1:$FA$162,COLUMN(Prehľad!G64)*12+12,FALSE),VLOOKUP(Prehľad!$B64,Harmonogram!$F$2:$EW$150,COLUMN(Prehľad!G64)*12+7,FALSE))</f>
        <v>1084880.55</v>
      </c>
      <c r="Q64" s="260">
        <f>IF(LEN($B64)=0,VLOOKUP($A64,Harmonogram!$A$1:$FA$162,COLUMN(Prehľad!H64)*12+12,FALSE),VLOOKUP(Prehľad!$B64,Harmonogram!$F$2:$EW$150,COLUMN(Prehľad!H64)*12+7,FALSE))</f>
        <v>25765913.100000001</v>
      </c>
      <c r="R64" s="260">
        <f>IF(LEN($B64)=0,VLOOKUP($A64,Harmonogram!$A$1:$FA$162,COLUMN(Prehľad!I64)*12+12,FALSE),VLOOKUP(Prehľad!$B64,Harmonogram!$F$2:$EW$150,COLUMN(Prehľad!I64)*12+7,FALSE))</f>
        <v>25765913.100000001</v>
      </c>
      <c r="S64" s="260">
        <f>IF(LEN($B64)=0,VLOOKUP($A64,Harmonogram!$A$1:$FA$162,COLUMN(Prehľad!J64)*12+12,FALSE),VLOOKUP(Prehľad!$B64,Harmonogram!$F$2:$EW$150,COLUMN(Prehľad!J64)*12+7,FALSE))</f>
        <v>25765913.100000001</v>
      </c>
      <c r="T64" s="262">
        <f>IF(LEN($B64)=0,VLOOKUP($A64,Harmonogram!$A$1:$FA$162,COLUMN(Prehľad!K64)*12+12,FALSE),VLOOKUP(Prehľad!$B64,Harmonogram!$F$2:$EW$150,COLUMN(Prehľad!K64)*12+7,FALSE))</f>
        <v>25765913.100000001</v>
      </c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</row>
    <row r="65" spans="1:33" ht="90" x14ac:dyDescent="0.25">
      <c r="A65" s="241"/>
      <c r="B65" s="203" t="s">
        <v>1264</v>
      </c>
      <c r="C65" s="177" t="str">
        <f>IFERROR(IF(IF(ISBLANK($B65),VLOOKUP($A65,Harmonogram!$A$1:$FA$162,COLUMN(Prehľad!A65)+6,FALSE),VLOOKUP(Prehľad!$B65,Harmonogram!$F$2:$EW$150,COLUMN(Prehľad!A65)+1,FALSE))=0,"",IF(ISBLANK($B65),VLOOKUP($A65,Harmonogram!$A$1:$FA$162,COLUMN(Prehľad!A65)+6,FALSE),VLOOKUP(Prehľad!$B65,Harmonogram!$F$2:$EW$150,COLUMN(Prehľad!A65)+1,FALSE))),"")</f>
        <v>Revitalizácia trate</v>
      </c>
      <c r="D65" s="177" t="str">
        <f>IFERROR(IF(IF(ISBLANK($B65),VLOOKUP($A65,Harmonogram!$A$1:$FA$162,COLUMN(Prehľad!B65)+6,FALSE),VLOOKUP(Prehľad!$B65,Harmonogram!$F$2:$EW$150,COLUMN(Prehľad!B65)+1,FALSE))=0,"",IF(ISBLANK($B65),VLOOKUP($A65,Harmonogram!$A$1:$FA$162,COLUMN(Prehľad!B65)+6,FALSE),VLOOKUP(Prehľad!$B65,Harmonogram!$F$2:$EW$150,COLUMN(Prehľad!B65)+1,FALSE))),"")</f>
        <v>Zvýšenie bezpečnosti a plynulosti železničnej dopravy, skrátenie jazdnej doby vlakov a úspora prevádzkových nákladov.</v>
      </c>
      <c r="E65" s="204" t="str">
        <f>IFERROR(IF(IF(ISBLANK($B65),VLOOKUP($A65,Harmonogram!$A$1:$FA$162,COLUMN(Prehľad!C65)+6,FALSE),VLOOKUP(Prehľad!$B65,Harmonogram!$F$2:$EW$150,COLUMN(Prehľad!C65)+1,FALSE))=0,"",IF(ISBLANK($B65),VLOOKUP($A65,Harmonogram!$A$1:$FA$162,COLUMN(Prehľad!C65)+6,FALSE),VLOOKUP(Prehľad!$B65,Harmonogram!$F$2:$EW$150,COLUMN(Prehľad!C65)+1,FALSE))),"")</f>
        <v>TEN-T core;
RFC 5 - hlavná trať
RFC 7 - hlavná trať
RFC 11 - hlavná trať
Dĺžka(BAV)= 24,9km; osôb/deň= 9000; mil.hrtkm/rok=292,2</v>
      </c>
      <c r="F65" s="177">
        <f>IF(ISBLANK(B65),"",IFERROR(VLOOKUP(B65,Harmonogram!$F$3:$EO$97,140,FALSE),"er"))</f>
        <v>26.14</v>
      </c>
      <c r="G65" s="177" t="str">
        <f>IFERROR(IF(IF(ISBLANK($B65),VLOOKUP($A65,Harmonogram!$A$1:$FA$162,COLUMN(Prehľad!D65)+6,FALSE),VLOOKUP(Prehľad!$B65,Harmonogram!$F$2:$EW$150,COLUMN(Prehľad!D65)+1,FALSE))=0,"",IF(ISBLANK($B65),VLOOKUP($A65,Harmonogram!$A$1:$FA$162,COLUMN(Prehľad!D65)+6,FALSE),VLOOKUP(Prehľad!$B65,Harmonogram!$F$2:$EW$150,COLUMN(Prehľad!D65)+1,FALSE))),"")</f>
        <v>1b</v>
      </c>
      <c r="H65" s="250" t="str">
        <f>IFERROR(IF(IF(ISBLANK($B65),VLOOKUP($A65,Harmonogram!$A$1:$FA$162,COLUMN(Prehľad!A65)+11,FALSE),VLOOKUP(Prehľad!$B65,Harmonogram!$F$2:$EW$150,COLUMN(Prehľad!A65)+6,FALSE))=0,"",IF(ISBLANK($B65),VLOOKUP($A65,Harmonogram!$A$1:$FA$162,COLUMN(Prehľad!A65)+11,FALSE),VLOOKUP(Prehľad!$B65,Harmonogram!$F$2:$EW$150,COLUMN(Prehľad!A65)+6,FALSE))),"")</f>
        <v>štúdia uskutočniteľnosti</v>
      </c>
      <c r="I65" s="260">
        <f>IF(LEN($B65)=0,VLOOKUP($A65,Harmonogram!$A$1:$FA$162,COLUMN(Prehľad!B65)+11,FALSE),VLOOKUP(Prehľad!$B65,Harmonogram!$F$2:$EW$150,COLUMN(Prehľad!B65)+6,FALSE))</f>
        <v>76123773.8766177</v>
      </c>
      <c r="J65" s="261">
        <f>IF(LEN($B65)=0,VLOOKUP($A65,Harmonogram!$A$1:$FA$162,COLUMN(Prehľad!A65)*12+12,FALSE),VLOOKUP(Prehľad!$B65,Harmonogram!$F$2:$EW$150,COLUMN(Prehľad!A65)*12+7,FALSE))</f>
        <v>0</v>
      </c>
      <c r="K65" s="260">
        <f>IF(LEN($B65)=0,VLOOKUP($A65,Harmonogram!$A$1:$FA$162,COLUMN(Prehľad!B65)*12+12,FALSE),VLOOKUP(Prehľad!$B65,Harmonogram!$F$2:$EW$150,COLUMN(Prehľad!B65)*12+7,FALSE))</f>
        <v>0</v>
      </c>
      <c r="L65" s="260">
        <f>IF(LEN($B65)=0,VLOOKUP($A65,Harmonogram!$A$1:$FA$162,COLUMN(Prehľad!C65)*12+12,FALSE),VLOOKUP(Prehľad!$B65,Harmonogram!$F$2:$EW$150,COLUMN(Prehľad!C65)*12+7,FALSE))</f>
        <v>0</v>
      </c>
      <c r="M65" s="260">
        <f>IF(LEN($B65)=0,VLOOKUP($A65,Harmonogram!$A$1:$FA$162,COLUMN(Prehľad!D65)*12+12,FALSE),VLOOKUP(Prehľad!$B65,Harmonogram!$F$2:$EW$150,COLUMN(Prehľad!D65)*12+7,FALSE))</f>
        <v>951547.17</v>
      </c>
      <c r="N65" s="260">
        <f>IF(LEN($B65)=0,VLOOKUP($A65,Harmonogram!$A$1:$FA$162,COLUMN(Prehľad!E65)*12+12,FALSE),VLOOKUP(Prehľad!$B65,Harmonogram!$F$2:$EW$150,COLUMN(Prehľad!E65)*12+7,FALSE))</f>
        <v>951547.17</v>
      </c>
      <c r="O65" s="260">
        <f>IF(LEN($B65)=0,VLOOKUP($A65,Harmonogram!$A$1:$FA$162,COLUMN(Prehľad!F65)*12+12,FALSE),VLOOKUP(Prehľad!$B65,Harmonogram!$F$2:$EW$150,COLUMN(Prehľad!F65)*12+7,FALSE))</f>
        <v>951547.17</v>
      </c>
      <c r="P65" s="260">
        <f>IF(LEN($B65)=0,VLOOKUP($A65,Harmonogram!$A$1:$FA$162,COLUMN(Prehľad!G65)*12+12,FALSE),VLOOKUP(Prehľad!$B65,Harmonogram!$F$2:$EW$150,COLUMN(Prehľad!G65)*12+7,FALSE))</f>
        <v>951547.17</v>
      </c>
      <c r="Q65" s="260">
        <f>IF(LEN($B65)=0,VLOOKUP($A65,Harmonogram!$A$1:$FA$162,COLUMN(Prehľad!H65)*12+12,FALSE),VLOOKUP(Prehľad!$B65,Harmonogram!$F$2:$EW$150,COLUMN(Prehľad!H65)*12+7,FALSE))</f>
        <v>24105861.73</v>
      </c>
      <c r="R65" s="260">
        <f>IF(LEN($B65)=0,VLOOKUP($A65,Harmonogram!$A$1:$FA$162,COLUMN(Prehľad!I65)*12+12,FALSE),VLOOKUP(Prehľad!$B65,Harmonogram!$F$2:$EW$150,COLUMN(Prehľad!I65)*12+7,FALSE))</f>
        <v>24105861.73</v>
      </c>
      <c r="S65" s="260">
        <f>IF(LEN($B65)=0,VLOOKUP($A65,Harmonogram!$A$1:$FA$162,COLUMN(Prehľad!J65)*12+12,FALSE),VLOOKUP(Prehľad!$B65,Harmonogram!$F$2:$EW$150,COLUMN(Prehľad!J65)*12+7,FALSE))</f>
        <v>24105861.73</v>
      </c>
      <c r="T65" s="262">
        <f>IF(LEN($B65)=0,VLOOKUP($A65,Harmonogram!$A$1:$FA$162,COLUMN(Prehľad!K65)*12+12,FALSE),VLOOKUP(Prehľad!$B65,Harmonogram!$F$2:$EW$150,COLUMN(Prehľad!K65)*12+7,FALSE))</f>
        <v>0</v>
      </c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</row>
    <row r="66" spans="1:33" s="5" customFormat="1" ht="90" x14ac:dyDescent="0.25">
      <c r="A66" s="241"/>
      <c r="B66" s="203" t="s">
        <v>1265</v>
      </c>
      <c r="C66" s="177" t="str">
        <f>IFERROR(IF(IF(ISBLANK($B66),VLOOKUP($A66,Harmonogram!$A$1:$FA$162,COLUMN(Prehľad!A66)+6,FALSE),VLOOKUP(Prehľad!$B66,Harmonogram!$F$2:$EW$150,COLUMN(Prehľad!A66)+1,FALSE))=0,"",IF(ISBLANK($B66),VLOOKUP($A66,Harmonogram!$A$1:$FA$162,COLUMN(Prehľad!A66)+6,FALSE),VLOOKUP(Prehľad!$B66,Harmonogram!$F$2:$EW$150,COLUMN(Prehľad!A66)+1,FALSE))),"")</f>
        <v>Revitalizácia trate</v>
      </c>
      <c r="D66" s="177" t="str">
        <f>IFERROR(IF(IF(ISBLANK($B66),VLOOKUP($A66,Harmonogram!$A$1:$FA$162,COLUMN(Prehľad!B66)+6,FALSE),VLOOKUP(Prehľad!$B66,Harmonogram!$F$2:$EW$150,COLUMN(Prehľad!B66)+1,FALSE))=0,"",IF(ISBLANK($B66),VLOOKUP($A66,Harmonogram!$A$1:$FA$162,COLUMN(Prehľad!B66)+6,FALSE),VLOOKUP(Prehľad!$B66,Harmonogram!$F$2:$EW$150,COLUMN(Prehľad!B66)+1,FALSE))),"")</f>
        <v>Zvýšenie bezpečnosti a plynulosti železničnej dopravy, skrátenie jazdnej doby vlakov a úspora prevádzkových nákladov.</v>
      </c>
      <c r="E66" s="204" t="str">
        <f>IFERROR(IF(IF(ISBLANK($B66),VLOOKUP($A66,Harmonogram!$A$1:$FA$162,COLUMN(Prehľad!C66)+6,FALSE),VLOOKUP(Prehľad!$B66,Harmonogram!$F$2:$EW$150,COLUMN(Prehľad!C66)+1,FALSE))=0,"",IF(ISBLANK($B66),VLOOKUP($A66,Harmonogram!$A$1:$FA$162,COLUMN(Prehľad!C66)+6,FALSE),VLOOKUP(Prehľad!$B66,Harmonogram!$F$2:$EW$150,COLUMN(Prehľad!C66)+1,FALSE))),"")</f>
        <v>TEN-T core;
RFC 5 - hlavná trať
RFC 7 - hlavná trať
RFC 11 - hlavná trať
Dĺžka(BAZ)= 16,4km; osôb/deň= 11000; mil.hrtkm/rok=301,3</v>
      </c>
      <c r="F66" s="177">
        <f>IF(ISBLANK(B66),"",IFERROR(VLOOKUP(B66,Harmonogram!$F$3:$EO$97,140,FALSE),"er"))</f>
        <v>15.885</v>
      </c>
      <c r="G66" s="177" t="str">
        <f>IFERROR(IF(IF(ISBLANK($B66),VLOOKUP($A66,Harmonogram!$A$1:$FA$162,COLUMN(Prehľad!D66)+6,FALSE),VLOOKUP(Prehľad!$B66,Harmonogram!$F$2:$EW$150,COLUMN(Prehľad!D66)+1,FALSE))=0,"",IF(ISBLANK($B66),VLOOKUP($A66,Harmonogram!$A$1:$FA$162,COLUMN(Prehľad!D66)+6,FALSE),VLOOKUP(Prehľad!$B66,Harmonogram!$F$2:$EW$150,COLUMN(Prehľad!D66)+1,FALSE))),"")</f>
        <v>1b</v>
      </c>
      <c r="H66" s="250" t="str">
        <f>IFERROR(IF(IF(ISBLANK($B66),VLOOKUP($A66,Harmonogram!$A$1:$FA$162,COLUMN(Prehľad!A66)+11,FALSE),VLOOKUP(Prehľad!$B66,Harmonogram!$F$2:$EW$150,COLUMN(Prehľad!A66)+6,FALSE))=0,"",IF(ISBLANK($B66),VLOOKUP($A66,Harmonogram!$A$1:$FA$162,COLUMN(Prehľad!A66)+11,FALSE),VLOOKUP(Prehľad!$B66,Harmonogram!$F$2:$EW$150,COLUMN(Prehľad!A66)+6,FALSE))),"")</f>
        <v>štúdia uskutočniteľnosti</v>
      </c>
      <c r="I66" s="260">
        <f>IF(LEN($B66)=0,VLOOKUP($A66,Harmonogram!$A$1:$FA$162,COLUMN(Prehľad!B66)+11,FALSE),VLOOKUP(Prehľad!$B66,Harmonogram!$F$2:$EW$150,COLUMN(Prehľad!B66)+6,FALSE))</f>
        <v>75287054.99708873</v>
      </c>
      <c r="J66" s="261">
        <f>IF(LEN($B66)=0,VLOOKUP($A66,Harmonogram!$A$1:$FA$162,COLUMN(Prehľad!A66)*12+12,FALSE),VLOOKUP(Prehľad!$B66,Harmonogram!$F$2:$EW$150,COLUMN(Prehľad!A66)*12+7,FALSE))</f>
        <v>0</v>
      </c>
      <c r="K66" s="260">
        <f>IF(LEN($B66)=0,VLOOKUP($A66,Harmonogram!$A$1:$FA$162,COLUMN(Prehľad!B66)*12+12,FALSE),VLOOKUP(Prehľad!$B66,Harmonogram!$F$2:$EW$150,COLUMN(Prehľad!B66)*12+7,FALSE))</f>
        <v>0</v>
      </c>
      <c r="L66" s="260">
        <f>IF(LEN($B66)=0,VLOOKUP($A66,Harmonogram!$A$1:$FA$162,COLUMN(Prehľad!C66)*12+12,FALSE),VLOOKUP(Prehľad!$B66,Harmonogram!$F$2:$EW$150,COLUMN(Prehľad!C66)*12+7,FALSE))</f>
        <v>0</v>
      </c>
      <c r="M66" s="260">
        <f>IF(LEN($B66)=0,VLOOKUP($A66,Harmonogram!$A$1:$FA$162,COLUMN(Prehľad!D66)*12+12,FALSE),VLOOKUP(Prehľad!$B66,Harmonogram!$F$2:$EW$150,COLUMN(Prehľad!D66)*12+7,FALSE))</f>
        <v>941088.19</v>
      </c>
      <c r="N66" s="260">
        <f>IF(LEN($B66)=0,VLOOKUP($A66,Harmonogram!$A$1:$FA$162,COLUMN(Prehľad!E66)*12+12,FALSE),VLOOKUP(Prehľad!$B66,Harmonogram!$F$2:$EW$150,COLUMN(Prehľad!E66)*12+7,FALSE))</f>
        <v>941088.19</v>
      </c>
      <c r="O66" s="260">
        <f>IF(LEN($B66)=0,VLOOKUP($A66,Harmonogram!$A$1:$FA$162,COLUMN(Prehľad!F66)*12+12,FALSE),VLOOKUP(Prehľad!$B66,Harmonogram!$F$2:$EW$150,COLUMN(Prehľad!F66)*12+7,FALSE))</f>
        <v>941088.19</v>
      </c>
      <c r="P66" s="260">
        <f>IF(LEN($B66)=0,VLOOKUP($A66,Harmonogram!$A$1:$FA$162,COLUMN(Prehľad!G66)*12+12,FALSE),VLOOKUP(Prehľad!$B66,Harmonogram!$F$2:$EW$150,COLUMN(Prehľad!G66)*12+7,FALSE))</f>
        <v>941088.19</v>
      </c>
      <c r="Q66" s="260">
        <f>IF(LEN($B66)=0,VLOOKUP($A66,Harmonogram!$A$1:$FA$162,COLUMN(Prehľad!H66)*12+12,FALSE),VLOOKUP(Prehľad!$B66,Harmonogram!$F$2:$EW$150,COLUMN(Prehľad!H66)*12+7,FALSE))</f>
        <v>23840900.75</v>
      </c>
      <c r="R66" s="260">
        <f>IF(LEN($B66)=0,VLOOKUP($A66,Harmonogram!$A$1:$FA$162,COLUMN(Prehľad!I66)*12+12,FALSE),VLOOKUP(Prehľad!$B66,Harmonogram!$F$2:$EW$150,COLUMN(Prehľad!I66)*12+7,FALSE))</f>
        <v>23840900.75</v>
      </c>
      <c r="S66" s="260">
        <f>IF(LEN($B66)=0,VLOOKUP($A66,Harmonogram!$A$1:$FA$162,COLUMN(Prehľad!J66)*12+12,FALSE),VLOOKUP(Prehľad!$B66,Harmonogram!$F$2:$EW$150,COLUMN(Prehľad!J66)*12+7,FALSE))</f>
        <v>23840900.75</v>
      </c>
      <c r="T66" s="262">
        <f>IF(LEN($B66)=0,VLOOKUP($A66,Harmonogram!$A$1:$FA$162,COLUMN(Prehľad!K66)*12+12,FALSE),VLOOKUP(Prehľad!$B66,Harmonogram!$F$2:$EW$150,COLUMN(Prehľad!K66)*12+7,FALSE))</f>
        <v>0</v>
      </c>
      <c r="U66" s="91"/>
      <c r="AF66" s="14"/>
    </row>
    <row r="67" spans="1:33" ht="90" x14ac:dyDescent="0.25">
      <c r="A67" s="240"/>
      <c r="B67" s="203" t="s">
        <v>73</v>
      </c>
      <c r="C67" s="177" t="str">
        <f>IFERROR(IF(IF(ISBLANK($B67),VLOOKUP($A67,Harmonogram!$A$1:$FA$162,COLUMN(Prehľad!A67)+6,FALSE),VLOOKUP(Prehľad!$B67,Harmonogram!$F$2:$EW$150,COLUMN(Prehľad!A67)+1,FALSE))=0,"",IF(ISBLANK($B67),VLOOKUP($A67,Harmonogram!$A$1:$FA$162,COLUMN(Prehľad!A67)+6,FALSE),VLOOKUP(Prehľad!$B67,Harmonogram!$F$2:$EW$150,COLUMN(Prehľad!A67)+1,FALSE))),"")</f>
        <v>Revitalizácia trate</v>
      </c>
      <c r="D67" s="177" t="str">
        <f>IFERROR(IF(IF(ISBLANK($B67),VLOOKUP($A67,Harmonogram!$A$1:$FA$162,COLUMN(Prehľad!B67)+6,FALSE),VLOOKUP(Prehľad!$B67,Harmonogram!$F$2:$EW$150,COLUMN(Prehľad!B67)+1,FALSE))=0,"",IF(ISBLANK($B67),VLOOKUP($A67,Harmonogram!$A$1:$FA$162,COLUMN(Prehľad!B67)+6,FALSE),VLOOKUP(Prehľad!$B67,Harmonogram!$F$2:$EW$150,COLUMN(Prehľad!B67)+1,FALSE))),"")</f>
        <v>Zvýšenie bezpečnosti a plynulosti železničnej dopravy, skrátenie jazdnej doby vlakov a úspora prevádzkových nákladov.</v>
      </c>
      <c r="E67" s="204" t="str">
        <f>IFERROR(IF(IF(ISBLANK($B67),VLOOKUP($A67,Harmonogram!$A$1:$FA$162,COLUMN(Prehľad!C67)+6,FALSE),VLOOKUP(Prehľad!$B67,Harmonogram!$F$2:$EW$150,COLUMN(Prehľad!C67)+1,FALSE))=0,"",IF(ISBLANK($B67),VLOOKUP($A67,Harmonogram!$A$1:$FA$162,COLUMN(Prehľad!C67)+6,FALSE),VLOOKUP(Prehľad!$B67,Harmonogram!$F$2:$EW$150,COLUMN(Prehľad!C67)+1,FALSE))),"")</f>
        <v>Hlavná trať ŽSR
RFC 5 - prípojná trať
RFC 7 - prípojná trať
RFC 11 - prípojná trať
Dĺžka(131b)= 19,8km; osôb/deň= 4000; mil.hrtkm/rok=71,6</v>
      </c>
      <c r="F67" s="177">
        <f>IF(ISBLANK(B67),"",IFERROR(VLOOKUP(B67,Harmonogram!$F$3:$EO$97,140,FALSE),"er"))</f>
        <v>20.129000000000001</v>
      </c>
      <c r="G67" s="177" t="str">
        <f>IFERROR(IF(IF(ISBLANK($B67),VLOOKUP($A67,Harmonogram!$A$1:$FA$162,COLUMN(Prehľad!D67)+6,FALSE),VLOOKUP(Prehľad!$B67,Harmonogram!$F$2:$EW$150,COLUMN(Prehľad!D67)+1,FALSE))=0,"",IF(ISBLANK($B67),VLOOKUP($A67,Harmonogram!$A$1:$FA$162,COLUMN(Prehľad!D67)+6,FALSE),VLOOKUP(Prehľad!$B67,Harmonogram!$F$2:$EW$150,COLUMN(Prehľad!D67)+1,FALSE))),"")</f>
        <v>1b</v>
      </c>
      <c r="H67" s="250" t="str">
        <f>IFERROR(IF(IF(ISBLANK($B67),VLOOKUP($A67,Harmonogram!$A$1:$FA$162,COLUMN(Prehľad!A67)+11,FALSE),VLOOKUP(Prehľad!$B67,Harmonogram!$F$2:$EW$150,COLUMN(Prehľad!A67)+6,FALSE))=0,"",IF(ISBLANK($B67),VLOOKUP($A67,Harmonogram!$A$1:$FA$162,COLUMN(Prehľad!A67)+11,FALSE),VLOOKUP(Prehľad!$B67,Harmonogram!$F$2:$EW$150,COLUMN(Prehľad!A67)+6,FALSE))),"")</f>
        <v/>
      </c>
      <c r="I67" s="260">
        <f>IF(LEN($B67)=0,VLOOKUP($A67,Harmonogram!$A$1:$FA$162,COLUMN(Prehľad!B67)+11,FALSE),VLOOKUP(Prehľad!$B67,Harmonogram!$F$2:$EW$150,COLUMN(Prehľad!B67)+6,FALSE))</f>
        <v>36967214.608133666</v>
      </c>
      <c r="J67" s="261">
        <f>IF(LEN($B67)=0,VLOOKUP($A67,Harmonogram!$A$1:$FA$162,COLUMN(Prehľad!A67)*12+12,FALSE),VLOOKUP(Prehľad!$B67,Harmonogram!$F$2:$EW$150,COLUMN(Prehľad!A67)*12+7,FALSE))</f>
        <v>0</v>
      </c>
      <c r="K67" s="260">
        <f>IF(LEN($B67)=0,VLOOKUP($A67,Harmonogram!$A$1:$FA$162,COLUMN(Prehľad!B67)*12+12,FALSE),VLOOKUP(Prehľad!$B67,Harmonogram!$F$2:$EW$150,COLUMN(Prehľad!B67)*12+7,FALSE))</f>
        <v>0</v>
      </c>
      <c r="L67" s="260">
        <f>IF(LEN($B67)=0,VLOOKUP($A67,Harmonogram!$A$1:$FA$162,COLUMN(Prehľad!C67)*12+12,FALSE),VLOOKUP(Prehľad!$B67,Harmonogram!$F$2:$EW$150,COLUMN(Prehľad!C67)*12+7,FALSE))</f>
        <v>369672.14608133672</v>
      </c>
      <c r="M67" s="260">
        <f>IF(LEN($B67)=0,VLOOKUP($A67,Harmonogram!$A$1:$FA$162,COLUMN(Prehľad!D67)*12+12,FALSE),VLOOKUP(Prehľad!$B67,Harmonogram!$F$2:$EW$150,COLUMN(Prehľad!D67)*12+7,FALSE))</f>
        <v>369672.14608133672</v>
      </c>
      <c r="N67" s="260">
        <f>IF(LEN($B67)=0,VLOOKUP($A67,Harmonogram!$A$1:$FA$162,COLUMN(Prehľad!E67)*12+12,FALSE),VLOOKUP(Prehľad!$B67,Harmonogram!$F$2:$EW$150,COLUMN(Prehľad!E67)*12+7,FALSE))</f>
        <v>369672.14608133672</v>
      </c>
      <c r="O67" s="260">
        <f>IF(LEN($B67)=0,VLOOKUP($A67,Harmonogram!$A$1:$FA$162,COLUMN(Prehľad!F67)*12+12,FALSE),VLOOKUP(Prehľad!$B67,Harmonogram!$F$2:$EW$150,COLUMN(Prehľad!F67)*12+7,FALSE))</f>
        <v>369672.14608133672</v>
      </c>
      <c r="P67" s="260">
        <f>IF(LEN($B67)=0,VLOOKUP($A67,Harmonogram!$A$1:$FA$162,COLUMN(Prehľad!G67)*12+12,FALSE),VLOOKUP(Prehľad!$B67,Harmonogram!$F$2:$EW$150,COLUMN(Prehľad!G67)*12+7,FALSE))</f>
        <v>369672.14608133672</v>
      </c>
      <c r="Q67" s="260">
        <f>IF(LEN($B67)=0,VLOOKUP($A67,Harmonogram!$A$1:$FA$162,COLUMN(Prehľad!H67)*12+12,FALSE),VLOOKUP(Prehľad!$B67,Harmonogram!$F$2:$EW$150,COLUMN(Prehľad!H67)*12+7,FALSE))</f>
        <v>11706284.625908993</v>
      </c>
      <c r="R67" s="260">
        <f>IF(LEN($B67)=0,VLOOKUP($A67,Harmonogram!$A$1:$FA$162,COLUMN(Prehľad!I67)*12+12,FALSE),VLOOKUP(Prehľad!$B67,Harmonogram!$F$2:$EW$150,COLUMN(Prehľad!I67)*12+7,FALSE))</f>
        <v>11706284.625908993</v>
      </c>
      <c r="S67" s="260">
        <f>IF(LEN($B67)=0,VLOOKUP($A67,Harmonogram!$A$1:$FA$162,COLUMN(Prehľad!J67)*12+12,FALSE),VLOOKUP(Prehľad!$B67,Harmonogram!$F$2:$EW$150,COLUMN(Prehľad!J67)*12+7,FALSE))</f>
        <v>11706284.625908993</v>
      </c>
      <c r="T67" s="262">
        <f>IF(LEN($B67)=0,VLOOKUP($A67,Harmonogram!$A$1:$FA$162,COLUMN(Prehľad!K67)*12+12,FALSE),VLOOKUP(Prehľad!$B67,Harmonogram!$F$2:$EW$150,COLUMN(Prehľad!K67)*12+7,FALSE))</f>
        <v>0</v>
      </c>
      <c r="U67" s="91"/>
      <c r="V67" s="91"/>
    </row>
    <row r="68" spans="1:33" s="5" customFormat="1" ht="90" x14ac:dyDescent="0.25">
      <c r="A68" s="240"/>
      <c r="B68" s="203" t="s">
        <v>1287</v>
      </c>
      <c r="C68" s="177" t="str">
        <f>IFERROR(IF(IF(ISBLANK($B68),VLOOKUP($A68,Harmonogram!$A$1:$FA$162,COLUMN(Prehľad!A68)+6,FALSE),VLOOKUP(Prehľad!$B68,Harmonogram!$F$2:$EW$150,COLUMN(Prehľad!A68)+1,FALSE))=0,"",IF(ISBLANK($B68),VLOOKUP($A68,Harmonogram!$A$1:$FA$162,COLUMN(Prehľad!A68)+6,FALSE),VLOOKUP(Prehľad!$B68,Harmonogram!$F$2:$EW$150,COLUMN(Prehľad!A68)+1,FALSE))),"")</f>
        <v>Vybudovanie AH v medzistatničných úsekoch + dvojité koľajové spojky v staniciach</v>
      </c>
      <c r="D68" s="177" t="str">
        <f>IFERROR(IF(IF(ISBLANK($B68),VLOOKUP($A68,Harmonogram!$A$1:$FA$162,COLUMN(Prehľad!B68)+6,FALSE),VLOOKUP(Prehľad!$B68,Harmonogram!$F$2:$EW$150,COLUMN(Prehľad!B68)+1,FALSE))=0,"",IF(ISBLANK($B68),VLOOKUP($A68,Harmonogram!$A$1:$FA$162,COLUMN(Prehľad!B68)+6,FALSE),VLOOKUP(Prehľad!$B68,Harmonogram!$F$2:$EW$150,COLUMN(Prehľad!B68)+1,FALSE))),"")</f>
        <v>Odstránenie nedostatkov: vysoký stupeň obsadenia, predchodenie, meškania; nemožnosť zväzkového grafikonu</v>
      </c>
      <c r="E68" s="204" t="str">
        <f>IFERROR(IF(IF(ISBLANK($B68),VLOOKUP($A68,Harmonogram!$A$1:$FA$162,COLUMN(Prehľad!C68)+6,FALSE),VLOOKUP(Prehľad!$B68,Harmonogram!$F$2:$EW$150,COLUMN(Prehľad!C68)+1,FALSE))=0,"",IF(ISBLANK($B68),VLOOKUP($A68,Harmonogram!$A$1:$FA$162,COLUMN(Prehľad!C68)+6,FALSE),VLOOKUP(Prehľad!$B68,Harmonogram!$F$2:$EW$150,COLUMN(Prehľad!C68)+1,FALSE))),"")</f>
        <v>TEN-T core;
RFC 5 - hlavná trať
RFC 7 - alternatívna trať
RFC 11 - hlavná trať
Dĺžka(120a)= 12,9km; osôb/deň= 24000; mil.hrtkm/rok=100,2</v>
      </c>
      <c r="F68" s="177">
        <f>IF(ISBLANK(B68),"",IFERROR(VLOOKUP(B68,Harmonogram!$F$3:$EO$97,140,FALSE),"er"))</f>
        <v>37.453000000000003</v>
      </c>
      <c r="G68" s="177" t="str">
        <f>IFERROR(IF(IF(ISBLANK($B68),VLOOKUP($A68,Harmonogram!$A$1:$FA$162,COLUMN(Prehľad!D68)+6,FALSE),VLOOKUP(Prehľad!$B68,Harmonogram!$F$2:$EW$150,COLUMN(Prehľad!D68)+1,FALSE))=0,"",IF(ISBLANK($B68),VLOOKUP($A68,Harmonogram!$A$1:$FA$162,COLUMN(Prehľad!D68)+6,FALSE),VLOOKUP(Prehľad!$B68,Harmonogram!$F$2:$EW$150,COLUMN(Prehľad!D68)+1,FALSE))),"")</f>
        <v>2a</v>
      </c>
      <c r="H68" s="250" t="str">
        <f>IFERROR(IF(IF(ISBLANK($B68),VLOOKUP($A68,Harmonogram!$A$1:$FA$162,COLUMN(Prehľad!A68)+11,FALSE),VLOOKUP(Prehľad!$B68,Harmonogram!$F$2:$EW$150,COLUMN(Prehľad!A68)+6,FALSE))=0,"",IF(ISBLANK($B68),VLOOKUP($A68,Harmonogram!$A$1:$FA$162,COLUMN(Prehľad!A68)+11,FALSE),VLOOKUP(Prehľad!$B68,Harmonogram!$F$2:$EW$150,COLUMN(Prehľad!A68)+6,FALSE))),"")</f>
        <v/>
      </c>
      <c r="I68" s="260">
        <f>IF(LEN($B68)=0,VLOOKUP($A68,Harmonogram!$A$1:$FA$162,COLUMN(Prehľad!B68)+11,FALSE),VLOOKUP(Prehľad!$B68,Harmonogram!$F$2:$EW$150,COLUMN(Prehľad!B68)+6,FALSE))</f>
        <v>18113455.494910698</v>
      </c>
      <c r="J68" s="261">
        <f>IF(LEN($B68)=0,VLOOKUP($A68,Harmonogram!$A$1:$FA$162,COLUMN(Prehľad!A68)*12+12,FALSE),VLOOKUP(Prehľad!$B68,Harmonogram!$F$2:$EW$150,COLUMN(Prehľad!A68)*12+7,FALSE))</f>
        <v>0</v>
      </c>
      <c r="K68" s="260">
        <f>IF(LEN($B68)=0,VLOOKUP($A68,Harmonogram!$A$1:$FA$162,COLUMN(Prehľad!B68)*12+12,FALSE),VLOOKUP(Prehľad!$B68,Harmonogram!$F$2:$EW$150,COLUMN(Prehľad!B68)*12+7,FALSE))</f>
        <v>0</v>
      </c>
      <c r="L68" s="260">
        <f>IF(LEN($B68)=0,VLOOKUP($A68,Harmonogram!$A$1:$FA$162,COLUMN(Prehľad!C68)*12+12,FALSE),VLOOKUP(Prehľad!$B68,Harmonogram!$F$2:$EW$150,COLUMN(Prehľad!C68)*12+7,FALSE))</f>
        <v>181134.55</v>
      </c>
      <c r="M68" s="260">
        <f>IF(LEN($B68)=0,VLOOKUP($A68,Harmonogram!$A$1:$FA$162,COLUMN(Prehľad!D68)*12+12,FALSE),VLOOKUP(Prehľad!$B68,Harmonogram!$F$2:$EW$150,COLUMN(Prehľad!D68)*12+7,FALSE))</f>
        <v>181134.55</v>
      </c>
      <c r="N68" s="260">
        <f>IF(LEN($B68)=0,VLOOKUP($A68,Harmonogram!$A$1:$FA$162,COLUMN(Prehľad!E68)*12+12,FALSE),VLOOKUP(Prehľad!$B68,Harmonogram!$F$2:$EW$150,COLUMN(Prehľad!E68)*12+7,FALSE))</f>
        <v>181134.55</v>
      </c>
      <c r="O68" s="260">
        <f>IF(LEN($B68)=0,VLOOKUP($A68,Harmonogram!$A$1:$FA$162,COLUMN(Prehľad!F68)*12+12,FALSE),VLOOKUP(Prehľad!$B68,Harmonogram!$F$2:$EW$150,COLUMN(Prehľad!F68)*12+7,FALSE))</f>
        <v>181134.55</v>
      </c>
      <c r="P68" s="260">
        <f>IF(LEN($B68)=0,VLOOKUP($A68,Harmonogram!$A$1:$FA$162,COLUMN(Prehľad!G68)*12+12,FALSE),VLOOKUP(Prehľad!$B68,Harmonogram!$F$2:$EW$150,COLUMN(Prehľad!G68)*12+7,FALSE))</f>
        <v>181134.55</v>
      </c>
      <c r="Q68" s="260">
        <f>IF(LEN($B68)=0,VLOOKUP($A68,Harmonogram!$A$1:$FA$162,COLUMN(Prehľad!H68)*12+12,FALSE),VLOOKUP(Prehľad!$B68,Harmonogram!$F$2:$EW$150,COLUMN(Prehľad!H68)*12+7,FALSE))</f>
        <v>5735927.5700000003</v>
      </c>
      <c r="R68" s="260">
        <f>IF(LEN($B68)=0,VLOOKUP($A68,Harmonogram!$A$1:$FA$162,COLUMN(Prehľad!I68)*12+12,FALSE),VLOOKUP(Prehľad!$B68,Harmonogram!$F$2:$EW$150,COLUMN(Prehľad!I68)*12+7,FALSE))</f>
        <v>5735927.5700000003</v>
      </c>
      <c r="S68" s="260">
        <f>IF(LEN($B68)=0,VLOOKUP($A68,Harmonogram!$A$1:$FA$162,COLUMN(Prehľad!J68)*12+12,FALSE),VLOOKUP(Prehľad!$B68,Harmonogram!$F$2:$EW$150,COLUMN(Prehľad!J68)*12+7,FALSE))</f>
        <v>5735927.5700000003</v>
      </c>
      <c r="T68" s="262">
        <f>IF(LEN($B68)=0,VLOOKUP($A68,Harmonogram!$A$1:$FA$162,COLUMN(Prehľad!K68)*12+12,FALSE),VLOOKUP(Prehľad!$B68,Harmonogram!$F$2:$EW$150,COLUMN(Prehľad!K68)*12+7,FALSE))</f>
        <v>0</v>
      </c>
      <c r="U68" s="91"/>
    </row>
    <row r="69" spans="1:33" ht="180" x14ac:dyDescent="0.25">
      <c r="A69" s="240"/>
      <c r="B69" s="203" t="s">
        <v>49</v>
      </c>
      <c r="C69" s="177" t="str">
        <f>IFERROR(IF(IF(ISBLANK($B69),VLOOKUP($A69,Harmonogram!$A$1:$FA$162,COLUMN(Prehľad!A69)+6,FALSE),VLOOKUP(Prehľad!$B69,Harmonogram!$F$2:$EW$150,COLUMN(Prehľad!A69)+1,FALSE))=0,"",IF(ISBLANK($B69),VLOOKUP($A69,Harmonogram!$A$1:$FA$162,COLUMN(Prehľad!A69)+6,FALSE),VLOOKUP(Prehľad!$B69,Harmonogram!$F$2:$EW$150,COLUMN(Prehľad!A69)+1,FALSE))),"")</f>
        <v xml:space="preserve">Revitalizácia trate </v>
      </c>
      <c r="D69" s="177" t="str">
        <f>IFERROR(IF(IF(ISBLANK($B69),VLOOKUP($A69,Harmonogram!$A$1:$FA$162,COLUMN(Prehľad!B69)+6,FALSE),VLOOKUP(Prehľad!$B69,Harmonogram!$F$2:$EW$150,COLUMN(Prehľad!B69)+1,FALSE))=0,"",IF(ISBLANK($B69),VLOOKUP($A69,Harmonogram!$A$1:$FA$162,COLUMN(Prehľad!B69)+6,FALSE),VLOOKUP(Prehľad!$B69,Harmonogram!$F$2:$EW$150,COLUMN(Prehľad!B69)+1,FALSE))),"")</f>
        <v>V rámci realizácie celého projektu (všetky 3 etapy projektu Krásno nad Kysucou - Čadca št. hr.) sa podľa akutalizovanej štúdie ukustočniteľnosti 11/21 uvažuje s nasledujúcimi prinosmi pre Variant C "kombinovaný" (optimalizácia trate) stavby: 
- prevádzkové náklady = 47 900 905 €;
- čas cestujúcich = 7 919 984 €;
- čas tovaru = 100 221 561 €;
- prevádzkové náklady vozidiel = 7 054 153 €;
- bezpečnosť = 545 972 €,
- znečistujúce látky = 517 828 €;
- skleníkové plyny = 1 340 833 €;
- hluk = 336 372 €.</v>
      </c>
      <c r="E69" s="204" t="str">
        <f>IFERROR(IF(IF(ISBLANK($B69),VLOOKUP($A69,Harmonogram!$A$1:$FA$162,COLUMN(Prehľad!C69)+6,FALSE),VLOOKUP(Prehľad!$B69,Harmonogram!$F$2:$EW$150,COLUMN(Prehľad!C69)+1,FALSE))=0,"",IF(ISBLANK($B69),VLOOKUP($A69,Harmonogram!$A$1:$FA$162,COLUMN(Prehľad!C69)+6,FALSE),VLOOKUP(Prehľad!$B69,Harmonogram!$F$2:$EW$150,COLUMN(Prehľad!C69)+1,FALSE))),"")</f>
        <v>TEN-T core;
RFC 5 - hlavná trať
RFC 9 - hlavná trať
RFC 11 - hlavná trať
Dĺžka(127b)= 12,3km; osôb/deň= 7500; mil.hrtkm/rok=214,7</v>
      </c>
      <c r="F69" s="177">
        <f>IF(ISBLANK(B69),"",IFERROR(VLOOKUP(B69,Harmonogram!$F$3:$EO$97,140,FALSE),"er"))</f>
        <v>9.1720000000000006</v>
      </c>
      <c r="G69" s="177" t="str">
        <f>IFERROR(IF(IF(ISBLANK($B69),VLOOKUP($A69,Harmonogram!$A$1:$FA$162,COLUMN(Prehľad!D69)+6,FALSE),VLOOKUP(Prehľad!$B69,Harmonogram!$F$2:$EW$150,COLUMN(Prehľad!D69)+1,FALSE))=0,"",IF(ISBLANK($B69),VLOOKUP($A69,Harmonogram!$A$1:$FA$162,COLUMN(Prehľad!D69)+6,FALSE),VLOOKUP(Prehľad!$B69,Harmonogram!$F$2:$EW$150,COLUMN(Prehľad!D69)+1,FALSE))),"")</f>
        <v>1b</v>
      </c>
      <c r="H69" s="250" t="str">
        <f>IFERROR(IF(IF(ISBLANK($B69),VLOOKUP($A69,Harmonogram!$A$1:$FA$162,COLUMN(Prehľad!A69)+11,FALSE),VLOOKUP(Prehľad!$B69,Harmonogram!$F$2:$EW$150,COLUMN(Prehľad!A69)+6,FALSE))=0,"",IF(ISBLANK($B69),VLOOKUP($A69,Harmonogram!$A$1:$FA$162,COLUMN(Prehľad!A69)+11,FALSE),VLOOKUP(Prehľad!$B69,Harmonogram!$F$2:$EW$150,COLUMN(Prehľad!A69)+6,FALSE))),"")</f>
        <v/>
      </c>
      <c r="I69" s="260">
        <f>IF(LEN($B69)=0,VLOOKUP($A69,Harmonogram!$A$1:$FA$162,COLUMN(Prehľad!B69)+11,FALSE),VLOOKUP(Prehľad!$B69,Harmonogram!$F$2:$EW$150,COLUMN(Prehľad!B69)+6,FALSE))</f>
        <v>47315397.536581099</v>
      </c>
      <c r="J69" s="261">
        <f>IF(LEN($B69)=0,VLOOKUP($A69,Harmonogram!$A$1:$FA$162,COLUMN(Prehľad!A69)*12+12,FALSE),VLOOKUP(Prehľad!$B69,Harmonogram!$F$2:$EW$150,COLUMN(Prehľad!A69)*12+7,FALSE))</f>
        <v>0</v>
      </c>
      <c r="K69" s="260">
        <f>IF(LEN($B69)=0,VLOOKUP($A69,Harmonogram!$A$1:$FA$162,COLUMN(Prehľad!B69)*12+12,FALSE),VLOOKUP(Prehľad!$B69,Harmonogram!$F$2:$EW$150,COLUMN(Prehľad!B69)*12+7,FALSE))</f>
        <v>0</v>
      </c>
      <c r="L69" s="260">
        <f>IF(LEN($B69)=0,VLOOKUP($A69,Harmonogram!$A$1:$FA$162,COLUMN(Prehľad!C69)*12+12,FALSE),VLOOKUP(Prehľad!$B69,Harmonogram!$F$2:$EW$150,COLUMN(Prehľad!C69)*12+7,FALSE))</f>
        <v>473153.97536581103</v>
      </c>
      <c r="M69" s="260">
        <f>IF(LEN($B69)=0,VLOOKUP($A69,Harmonogram!$A$1:$FA$162,COLUMN(Prehľad!D69)*12+12,FALSE),VLOOKUP(Prehľad!$B69,Harmonogram!$F$2:$EW$150,COLUMN(Prehľad!D69)*12+7,FALSE))</f>
        <v>473153.97536581103</v>
      </c>
      <c r="N69" s="260">
        <f>IF(LEN($B69)=0,VLOOKUP($A69,Harmonogram!$A$1:$FA$162,COLUMN(Prehľad!E69)*12+12,FALSE),VLOOKUP(Prehľad!$B69,Harmonogram!$F$2:$EW$150,COLUMN(Prehľad!E69)*12+7,FALSE))</f>
        <v>473153.97536581103</v>
      </c>
      <c r="O69" s="260">
        <f>IF(LEN($B69)=0,VLOOKUP($A69,Harmonogram!$A$1:$FA$162,COLUMN(Prehľad!F69)*12+12,FALSE),VLOOKUP(Prehľad!$B69,Harmonogram!$F$2:$EW$150,COLUMN(Prehľad!F69)*12+7,FALSE))</f>
        <v>473153.97536581103</v>
      </c>
      <c r="P69" s="260">
        <f>IF(LEN($B69)=0,VLOOKUP($A69,Harmonogram!$A$1:$FA$162,COLUMN(Prehľad!G69)*12+12,FALSE),VLOOKUP(Prehľad!$B69,Harmonogram!$F$2:$EW$150,COLUMN(Prehľad!G69)*12+7,FALSE))</f>
        <v>473153.97536581103</v>
      </c>
      <c r="Q69" s="260">
        <f>IF(LEN($B69)=0,VLOOKUP($A69,Harmonogram!$A$1:$FA$162,COLUMN(Prehľad!H69)*12+12,FALSE),VLOOKUP(Prehľad!$B69,Harmonogram!$F$2:$EW$150,COLUMN(Prehľad!H69)*12+7,FALSE))</f>
        <v>14983209.21991735</v>
      </c>
      <c r="R69" s="260">
        <f>IF(LEN($B69)=0,VLOOKUP($A69,Harmonogram!$A$1:$FA$162,COLUMN(Prehľad!I69)*12+12,FALSE),VLOOKUP(Prehľad!$B69,Harmonogram!$F$2:$EW$150,COLUMN(Prehľad!I69)*12+7,FALSE))</f>
        <v>14983209.21991735</v>
      </c>
      <c r="S69" s="260">
        <f>IF(LEN($B69)=0,VLOOKUP($A69,Harmonogram!$A$1:$FA$162,COLUMN(Prehľad!J69)*12+12,FALSE),VLOOKUP(Prehľad!$B69,Harmonogram!$F$2:$EW$150,COLUMN(Prehľad!J69)*12+7,FALSE))</f>
        <v>14983209.21991735</v>
      </c>
      <c r="T69" s="262">
        <f>IF(LEN($B69)=0,VLOOKUP($A69,Harmonogram!$A$1:$FA$162,COLUMN(Prehľad!K69)*12+12,FALSE),VLOOKUP(Prehľad!$B69,Harmonogram!$F$2:$EW$150,COLUMN(Prehľad!K69)*12+7,FALSE))</f>
        <v>0</v>
      </c>
    </row>
    <row r="70" spans="1:33" ht="75" x14ac:dyDescent="0.25">
      <c r="A70" s="240"/>
      <c r="B70" s="203" t="s">
        <v>1014</v>
      </c>
      <c r="C70" s="177" t="str">
        <f>IFERROR(IF(IF(ISBLANK($B70),VLOOKUP($A70,Harmonogram!$A$1:$FA$162,COLUMN(Prehľad!A70)+6,FALSE),VLOOKUP(Prehľad!$B70,Harmonogram!$F$2:$EW$150,COLUMN(Prehľad!A70)+1,FALSE))=0,"",IF(ISBLANK($B70),VLOOKUP($A70,Harmonogram!$A$1:$FA$162,COLUMN(Prehľad!A70)+6,FALSE),VLOOKUP(Prehľad!$B70,Harmonogram!$F$2:$EW$150,COLUMN(Prehľad!A70)+1,FALSE))),"")</f>
        <v>Vybudovanie dispečerského riadenia trate vrátane modernizácie SZZ, TZZ, PZZ.</v>
      </c>
      <c r="D70" s="177" t="str">
        <f>IFERROR(IF(IF(ISBLANK($B70),VLOOKUP($A70,Harmonogram!$A$1:$FA$162,COLUMN(Prehľad!B70)+6,FALSE),VLOOKUP(Prehľad!$B70,Harmonogram!$F$2:$EW$150,COLUMN(Prehľad!B70)+1,FALSE))=0,"",IF(ISBLANK($B70),VLOOKUP($A70,Harmonogram!$A$1:$FA$162,COLUMN(Prehľad!B70)+6,FALSE),VLOOKUP(Prehľad!$B70,Harmonogram!$F$2:$EW$150,COLUMN(Prehľad!B70)+1,FALSE))),"")</f>
        <v>Zvýšenie bezpečnosti a plynulosti železničnej dopravy, skrátenie jazdnej doby vlakov a úspora prevádzkových nákladov.</v>
      </c>
      <c r="E70" s="204" t="str">
        <f>IFERROR(IF(IF(ISBLANK($B70),VLOOKUP($A70,Harmonogram!$A$1:$FA$162,COLUMN(Prehľad!C70)+6,FALSE),VLOOKUP(Prehľad!$B70,Harmonogram!$F$2:$EW$150,COLUMN(Prehľad!C70)+1,FALSE))=0,"",IF(ISBLANK($B70),VLOOKUP($A70,Harmonogram!$A$1:$FA$162,COLUMN(Prehľad!C70)+6,FALSE),VLOOKUP(Prehľad!$B70,Harmonogram!$F$2:$EW$150,COLUMN(Prehľad!C70)+1,FALSE))),"")</f>
        <v>Vedľajšia trať ŽSR
Dĺžka(193a)= 9,9km; osôb/deň= 3200; mil.hrtkm/rok=13,2
Dĺžka(193b)= 50,9km; osôb/deň= 1800; mil.hrtkm/rok=13,9</v>
      </c>
      <c r="F70" s="177">
        <f>IF(ISBLANK(B70),"",IFERROR(VLOOKUP(B70,Harmonogram!$F$3:$EO$97,140,FALSE),"er"))</f>
        <v>60.540999999999997</v>
      </c>
      <c r="G70" s="177" t="str">
        <f>IFERROR(IF(IF(ISBLANK($B70),VLOOKUP($A70,Harmonogram!$A$1:$FA$162,COLUMN(Prehľad!D70)+6,FALSE),VLOOKUP(Prehľad!$B70,Harmonogram!$F$2:$EW$150,COLUMN(Prehľad!D70)+1,FALSE))=0,"",IF(ISBLANK($B70),VLOOKUP($A70,Harmonogram!$A$1:$FA$162,COLUMN(Prehľad!D70)+6,FALSE),VLOOKUP(Prehľad!$B70,Harmonogram!$F$2:$EW$150,COLUMN(Prehľad!D70)+1,FALSE))),"")</f>
        <v>2b</v>
      </c>
      <c r="H70" s="250" t="str">
        <f>IFERROR(IF(IF(ISBLANK($B70),VLOOKUP($A70,Harmonogram!$A$1:$FA$162,COLUMN(Prehľad!A70)+11,FALSE),VLOOKUP(Prehľad!$B70,Harmonogram!$F$2:$EW$150,COLUMN(Prehľad!A70)+6,FALSE))=0,"",IF(ISBLANK($B70),VLOOKUP($A70,Harmonogram!$A$1:$FA$162,COLUMN(Prehľad!A70)+11,FALSE),VLOOKUP(Prehľad!$B70,Harmonogram!$F$2:$EW$150,COLUMN(Prehľad!A70)+6,FALSE))),"")</f>
        <v>Strategický/Investičný zámer</v>
      </c>
      <c r="I70" s="260">
        <f>IF(LEN($B70)=0,VLOOKUP($A70,Harmonogram!$A$1:$FA$162,COLUMN(Prehľad!B70)+11,FALSE),VLOOKUP(Prehľad!$B70,Harmonogram!$F$2:$EW$150,COLUMN(Prehľad!B70)+6,FALSE))</f>
        <v>26650000</v>
      </c>
      <c r="J70" s="261">
        <f>IF(LEN($B70)=0,VLOOKUP($A70,Harmonogram!$A$1:$FA$162,COLUMN(Prehľad!A70)*12+12,FALSE),VLOOKUP(Prehľad!$B70,Harmonogram!$F$2:$EW$150,COLUMN(Prehľad!A70)*12+7,FALSE))</f>
        <v>0</v>
      </c>
      <c r="K70" s="260">
        <f>IF(LEN($B70)=0,VLOOKUP($A70,Harmonogram!$A$1:$FA$162,COLUMN(Prehľad!B70)*12+12,FALSE),VLOOKUP(Prehľad!$B70,Harmonogram!$F$2:$EW$150,COLUMN(Prehľad!B70)*12+7,FALSE))</f>
        <v>0</v>
      </c>
      <c r="L70" s="260">
        <f>IF(LEN($B70)=0,VLOOKUP($A70,Harmonogram!$A$1:$FA$162,COLUMN(Prehľad!C70)*12+12,FALSE),VLOOKUP(Prehľad!$B70,Harmonogram!$F$2:$EW$150,COLUMN(Prehľad!C70)*12+7,FALSE))</f>
        <v>0</v>
      </c>
      <c r="M70" s="260">
        <f>IF(LEN($B70)=0,VLOOKUP($A70,Harmonogram!$A$1:$FA$162,COLUMN(Prehľad!D70)*12+12,FALSE),VLOOKUP(Prehľad!$B70,Harmonogram!$F$2:$EW$150,COLUMN(Prehľad!D70)*12+7,FALSE))</f>
        <v>0</v>
      </c>
      <c r="N70" s="260">
        <f>IF(LEN($B70)=0,VLOOKUP($A70,Harmonogram!$A$1:$FA$162,COLUMN(Prehľad!E70)*12+12,FALSE),VLOOKUP(Prehľad!$B70,Harmonogram!$F$2:$EW$150,COLUMN(Prehľad!E70)*12+7,FALSE))</f>
        <v>350000</v>
      </c>
      <c r="O70" s="260">
        <f>IF(LEN($B70)=0,VLOOKUP($A70,Harmonogram!$A$1:$FA$162,COLUMN(Prehľad!F70)*12+12,FALSE),VLOOKUP(Prehľad!$B70,Harmonogram!$F$2:$EW$150,COLUMN(Prehľad!F70)*12+7,FALSE))</f>
        <v>1000000</v>
      </c>
      <c r="P70" s="260">
        <f>IF(LEN($B70)=0,VLOOKUP($A70,Harmonogram!$A$1:$FA$162,COLUMN(Prehľad!G70)*12+12,FALSE),VLOOKUP(Prehľad!$B70,Harmonogram!$F$2:$EW$150,COLUMN(Prehľad!G70)*12+7,FALSE))</f>
        <v>12650000</v>
      </c>
      <c r="Q70" s="260">
        <f>IF(LEN($B70)=0,VLOOKUP($A70,Harmonogram!$A$1:$FA$162,COLUMN(Prehľad!H70)*12+12,FALSE),VLOOKUP(Prehľad!$B70,Harmonogram!$F$2:$EW$150,COLUMN(Prehľad!H70)*12+7,FALSE))</f>
        <v>12650000</v>
      </c>
      <c r="R70" s="260">
        <f>IF(LEN($B70)=0,VLOOKUP($A70,Harmonogram!$A$1:$FA$162,COLUMN(Prehľad!I70)*12+12,FALSE),VLOOKUP(Prehľad!$B70,Harmonogram!$F$2:$EW$150,COLUMN(Prehľad!I70)*12+7,FALSE))</f>
        <v>0</v>
      </c>
      <c r="S70" s="260">
        <f>IF(LEN($B70)=0,VLOOKUP($A70,Harmonogram!$A$1:$FA$162,COLUMN(Prehľad!J70)*12+12,FALSE),VLOOKUP(Prehľad!$B70,Harmonogram!$F$2:$EW$150,COLUMN(Prehľad!J70)*12+7,FALSE))</f>
        <v>0</v>
      </c>
      <c r="T70" s="262">
        <f>IF(LEN($B70)=0,VLOOKUP($A70,Harmonogram!$A$1:$FA$162,COLUMN(Prehľad!K70)*12+12,FALSE),VLOOKUP(Prehľad!$B70,Harmonogram!$F$2:$EW$150,COLUMN(Prehľad!K70)*12+7,FALSE))</f>
        <v>0</v>
      </c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</row>
    <row r="71" spans="1:33" s="5" customFormat="1" ht="60" x14ac:dyDescent="0.25">
      <c r="A71" s="240"/>
      <c r="B71" s="203" t="s">
        <v>229</v>
      </c>
      <c r="C71" s="177" t="str">
        <f>IFERROR(IF(IF(ISBLANK($B71),VLOOKUP($A71,Harmonogram!$A$1:$FA$162,COLUMN(Prehľad!A71)+6,FALSE),VLOOKUP(Prehľad!$B71,Harmonogram!$F$2:$EW$150,COLUMN(Prehľad!A71)+1,FALSE))=0,"",IF(ISBLANK($B71),VLOOKUP($A71,Harmonogram!$A$1:$FA$162,COLUMN(Prehľad!A71)+6,FALSE),VLOOKUP(Prehľad!$B71,Harmonogram!$F$2:$EW$150,COLUMN(Prehľad!A71)+1,FALSE))),"")</f>
        <v>Revitalizácia trate</v>
      </c>
      <c r="D71" s="177" t="str">
        <f>IFERROR(IF(IF(ISBLANK($B71),VLOOKUP($A71,Harmonogram!$A$1:$FA$162,COLUMN(Prehľad!B71)+6,FALSE),VLOOKUP(Prehľad!$B71,Harmonogram!$F$2:$EW$150,COLUMN(Prehľad!B71)+1,FALSE))=0,"",IF(ISBLANK($B71),VLOOKUP($A71,Harmonogram!$A$1:$FA$162,COLUMN(Prehľad!B71)+6,FALSE),VLOOKUP(Prehľad!$B71,Harmonogram!$F$2:$EW$150,COLUMN(Prehľad!B71)+1,FALSE))),"")</f>
        <v>Zvýšenie bezpečnosti a plynulosti železničnej dopravy, skrátenie jazdnej doby vlakov a úspora prevádzkových nákladov.</v>
      </c>
      <c r="E71" s="204" t="str">
        <f>IFERROR(IF(IF(ISBLANK($B71),VLOOKUP($A71,Harmonogram!$A$1:$FA$162,COLUMN(Prehľad!C71)+6,FALSE),VLOOKUP(Prehľad!$B71,Harmonogram!$F$2:$EW$150,COLUMN(Prehľad!C71)+1,FALSE))=0,"",IF(ISBLANK($B71),VLOOKUP($A71,Harmonogram!$A$1:$FA$162,COLUMN(Prehľad!C71)+6,FALSE),VLOOKUP(Prehľad!$B71,Harmonogram!$F$2:$EW$150,COLUMN(Prehľad!C71)+1,FALSE))),"")</f>
        <v>TEN-T comprehensive;
RFC 11 - hlavná trať
Dĺžka(188b)= 31,7km; osôb/deň= 3000; mil.hrtkm/rok=146</v>
      </c>
      <c r="F71" s="177">
        <f>IF(ISBLANK(B71),"",IFERROR(VLOOKUP(B71,Harmonogram!$F$3:$EO$97,140,FALSE),"er"))</f>
        <v>31.789000000000001</v>
      </c>
      <c r="G71" s="177" t="str">
        <f>IFERROR(IF(IF(ISBLANK($B71),VLOOKUP($A71,Harmonogram!$A$1:$FA$162,COLUMN(Prehľad!D71)+6,FALSE),VLOOKUP(Prehľad!$B71,Harmonogram!$F$2:$EW$150,COLUMN(Prehľad!D71)+1,FALSE))=0,"",IF(ISBLANK($B71),VLOOKUP($A71,Harmonogram!$A$1:$FA$162,COLUMN(Prehľad!D71)+6,FALSE),VLOOKUP(Prehľad!$B71,Harmonogram!$F$2:$EW$150,COLUMN(Prehľad!D71)+1,FALSE))),"")</f>
        <v>1b</v>
      </c>
      <c r="H71" s="250" t="str">
        <f>IFERROR(IF(IF(ISBLANK($B71),VLOOKUP($A71,Harmonogram!$A$1:$FA$162,COLUMN(Prehľad!A71)+11,FALSE),VLOOKUP(Prehľad!$B71,Harmonogram!$F$2:$EW$150,COLUMN(Prehľad!A71)+6,FALSE))=0,"",IF(ISBLANK($B71),VLOOKUP($A71,Harmonogram!$A$1:$FA$162,COLUMN(Prehľad!A71)+11,FALSE),VLOOKUP(Prehľad!$B71,Harmonogram!$F$2:$EW$150,COLUMN(Prehľad!A71)+6,FALSE))),"")</f>
        <v/>
      </c>
      <c r="I71" s="260">
        <f>IF(LEN($B71)=0,VLOOKUP($A71,Harmonogram!$A$1:$FA$162,COLUMN(Prehľad!B71)+11,FALSE),VLOOKUP(Prehľad!$B71,Harmonogram!$F$2:$EW$150,COLUMN(Prehľad!B71)+6,FALSE))</f>
        <v>56972762.2120644</v>
      </c>
      <c r="J71" s="261">
        <f>IF(LEN($B71)=0,VLOOKUP($A71,Harmonogram!$A$1:$FA$162,COLUMN(Prehľad!A71)*12+12,FALSE),VLOOKUP(Prehľad!$B71,Harmonogram!$F$2:$EW$150,COLUMN(Prehľad!A71)*12+7,FALSE))</f>
        <v>0</v>
      </c>
      <c r="K71" s="260">
        <f>IF(LEN($B71)=0,VLOOKUP($A71,Harmonogram!$A$1:$FA$162,COLUMN(Prehľad!B71)*12+12,FALSE),VLOOKUP(Prehľad!$B71,Harmonogram!$F$2:$EW$150,COLUMN(Prehľad!B71)*12+7,FALSE))</f>
        <v>0</v>
      </c>
      <c r="L71" s="260">
        <f>IF(LEN($B71)=0,VLOOKUP($A71,Harmonogram!$A$1:$FA$162,COLUMN(Prehľad!C71)*12+12,FALSE),VLOOKUP(Prehľad!$B71,Harmonogram!$F$2:$EW$150,COLUMN(Prehľad!C71)*12+7,FALSE))</f>
        <v>0</v>
      </c>
      <c r="M71" s="260">
        <f>IF(LEN($B71)=0,VLOOKUP($A71,Harmonogram!$A$1:$FA$162,COLUMN(Prehľad!D71)*12+12,FALSE),VLOOKUP(Prehľad!$B71,Harmonogram!$F$2:$EW$150,COLUMN(Prehľad!D71)*12+7,FALSE))</f>
        <v>569727.62212064397</v>
      </c>
      <c r="N71" s="260">
        <f>IF(LEN($B71)=0,VLOOKUP($A71,Harmonogram!$A$1:$FA$162,COLUMN(Prehľad!E71)*12+12,FALSE),VLOOKUP(Prehľad!$B71,Harmonogram!$F$2:$EW$150,COLUMN(Prehľad!E71)*12+7,FALSE))</f>
        <v>569727.62212064397</v>
      </c>
      <c r="O71" s="260">
        <f>IF(LEN($B71)=0,VLOOKUP($A71,Harmonogram!$A$1:$FA$162,COLUMN(Prehľad!F71)*12+12,FALSE),VLOOKUP(Prehľad!$B71,Harmonogram!$F$2:$EW$150,COLUMN(Prehľad!F71)*12+7,FALSE))</f>
        <v>569727.62212064397</v>
      </c>
      <c r="P71" s="260">
        <f>IF(LEN($B71)=0,VLOOKUP($A71,Harmonogram!$A$1:$FA$162,COLUMN(Prehľad!G71)*12+12,FALSE),VLOOKUP(Prehľad!$B71,Harmonogram!$F$2:$EW$150,COLUMN(Prehľad!G71)*12+7,FALSE))</f>
        <v>569727.62212064397</v>
      </c>
      <c r="Q71" s="260">
        <f>IF(LEN($B71)=0,VLOOKUP($A71,Harmonogram!$A$1:$FA$162,COLUMN(Prehľad!H71)*12+12,FALSE),VLOOKUP(Prehľad!$B71,Harmonogram!$F$2:$EW$150,COLUMN(Prehľad!H71)*12+7,FALSE))</f>
        <v>569727.62212064397</v>
      </c>
      <c r="R71" s="260">
        <f>IF(LEN($B71)=0,VLOOKUP($A71,Harmonogram!$A$1:$FA$162,COLUMN(Prehľad!I71)*12+12,FALSE),VLOOKUP(Prehľad!$B71,Harmonogram!$F$2:$EW$150,COLUMN(Prehľad!I71)*12+7,FALSE))</f>
        <v>18041374.700487059</v>
      </c>
      <c r="S71" s="260">
        <f>IF(LEN($B71)=0,VLOOKUP($A71,Harmonogram!$A$1:$FA$162,COLUMN(Prehľad!J71)*12+12,FALSE),VLOOKUP(Prehľad!$B71,Harmonogram!$F$2:$EW$150,COLUMN(Prehľad!J71)*12+7,FALSE))</f>
        <v>18041374.700487059</v>
      </c>
      <c r="T71" s="262">
        <f>IF(LEN($B71)=0,VLOOKUP($A71,Harmonogram!$A$1:$FA$162,COLUMN(Prehľad!K71)*12+12,FALSE),VLOOKUP(Prehľad!$B71,Harmonogram!$F$2:$EW$150,COLUMN(Prehľad!K71)*12+7,FALSE))</f>
        <v>18041374.700487059</v>
      </c>
      <c r="U71" s="91"/>
    </row>
    <row r="72" spans="1:33" s="5" customFormat="1" ht="75" x14ac:dyDescent="0.25">
      <c r="A72" s="203"/>
      <c r="B72" s="203" t="s">
        <v>67</v>
      </c>
      <c r="C72" s="177" t="str">
        <f>IFERROR(IF(IF(ISBLANK($B72),VLOOKUP($A72,Harmonogram!$A$1:$FA$162,COLUMN(Prehľad!A72)+6,FALSE),VLOOKUP(Prehľad!$B72,Harmonogram!$F$2:$EW$150,COLUMN(Prehľad!A72)+1,FALSE))=0,"",IF(ISBLANK($B72),VLOOKUP($A72,Harmonogram!$A$1:$FA$162,COLUMN(Prehľad!A72)+6,FALSE),VLOOKUP(Prehľad!$B72,Harmonogram!$F$2:$EW$150,COLUMN(Prehľad!A72)+1,FALSE))),"")</f>
        <v>Revitalizácia trate</v>
      </c>
      <c r="D72" s="177" t="str">
        <f>IFERROR(IF(IF(ISBLANK($B72),VLOOKUP($A72,Harmonogram!$A$1:$FA$162,COLUMN(Prehľad!B72)+6,FALSE),VLOOKUP(Prehľad!$B72,Harmonogram!$F$2:$EW$150,COLUMN(Prehľad!B72)+1,FALSE))=0,"",IF(ISBLANK($B72),VLOOKUP($A72,Harmonogram!$A$1:$FA$162,COLUMN(Prehľad!B72)+6,FALSE),VLOOKUP(Prehľad!$B72,Harmonogram!$F$2:$EW$150,COLUMN(Prehľad!B72)+1,FALSE))),"")</f>
        <v>Zvýšenie bezpečnosti a plynulosti železničnej dopravy, skrátenie jazdnej doby vlakov a úspora prevádzkových nákladov.</v>
      </c>
      <c r="E72" s="204" t="str">
        <f>IFERROR(IF(IF(ISBLANK($B72),VLOOKUP($A72,Harmonogram!$A$1:$FA$162,COLUMN(Prehľad!C72)+6,FALSE),VLOOKUP(Prehľad!$B72,Harmonogram!$F$2:$EW$150,COLUMN(Prehľad!C72)+1,FALSE))=0,"",IF(ISBLANK($B72),VLOOKUP($A72,Harmonogram!$A$1:$FA$162,COLUMN(Prehľad!C72)+6,FALSE),VLOOKUP(Prehľad!$B72,Harmonogram!$F$2:$EW$150,COLUMN(Prehľad!C72)+1,FALSE))),"")</f>
        <v>TEN-T core;
RFC 7 - hlavná trať
RFC 11 - hlavná trať
Dĺžka(130e)= 46,2km; osôb/deň= 5000; mil.hrtkm/rok=535,7</v>
      </c>
      <c r="F72" s="177">
        <f>IF(ISBLANK(B72),"",IFERROR(VLOOKUP(B72,Harmonogram!$F$3:$EO$97,140,FALSE),"er"))</f>
        <v>59.933</v>
      </c>
      <c r="G72" s="177" t="str">
        <f>IFERROR(IF(IF(ISBLANK($B72),VLOOKUP($A72,Harmonogram!$A$1:$FA$162,COLUMN(Prehľad!D72)+6,FALSE),VLOOKUP(Prehľad!$B72,Harmonogram!$F$2:$EW$150,COLUMN(Prehľad!D72)+1,FALSE))=0,"",IF(ISBLANK($B72),VLOOKUP($A72,Harmonogram!$A$1:$FA$162,COLUMN(Prehľad!D72)+6,FALSE),VLOOKUP(Prehľad!$B72,Harmonogram!$F$2:$EW$150,COLUMN(Prehľad!D72)+1,FALSE))),"")</f>
        <v>1b; 2b; 3a; 4b</v>
      </c>
      <c r="H72" s="250" t="str">
        <f>IFERROR(IF(IF(ISBLANK($B72),VLOOKUP($A72,Harmonogram!$A$1:$FA$162,COLUMN(Prehľad!A72)+11,FALSE),VLOOKUP(Prehľad!$B72,Harmonogram!$F$2:$EW$150,COLUMN(Prehľad!A72)+6,FALSE))=0,"",IF(ISBLANK($B72),VLOOKUP($A72,Harmonogram!$A$1:$FA$162,COLUMN(Prehľad!A72)+11,FALSE),VLOOKUP(Prehľad!$B72,Harmonogram!$F$2:$EW$150,COLUMN(Prehľad!A72)+6,FALSE))),"")</f>
        <v/>
      </c>
      <c r="I72" s="260">
        <f>IF(LEN($B72)=0,VLOOKUP($A72,Harmonogram!$A$1:$FA$162,COLUMN(Prehľad!B72)+11,FALSE),VLOOKUP(Prehľad!$B72,Harmonogram!$F$2:$EW$150,COLUMN(Prehľad!B72)+6,FALSE))</f>
        <v>139838446.64152199</v>
      </c>
      <c r="J72" s="261">
        <f>IF(LEN($B72)=0,VLOOKUP($A72,Harmonogram!$A$1:$FA$162,COLUMN(Prehľad!A72)*12+12,FALSE),VLOOKUP(Prehľad!$B72,Harmonogram!$F$2:$EW$150,COLUMN(Prehľad!A72)*12+7,FALSE))</f>
        <v>0</v>
      </c>
      <c r="K72" s="260">
        <f>IF(LEN($B72)=0,VLOOKUP($A72,Harmonogram!$A$1:$FA$162,COLUMN(Prehľad!B72)*12+12,FALSE),VLOOKUP(Prehľad!$B72,Harmonogram!$F$2:$EW$150,COLUMN(Prehľad!B72)*12+7,FALSE))</f>
        <v>0</v>
      </c>
      <c r="L72" s="260">
        <f>IF(LEN($B72)=0,VLOOKUP($A72,Harmonogram!$A$1:$FA$162,COLUMN(Prehľad!C72)*12+12,FALSE),VLOOKUP(Prehľad!$B72,Harmonogram!$F$2:$EW$150,COLUMN(Prehľad!C72)*12+7,FALSE))</f>
        <v>1398384.47</v>
      </c>
      <c r="M72" s="260">
        <f>IF(LEN($B72)=0,VLOOKUP($A72,Harmonogram!$A$1:$FA$162,COLUMN(Prehľad!D72)*12+12,FALSE),VLOOKUP(Prehľad!$B72,Harmonogram!$F$2:$EW$150,COLUMN(Prehľad!D72)*12+7,FALSE))</f>
        <v>1398384.47</v>
      </c>
      <c r="N72" s="260">
        <f>IF(LEN($B72)=0,VLOOKUP($A72,Harmonogram!$A$1:$FA$162,COLUMN(Prehľad!E72)*12+12,FALSE),VLOOKUP(Prehľad!$B72,Harmonogram!$F$2:$EW$150,COLUMN(Prehľad!E72)*12+7,FALSE))</f>
        <v>1398384.47</v>
      </c>
      <c r="O72" s="260">
        <f>IF(LEN($B72)=0,VLOOKUP($A72,Harmonogram!$A$1:$FA$162,COLUMN(Prehľad!F72)*12+12,FALSE),VLOOKUP(Prehľad!$B72,Harmonogram!$F$2:$EW$150,COLUMN(Prehľad!F72)*12+7,FALSE))</f>
        <v>1398384.47</v>
      </c>
      <c r="P72" s="260">
        <f>IF(LEN($B72)=0,VLOOKUP($A72,Harmonogram!$A$1:$FA$162,COLUMN(Prehľad!G72)*12+12,FALSE),VLOOKUP(Prehľad!$B72,Harmonogram!$F$2:$EW$150,COLUMN(Prehľad!G72)*12+7,FALSE))</f>
        <v>1398384.47</v>
      </c>
      <c r="Q72" s="260">
        <f>IF(LEN($B72)=0,VLOOKUP($A72,Harmonogram!$A$1:$FA$162,COLUMN(Prehľad!H72)*12+12,FALSE),VLOOKUP(Prehľad!$B72,Harmonogram!$F$2:$EW$150,COLUMN(Prehľad!H72)*12+7,FALSE))</f>
        <v>33211631.079999998</v>
      </c>
      <c r="R72" s="260">
        <f>IF(LEN($B72)=0,VLOOKUP($A72,Harmonogram!$A$1:$FA$162,COLUMN(Prehľad!I72)*12+12,FALSE),VLOOKUP(Prehľad!$B72,Harmonogram!$F$2:$EW$150,COLUMN(Prehľad!I72)*12+7,FALSE))</f>
        <v>33211631.079999998</v>
      </c>
      <c r="S72" s="260">
        <f>IF(LEN($B72)=0,VLOOKUP($A72,Harmonogram!$A$1:$FA$162,COLUMN(Prehľad!J72)*12+12,FALSE),VLOOKUP(Prehľad!$B72,Harmonogram!$F$2:$EW$150,COLUMN(Prehľad!J72)*12+7,FALSE))</f>
        <v>33211631.079999998</v>
      </c>
      <c r="T72" s="262">
        <f>IF(LEN($B72)=0,VLOOKUP($A72,Harmonogram!$A$1:$FA$162,COLUMN(Prehľad!K72)*12+12,FALSE),VLOOKUP(Prehľad!$B72,Harmonogram!$F$2:$EW$150,COLUMN(Prehľad!K72)*12+7,FALSE))</f>
        <v>33211631.079999998</v>
      </c>
      <c r="U72" s="91"/>
    </row>
    <row r="73" spans="1:33" s="5" customFormat="1" ht="60" x14ac:dyDescent="0.25">
      <c r="A73" s="240"/>
      <c r="B73" s="203" t="s">
        <v>227</v>
      </c>
      <c r="C73" s="177" t="str">
        <f>IFERROR(IF(IF(ISBLANK($B73),VLOOKUP($A73,Harmonogram!$A$1:$FA$162,COLUMN(Prehľad!A73)+6,FALSE),VLOOKUP(Prehľad!$B73,Harmonogram!$F$2:$EW$150,COLUMN(Prehľad!A73)+1,FALSE))=0,"",IF(ISBLANK($B73),VLOOKUP($A73,Harmonogram!$A$1:$FA$162,COLUMN(Prehľad!A73)+6,FALSE),VLOOKUP(Prehľad!$B73,Harmonogram!$F$2:$EW$150,COLUMN(Prehľad!A73)+1,FALSE))),"")</f>
        <v>Revitalizácia trate
Vybudovanie dispečerského riadenia trate vrátane modernizácie SZZ, TZZ, PZZ a vybavenia systémom ETCS</v>
      </c>
      <c r="D73" s="177" t="str">
        <f>IFERROR(IF(IF(ISBLANK($B73),VLOOKUP($A73,Harmonogram!$A$1:$FA$162,COLUMN(Prehľad!B73)+6,FALSE),VLOOKUP(Prehľad!$B73,Harmonogram!$F$2:$EW$150,COLUMN(Prehľad!B73)+1,FALSE))=0,"",IF(ISBLANK($B73),VLOOKUP($A73,Harmonogram!$A$1:$FA$162,COLUMN(Prehľad!B73)+6,FALSE),VLOOKUP(Prehľad!$B73,Harmonogram!$F$2:$EW$150,COLUMN(Prehľad!B73)+1,FALSE))),"")</f>
        <v>Zvýšenie bezpečnosti a plynulosti železničnej dopravy, skrátenie jazdnej doby vlakov a úspora prevádzkových nákladov. Naplnenie požiadaviek legislatívy EÚ.</v>
      </c>
      <c r="E73" s="204" t="str">
        <f>IFERROR(IF(IF(ISBLANK($B73),VLOOKUP($A73,Harmonogram!$A$1:$FA$162,COLUMN(Prehľad!C73)+6,FALSE),VLOOKUP(Prehľad!$B73,Harmonogram!$F$2:$EW$150,COLUMN(Prehľad!C73)+1,FALSE))=0,"",IF(ISBLANK($B73),VLOOKUP($A73,Harmonogram!$A$1:$FA$162,COLUMN(Prehľad!C73)+6,FALSE),VLOOKUP(Prehľad!$B73,Harmonogram!$F$2:$EW$150,COLUMN(Prehľad!C73)+1,FALSE))),"")</f>
        <v>TEN-T comprehensive;
RFC 11 - hlavná trať
Dĺžka(188a)= 18km; osôb/deň= 5000; mil.hrtkm/rok=90,6</v>
      </c>
      <c r="F73" s="177">
        <f>IF(ISBLANK(B73),"",IFERROR(VLOOKUP(B73,Harmonogram!$F$3:$EO$97,140,FALSE),"er"))</f>
        <v>15.653</v>
      </c>
      <c r="G73" s="177" t="str">
        <f>IFERROR(IF(IF(ISBLANK($B73),VLOOKUP($A73,Harmonogram!$A$1:$FA$162,COLUMN(Prehľad!D73)+6,FALSE),VLOOKUP(Prehľad!$B73,Harmonogram!$F$2:$EW$150,COLUMN(Prehľad!D73)+1,FALSE))=0,"",IF(ISBLANK($B73),VLOOKUP($A73,Harmonogram!$A$1:$FA$162,COLUMN(Prehľad!D73)+6,FALSE),VLOOKUP(Prehľad!$B73,Harmonogram!$F$2:$EW$150,COLUMN(Prehľad!D73)+1,FALSE))),"")</f>
        <v xml:space="preserve">1b; 2b; 3a </v>
      </c>
      <c r="H73" s="250" t="str">
        <f>IFERROR(IF(IF(ISBLANK($B73),VLOOKUP($A73,Harmonogram!$A$1:$FA$162,COLUMN(Prehľad!A73)+11,FALSE),VLOOKUP(Prehľad!$B73,Harmonogram!$F$2:$EW$150,COLUMN(Prehľad!A73)+6,FALSE))=0,"",IF(ISBLANK($B73),VLOOKUP($A73,Harmonogram!$A$1:$FA$162,COLUMN(Prehľad!A73)+11,FALSE),VLOOKUP(Prehľad!$B73,Harmonogram!$F$2:$EW$150,COLUMN(Prehľad!A73)+6,FALSE))),"")</f>
        <v/>
      </c>
      <c r="I73" s="260">
        <f>IF(LEN($B73)=0,VLOOKUP($A73,Harmonogram!$A$1:$FA$162,COLUMN(Prehľad!B73)+11,FALSE),VLOOKUP(Prehľad!$B73,Harmonogram!$F$2:$EW$150,COLUMN(Prehľad!B73)+6,FALSE))</f>
        <v>54661137.237016797</v>
      </c>
      <c r="J73" s="261">
        <f>IF(LEN($B73)=0,VLOOKUP($A73,Harmonogram!$A$1:$FA$162,COLUMN(Prehľad!A73)*12+12,FALSE),VLOOKUP(Prehľad!$B73,Harmonogram!$F$2:$EW$150,COLUMN(Prehľad!A73)*12+7,FALSE))</f>
        <v>0</v>
      </c>
      <c r="K73" s="260">
        <f>IF(LEN($B73)=0,VLOOKUP($A73,Harmonogram!$A$1:$FA$162,COLUMN(Prehľad!B73)*12+12,FALSE),VLOOKUP(Prehľad!$B73,Harmonogram!$F$2:$EW$150,COLUMN(Prehľad!B73)*12+7,FALSE))</f>
        <v>0</v>
      </c>
      <c r="L73" s="260">
        <f>IF(LEN($B73)=0,VLOOKUP($A73,Harmonogram!$A$1:$FA$162,COLUMN(Prehľad!C73)*12+12,FALSE),VLOOKUP(Prehľad!$B73,Harmonogram!$F$2:$EW$150,COLUMN(Prehľad!C73)*12+7,FALSE))</f>
        <v>0</v>
      </c>
      <c r="M73" s="260">
        <f>IF(LEN($B73)=0,VLOOKUP($A73,Harmonogram!$A$1:$FA$162,COLUMN(Prehľad!D73)*12+12,FALSE),VLOOKUP(Prehľad!$B73,Harmonogram!$F$2:$EW$150,COLUMN(Prehľad!D73)*12+7,FALSE))</f>
        <v>546611.37</v>
      </c>
      <c r="N73" s="260">
        <f>IF(LEN($B73)=0,VLOOKUP($A73,Harmonogram!$A$1:$FA$162,COLUMN(Prehľad!E73)*12+12,FALSE),VLOOKUP(Prehľad!$B73,Harmonogram!$F$2:$EW$150,COLUMN(Prehľad!E73)*12+7,FALSE))</f>
        <v>546611.37</v>
      </c>
      <c r="O73" s="260">
        <f>IF(LEN($B73)=0,VLOOKUP($A73,Harmonogram!$A$1:$FA$162,COLUMN(Prehľad!F73)*12+12,FALSE),VLOOKUP(Prehľad!$B73,Harmonogram!$F$2:$EW$150,COLUMN(Prehľad!F73)*12+7,FALSE))</f>
        <v>546611.37</v>
      </c>
      <c r="P73" s="260">
        <f>IF(LEN($B73)=0,VLOOKUP($A73,Harmonogram!$A$1:$FA$162,COLUMN(Prehľad!G73)*12+12,FALSE),VLOOKUP(Prehľad!$B73,Harmonogram!$F$2:$EW$150,COLUMN(Prehľad!G73)*12+7,FALSE))</f>
        <v>546611.37</v>
      </c>
      <c r="Q73" s="260">
        <f>IF(LEN($B73)=0,VLOOKUP($A73,Harmonogram!$A$1:$FA$162,COLUMN(Prehľad!H73)*12+12,FALSE),VLOOKUP(Prehľad!$B73,Harmonogram!$F$2:$EW$150,COLUMN(Prehľad!H73)*12+7,FALSE))</f>
        <v>546611.37</v>
      </c>
      <c r="R73" s="260">
        <f>IF(LEN($B73)=0,VLOOKUP($A73,Harmonogram!$A$1:$FA$162,COLUMN(Prehľad!I73)*12+12,FALSE),VLOOKUP(Prehľad!$B73,Harmonogram!$F$2:$EW$150,COLUMN(Prehľad!I73)*12+7,FALSE))</f>
        <v>17309360.129999999</v>
      </c>
      <c r="S73" s="260">
        <f>IF(LEN($B73)=0,VLOOKUP($A73,Harmonogram!$A$1:$FA$162,COLUMN(Prehľad!J73)*12+12,FALSE),VLOOKUP(Prehľad!$B73,Harmonogram!$F$2:$EW$150,COLUMN(Prehľad!J73)*12+7,FALSE))</f>
        <v>17309360.129999999</v>
      </c>
      <c r="T73" s="262">
        <f>IF(LEN($B73)=0,VLOOKUP($A73,Harmonogram!$A$1:$FA$162,COLUMN(Prehľad!K73)*12+12,FALSE),VLOOKUP(Prehľad!$B73,Harmonogram!$F$2:$EW$150,COLUMN(Prehľad!K73)*12+7,FALSE))</f>
        <v>17309360.129999999</v>
      </c>
      <c r="U73" s="91"/>
    </row>
    <row r="74" spans="1:33" s="5" customFormat="1" ht="75" x14ac:dyDescent="0.25">
      <c r="A74" s="240"/>
      <c r="B74" s="203" t="s">
        <v>235</v>
      </c>
      <c r="C74" s="177" t="str">
        <f>IFERROR(IF(IF(ISBLANK($B74),VLOOKUP($A74,Harmonogram!$A$1:$FA$162,COLUMN(Prehľad!A74)+6,FALSE),VLOOKUP(Prehľad!$B74,Harmonogram!$F$2:$EW$150,COLUMN(Prehľad!A74)+1,FALSE))=0,"",IF(ISBLANK($B74),VLOOKUP($A74,Harmonogram!$A$1:$FA$162,COLUMN(Prehľad!A74)+6,FALSE),VLOOKUP(Prehľad!$B74,Harmonogram!$F$2:$EW$150,COLUMN(Prehľad!A74)+1,FALSE))),"")</f>
        <v>Revitalizácia trate</v>
      </c>
      <c r="D74" s="177" t="str">
        <f>IFERROR(IF(IF(ISBLANK($B74),VLOOKUP($A74,Harmonogram!$A$1:$FA$162,COLUMN(Prehľad!B74)+6,FALSE),VLOOKUP(Prehľad!$B74,Harmonogram!$F$2:$EW$150,COLUMN(Prehľad!B74)+1,FALSE))=0,"",IF(ISBLANK($B74),VLOOKUP($A74,Harmonogram!$A$1:$FA$162,COLUMN(Prehľad!B74)+6,FALSE),VLOOKUP(Prehľad!$B74,Harmonogram!$F$2:$EW$150,COLUMN(Prehľad!B74)+1,FALSE))),"")</f>
        <v>Zvýšenie bezpečnosti a plynulosti železničnej dopravy, skrátenie jazdnej doby vlakov a úspora prevádzkových nákladov.</v>
      </c>
      <c r="E74" s="204" t="str">
        <f>IFERROR(IF(IF(ISBLANK($B74),VLOOKUP($A74,Harmonogram!$A$1:$FA$162,COLUMN(Prehľad!C74)+6,FALSE),VLOOKUP(Prehľad!$B74,Harmonogram!$F$2:$EW$150,COLUMN(Prehľad!C74)+1,FALSE))=0,"",IF(ISBLANK($B74),VLOOKUP($A74,Harmonogram!$A$1:$FA$162,COLUMN(Prehľad!C74)+6,FALSE),VLOOKUP(Prehľad!$B74,Harmonogram!$F$2:$EW$150,COLUMN(Prehľad!C74)+1,FALSE))),"")</f>
        <v>TEN-T core;
RFC 9 - hlavná trať
RFC 11 - alternatívna trať
Dĺžka(190a)= 36,9km; osôb/deň= 6000; mil.hrtkm/rok=589,9</v>
      </c>
      <c r="F74" s="177">
        <f>IF(ISBLANK(B74),"",IFERROR(VLOOKUP(B74,Harmonogram!$F$3:$EO$97,140,FALSE),"er"))</f>
        <v>36.374000000000002</v>
      </c>
      <c r="G74" s="177" t="str">
        <f>IFERROR(IF(IF(ISBLANK($B74),VLOOKUP($A74,Harmonogram!$A$1:$FA$162,COLUMN(Prehľad!D74)+6,FALSE),VLOOKUP(Prehľad!$B74,Harmonogram!$F$2:$EW$150,COLUMN(Prehľad!D74)+1,FALSE))=0,"",IF(ISBLANK($B74),VLOOKUP($A74,Harmonogram!$A$1:$FA$162,COLUMN(Prehľad!D74)+6,FALSE),VLOOKUP(Prehľad!$B74,Harmonogram!$F$2:$EW$150,COLUMN(Prehľad!D74)+1,FALSE))),"")</f>
        <v>1b;2b;3a;3b</v>
      </c>
      <c r="H74" s="250" t="str">
        <f>IFERROR(IF(IF(ISBLANK($B74),VLOOKUP($A74,Harmonogram!$A$1:$FA$162,COLUMN(Prehľad!A74)+11,FALSE),VLOOKUP(Prehľad!$B74,Harmonogram!$F$2:$EW$150,COLUMN(Prehľad!A74)+6,FALSE))=0,"",IF(ISBLANK($B74),VLOOKUP($A74,Harmonogram!$A$1:$FA$162,COLUMN(Prehľad!A74)+11,FALSE),VLOOKUP(Prehľad!$B74,Harmonogram!$F$2:$EW$150,COLUMN(Prehľad!A74)+6,FALSE))),"")</f>
        <v/>
      </c>
      <c r="I74" s="260">
        <f>IF(LEN($B74)=0,VLOOKUP($A74,Harmonogram!$A$1:$FA$162,COLUMN(Prehľad!B74)+11,FALSE),VLOOKUP(Prehľad!$B74,Harmonogram!$F$2:$EW$150,COLUMN(Prehľad!B74)+6,FALSE))</f>
        <v>194313622.90686801</v>
      </c>
      <c r="J74" s="261">
        <f>IF(LEN($B74)=0,VLOOKUP($A74,Harmonogram!$A$1:$FA$162,COLUMN(Prehľad!A74)*12+12,FALSE),VLOOKUP(Prehľad!$B74,Harmonogram!$F$2:$EW$150,COLUMN(Prehľad!A74)*12+7,FALSE))</f>
        <v>0</v>
      </c>
      <c r="K74" s="260">
        <f>IF(LEN($B74)=0,VLOOKUP($A74,Harmonogram!$A$1:$FA$162,COLUMN(Prehľad!B74)*12+12,FALSE),VLOOKUP(Prehľad!$B74,Harmonogram!$F$2:$EW$150,COLUMN(Prehľad!B74)*12+7,FALSE))</f>
        <v>0</v>
      </c>
      <c r="L74" s="260">
        <f>IF(LEN($B74)=0,VLOOKUP($A74,Harmonogram!$A$1:$FA$162,COLUMN(Prehľad!C74)*12+12,FALSE),VLOOKUP(Prehľad!$B74,Harmonogram!$F$2:$EW$150,COLUMN(Prehľad!C74)*12+7,FALSE))</f>
        <v>1943136.23</v>
      </c>
      <c r="M74" s="260">
        <f>IF(LEN($B74)=0,VLOOKUP($A74,Harmonogram!$A$1:$FA$162,COLUMN(Prehľad!D74)*12+12,FALSE),VLOOKUP(Prehľad!$B74,Harmonogram!$F$2:$EW$150,COLUMN(Prehľad!D74)*12+7,FALSE))</f>
        <v>1943136.23</v>
      </c>
      <c r="N74" s="260">
        <f>IF(LEN($B74)=0,VLOOKUP($A74,Harmonogram!$A$1:$FA$162,COLUMN(Prehľad!E74)*12+12,FALSE),VLOOKUP(Prehľad!$B74,Harmonogram!$F$2:$EW$150,COLUMN(Prehľad!E74)*12+7,FALSE))</f>
        <v>1943136.23</v>
      </c>
      <c r="O74" s="260">
        <f>IF(LEN($B74)=0,VLOOKUP($A74,Harmonogram!$A$1:$FA$162,COLUMN(Prehľad!F74)*12+12,FALSE),VLOOKUP(Prehľad!$B74,Harmonogram!$F$2:$EW$150,COLUMN(Prehľad!F74)*12+7,FALSE))</f>
        <v>1943136.23</v>
      </c>
      <c r="P74" s="260">
        <f>IF(LEN($B74)=0,VLOOKUP($A74,Harmonogram!$A$1:$FA$162,COLUMN(Prehľad!G74)*12+12,FALSE),VLOOKUP(Prehľad!$B74,Harmonogram!$F$2:$EW$150,COLUMN(Prehľad!G74)*12+7,FALSE))</f>
        <v>1943136.23</v>
      </c>
      <c r="Q74" s="260">
        <f>IF(LEN($B74)=0,VLOOKUP($A74,Harmonogram!$A$1:$FA$162,COLUMN(Prehľad!H74)*12+12,FALSE),VLOOKUP(Prehľad!$B74,Harmonogram!$F$2:$EW$150,COLUMN(Prehľad!H74)*12+7,FALSE))</f>
        <v>46149485.439999998</v>
      </c>
      <c r="R74" s="260">
        <f>IF(LEN($B74)=0,VLOOKUP($A74,Harmonogram!$A$1:$FA$162,COLUMN(Prehľad!I74)*12+12,FALSE),VLOOKUP(Prehľad!$B74,Harmonogram!$F$2:$EW$150,COLUMN(Prehľad!I74)*12+7,FALSE))</f>
        <v>46149485.439999998</v>
      </c>
      <c r="S74" s="260">
        <f>IF(LEN($B74)=0,VLOOKUP($A74,Harmonogram!$A$1:$FA$162,COLUMN(Prehľad!J74)*12+12,FALSE),VLOOKUP(Prehľad!$B74,Harmonogram!$F$2:$EW$150,COLUMN(Prehľad!J74)*12+7,FALSE))</f>
        <v>46149485.439999998</v>
      </c>
      <c r="T74" s="262">
        <f>IF(LEN($B74)=0,VLOOKUP($A74,Harmonogram!$A$1:$FA$162,COLUMN(Prehľad!K74)*12+12,FALSE),VLOOKUP(Prehľad!$B74,Harmonogram!$F$2:$EW$150,COLUMN(Prehľad!K74)*12+7,FALSE))</f>
        <v>46149485.439999998</v>
      </c>
      <c r="U74" s="91"/>
      <c r="V74" s="91"/>
    </row>
    <row r="75" spans="1:33" s="5" customFormat="1" ht="105" x14ac:dyDescent="0.25">
      <c r="A75" s="245"/>
      <c r="B75" s="203" t="s">
        <v>93</v>
      </c>
      <c r="C75" s="177" t="str">
        <f>IFERROR(IF(IF(ISBLANK($B75),VLOOKUP($A75,Harmonogram!$A$1:$FA$162,COLUMN(Prehľad!A75)+6,FALSE),VLOOKUP(Prehľad!$B75,Harmonogram!$F$2:$EW$150,COLUMN(Prehľad!A75)+1,FALSE))=0,"",IF(ISBLANK($B75),VLOOKUP($A75,Harmonogram!$A$1:$FA$162,COLUMN(Prehľad!A75)+6,FALSE),VLOOKUP(Prehľad!$B75,Harmonogram!$F$2:$EW$150,COLUMN(Prehľad!A75)+1,FALSE))),"")</f>
        <v>Revitalizácia trate</v>
      </c>
      <c r="D75" s="177" t="str">
        <f>IFERROR(IF(IF(ISBLANK($B75),VLOOKUP($A75,Harmonogram!$A$1:$FA$162,COLUMN(Prehľad!B75)+6,FALSE),VLOOKUP(Prehľad!$B75,Harmonogram!$F$2:$EW$150,COLUMN(Prehľad!B75)+1,FALSE))=0,"",IF(ISBLANK($B75),VLOOKUP($A75,Harmonogram!$A$1:$FA$162,COLUMN(Prehľad!B75)+6,FALSE),VLOOKUP(Prehľad!$B75,Harmonogram!$F$2:$EW$150,COLUMN(Prehľad!B75)+1,FALSE))),"")</f>
        <v>Zvýšenie bezpečnosti a plynulosti železničnej dopravy, skrátenie jazdnej doby vlakov a úspora prevádzkových nákladov.</v>
      </c>
      <c r="E75" s="204" t="str">
        <f>IFERROR(IF(IF(ISBLANK($B75),VLOOKUP($A75,Harmonogram!$A$1:$FA$162,COLUMN(Prehľad!C75)+6,FALSE),VLOOKUP(Prehľad!$B75,Harmonogram!$F$2:$EW$150,COLUMN(Prehľad!C75)+1,FALSE))=0,"",IF(ISBLANK($B75),VLOOKUP($A75,Harmonogram!$A$1:$FA$162,COLUMN(Prehľad!C75)+6,FALSE),VLOOKUP(Prehľad!$B75,Harmonogram!$F$2:$EW$150,COLUMN(Prehľad!C75)+1,FALSE))),"")</f>
        <v>TEN-T core;
RFC 5 - hlavná trať
RFC 7 - hlavná trať
RFC 9 - alternatívna trať
RFC 11 - hlavná trať
Dĺžka(137a)= 1,7km; osôb/deň= 7000; mil.hrtkm/rok=21,1</v>
      </c>
      <c r="F75" s="177">
        <f>IF(ISBLANK(B75),"",IFERROR(VLOOKUP(B75,Harmonogram!$F$3:$EO$97,140,FALSE),"er"))</f>
        <v>1.7629999999999999</v>
      </c>
      <c r="G75" s="177" t="str">
        <f>IFERROR(IF(IF(ISBLANK($B75),VLOOKUP($A75,Harmonogram!$A$1:$FA$162,COLUMN(Prehľad!D75)+6,FALSE),VLOOKUP(Prehľad!$B75,Harmonogram!$F$2:$EW$150,COLUMN(Prehľad!D75)+1,FALSE))=0,"",IF(ISBLANK($B75),VLOOKUP($A75,Harmonogram!$A$1:$FA$162,COLUMN(Prehľad!D75)+6,FALSE),VLOOKUP(Prehľad!$B75,Harmonogram!$F$2:$EW$150,COLUMN(Prehľad!D75)+1,FALSE))),"")</f>
        <v>1b</v>
      </c>
      <c r="H75" s="250" t="str">
        <f>IFERROR(IF(IF(ISBLANK($B75),VLOOKUP($A75,Harmonogram!$A$1:$FA$162,COLUMN(Prehľad!A75)+11,FALSE),VLOOKUP(Prehľad!$B75,Harmonogram!$F$2:$EW$150,COLUMN(Prehľad!A75)+6,FALSE))=0,"",IF(ISBLANK($B75),VLOOKUP($A75,Harmonogram!$A$1:$FA$162,COLUMN(Prehľad!A75)+11,FALSE),VLOOKUP(Prehľad!$B75,Harmonogram!$F$2:$EW$150,COLUMN(Prehľad!A75)+6,FALSE))),"")</f>
        <v/>
      </c>
      <c r="I75" s="260">
        <f>IF(LEN($B75)=0,VLOOKUP($A75,Harmonogram!$A$1:$FA$162,COLUMN(Prehľad!B75)+11,FALSE),VLOOKUP(Prehľad!$B75,Harmonogram!$F$2:$EW$150,COLUMN(Prehľad!B75)+6,FALSE))</f>
        <v>2866575.9088295102</v>
      </c>
      <c r="J75" s="261">
        <f>IF(LEN($B75)=0,VLOOKUP($A75,Harmonogram!$A$1:$FA$162,COLUMN(Prehľad!A75)*12+12,FALSE),VLOOKUP(Prehľad!$B75,Harmonogram!$F$2:$EW$150,COLUMN(Prehľad!A75)*12+7,FALSE))</f>
        <v>0</v>
      </c>
      <c r="K75" s="260">
        <f>IF(LEN($B75)=0,VLOOKUP($A75,Harmonogram!$A$1:$FA$162,COLUMN(Prehľad!B75)*12+12,FALSE),VLOOKUP(Prehľad!$B75,Harmonogram!$F$2:$EW$150,COLUMN(Prehľad!B75)*12+7,FALSE))</f>
        <v>0</v>
      </c>
      <c r="L75" s="260">
        <f>IF(LEN($B75)=0,VLOOKUP($A75,Harmonogram!$A$1:$FA$162,COLUMN(Prehľad!C75)*12+12,FALSE),VLOOKUP(Prehľad!$B75,Harmonogram!$F$2:$EW$150,COLUMN(Prehľad!C75)*12+7,FALSE))</f>
        <v>0</v>
      </c>
      <c r="M75" s="260">
        <f>IF(LEN($B75)=0,VLOOKUP($A75,Harmonogram!$A$1:$FA$162,COLUMN(Prehľad!D75)*12+12,FALSE),VLOOKUP(Prehľad!$B75,Harmonogram!$F$2:$EW$150,COLUMN(Prehľad!D75)*12+7,FALSE))</f>
        <v>47776.27</v>
      </c>
      <c r="N75" s="260">
        <f>IF(LEN($B75)=0,VLOOKUP($A75,Harmonogram!$A$1:$FA$162,COLUMN(Prehľad!E75)*12+12,FALSE),VLOOKUP(Prehľad!$B75,Harmonogram!$F$2:$EW$150,COLUMN(Prehľad!E75)*12+7,FALSE))</f>
        <v>47776.27</v>
      </c>
      <c r="O75" s="260">
        <f>IF(LEN($B75)=0,VLOOKUP($A75,Harmonogram!$A$1:$FA$162,COLUMN(Prehľad!F75)*12+12,FALSE),VLOOKUP(Prehľad!$B75,Harmonogram!$F$2:$EW$150,COLUMN(Prehľad!F75)*12+7,FALSE))</f>
        <v>47776.27</v>
      </c>
      <c r="P75" s="260">
        <f>IF(LEN($B75)=0,VLOOKUP($A75,Harmonogram!$A$1:$FA$162,COLUMN(Prehľad!G75)*12+12,FALSE),VLOOKUP(Prehľad!$B75,Harmonogram!$F$2:$EW$150,COLUMN(Prehľad!G75)*12+7,FALSE))</f>
        <v>2723247.11</v>
      </c>
      <c r="Q75" s="260">
        <f>IF(LEN($B75)=0,VLOOKUP($A75,Harmonogram!$A$1:$FA$162,COLUMN(Prehľad!H75)*12+12,FALSE),VLOOKUP(Prehľad!$B75,Harmonogram!$F$2:$EW$150,COLUMN(Prehľad!H75)*12+7,FALSE))</f>
        <v>0</v>
      </c>
      <c r="R75" s="260">
        <f>IF(LEN($B75)=0,VLOOKUP($A75,Harmonogram!$A$1:$FA$162,COLUMN(Prehľad!I75)*12+12,FALSE),VLOOKUP(Prehľad!$B75,Harmonogram!$F$2:$EW$150,COLUMN(Prehľad!I75)*12+7,FALSE))</f>
        <v>0</v>
      </c>
      <c r="S75" s="260">
        <f>IF(LEN($B75)=0,VLOOKUP($A75,Harmonogram!$A$1:$FA$162,COLUMN(Prehľad!J75)*12+12,FALSE),VLOOKUP(Prehľad!$B75,Harmonogram!$F$2:$EW$150,COLUMN(Prehľad!J75)*12+7,FALSE))</f>
        <v>0</v>
      </c>
      <c r="T75" s="262">
        <f>IF(LEN($B75)=0,VLOOKUP($A75,Harmonogram!$A$1:$FA$162,COLUMN(Prehľad!K75)*12+12,FALSE),VLOOKUP(Prehľad!$B75,Harmonogram!$F$2:$EW$150,COLUMN(Prehľad!K75)*12+7,FALSE))</f>
        <v>0</v>
      </c>
      <c r="U75" s="91"/>
      <c r="V75" s="91"/>
      <c r="AF75" s="14"/>
      <c r="AG75" s="14"/>
    </row>
    <row r="76" spans="1:33" s="9" customFormat="1" ht="75" x14ac:dyDescent="0.25">
      <c r="A76" s="240"/>
      <c r="B76" s="203" t="s">
        <v>61</v>
      </c>
      <c r="C76" s="177" t="str">
        <f>IFERROR(IF(IF(ISBLANK($B76),VLOOKUP($A76,Harmonogram!$A$1:$FA$162,COLUMN(Prehľad!A76)+6,FALSE),VLOOKUP(Prehľad!$B76,Harmonogram!$F$2:$EW$150,COLUMN(Prehľad!A76)+1,FALSE))=0,"",IF(ISBLANK($B76),VLOOKUP($A76,Harmonogram!$A$1:$FA$162,COLUMN(Prehľad!A76)+6,FALSE),VLOOKUP(Prehľad!$B76,Harmonogram!$F$2:$EW$150,COLUMN(Prehľad!A76)+1,FALSE))),"")</f>
        <v>Revitalizácia trate</v>
      </c>
      <c r="D76" s="177" t="str">
        <f>IFERROR(IF(IF(ISBLANK($B76),VLOOKUP($A76,Harmonogram!$A$1:$FA$162,COLUMN(Prehľad!B76)+6,FALSE),VLOOKUP(Prehľad!$B76,Harmonogram!$F$2:$EW$150,COLUMN(Prehľad!B76)+1,FALSE))=0,"",IF(ISBLANK($B76),VLOOKUP($A76,Harmonogram!$A$1:$FA$162,COLUMN(Prehľad!B76)+6,FALSE),VLOOKUP(Prehľad!$B76,Harmonogram!$F$2:$EW$150,COLUMN(Prehľad!B76)+1,FALSE))),"")</f>
        <v>Zvýšenie bezpečnosti a plynulosti železničnej dopravy, skrátenie jazdnej doby vlakov a úspora prevádzkových nákladov.</v>
      </c>
      <c r="E76" s="204" t="str">
        <f>IFERROR(IF(IF(ISBLANK($B76),VLOOKUP($A76,Harmonogram!$A$1:$FA$162,COLUMN(Prehľad!C76)+6,FALSE),VLOOKUP(Prehľad!$B76,Harmonogram!$F$2:$EW$150,COLUMN(Prehľad!C76)+1,FALSE))=0,"",IF(ISBLANK($B76),VLOOKUP($A76,Harmonogram!$A$1:$FA$162,COLUMN(Prehľad!C76)+6,FALSE),VLOOKUP(Prehľad!$B76,Harmonogram!$F$2:$EW$150,COLUMN(Prehľad!C76)+1,FALSE))),"")</f>
        <v>TEN-T core;
RFC 5 - prípojná trať
RFC 7 - hlavná trať
Dĺžka(130b)= 23,3km; osôb/deň= 16000; mil.hrtkm/rok=360,6</v>
      </c>
      <c r="F76" s="177">
        <f>IF(ISBLANK(B76),"",IFERROR(VLOOKUP(B76,Harmonogram!$F$3:$EO$97,140,FALSE),"er"))</f>
        <v>23.286999999999999</v>
      </c>
      <c r="G76" s="177" t="str">
        <f>IFERROR(IF(IF(ISBLANK($B76),VLOOKUP($A76,Harmonogram!$A$1:$FA$162,COLUMN(Prehľad!D76)+6,FALSE),VLOOKUP(Prehľad!$B76,Harmonogram!$F$2:$EW$150,COLUMN(Prehľad!D76)+1,FALSE))=0,"",IF(ISBLANK($B76),VLOOKUP($A76,Harmonogram!$A$1:$FA$162,COLUMN(Prehľad!D76)+6,FALSE),VLOOKUP(Prehľad!$B76,Harmonogram!$F$2:$EW$150,COLUMN(Prehľad!D76)+1,FALSE))),"")</f>
        <v>1b</v>
      </c>
      <c r="H76" s="250" t="str">
        <f>IFERROR(IF(IF(ISBLANK($B76),VLOOKUP($A76,Harmonogram!$A$1:$FA$162,COLUMN(Prehľad!A76)+11,FALSE),VLOOKUP(Prehľad!$B76,Harmonogram!$F$2:$EW$150,COLUMN(Prehľad!A76)+6,FALSE))=0,"",IF(ISBLANK($B76),VLOOKUP($A76,Harmonogram!$A$1:$FA$162,COLUMN(Prehľad!A76)+11,FALSE),VLOOKUP(Prehľad!$B76,Harmonogram!$F$2:$EW$150,COLUMN(Prehľad!A76)+6,FALSE))),"")</f>
        <v/>
      </c>
      <c r="I76" s="260">
        <f>IF(LEN($B76)=0,VLOOKUP($A76,Harmonogram!$A$1:$FA$162,COLUMN(Prehľad!B76)+11,FALSE),VLOOKUP(Prehľad!$B76,Harmonogram!$F$2:$EW$150,COLUMN(Prehľad!B76)+6,FALSE))</f>
        <v>74760178.765702799</v>
      </c>
      <c r="J76" s="261">
        <f>IF(LEN($B76)=0,VLOOKUP($A76,Harmonogram!$A$1:$FA$162,COLUMN(Prehľad!A76)*12+12,FALSE),VLOOKUP(Prehľad!$B76,Harmonogram!$F$2:$EW$150,COLUMN(Prehľad!A76)*12+7,FALSE))</f>
        <v>0</v>
      </c>
      <c r="K76" s="260">
        <f>IF(LEN($B76)=0,VLOOKUP($A76,Harmonogram!$A$1:$FA$162,COLUMN(Prehľad!B76)*12+12,FALSE),VLOOKUP(Prehľad!$B76,Harmonogram!$F$2:$EW$150,COLUMN(Prehľad!B76)*12+7,FALSE))</f>
        <v>0</v>
      </c>
      <c r="L76" s="260">
        <f>IF(LEN($B76)=0,VLOOKUP($A76,Harmonogram!$A$1:$FA$162,COLUMN(Prehľad!C76)*12+12,FALSE),VLOOKUP(Prehľad!$B76,Harmonogram!$F$2:$EW$150,COLUMN(Prehľad!C76)*12+7,FALSE))</f>
        <v>0</v>
      </c>
      <c r="M76" s="260">
        <f>IF(LEN($B76)=0,VLOOKUP($A76,Harmonogram!$A$1:$FA$162,COLUMN(Prehľad!D76)*12+12,FALSE),VLOOKUP(Prehľad!$B76,Harmonogram!$F$2:$EW$150,COLUMN(Prehľad!D76)*12+7,FALSE))</f>
        <v>747601.79</v>
      </c>
      <c r="N76" s="260">
        <f>IF(LEN($B76)=0,VLOOKUP($A76,Harmonogram!$A$1:$FA$162,COLUMN(Prehľad!E76)*12+12,FALSE),VLOOKUP(Prehľad!$B76,Harmonogram!$F$2:$EW$150,COLUMN(Prehľad!E76)*12+7,FALSE))</f>
        <v>747601.79</v>
      </c>
      <c r="O76" s="260">
        <f>IF(LEN($B76)=0,VLOOKUP($A76,Harmonogram!$A$1:$FA$162,COLUMN(Prehľad!F76)*12+12,FALSE),VLOOKUP(Prehľad!$B76,Harmonogram!$F$2:$EW$150,COLUMN(Prehľad!F76)*12+7,FALSE))</f>
        <v>747601.79</v>
      </c>
      <c r="P76" s="260">
        <f>IF(LEN($B76)=0,VLOOKUP($A76,Harmonogram!$A$1:$FA$162,COLUMN(Prehľad!G76)*12+12,FALSE),VLOOKUP(Prehľad!$B76,Harmonogram!$F$2:$EW$150,COLUMN(Prehľad!G76)*12+7,FALSE))</f>
        <v>747601.79</v>
      </c>
      <c r="Q76" s="260">
        <f>IF(LEN($B76)=0,VLOOKUP($A76,Harmonogram!$A$1:$FA$162,COLUMN(Prehľad!H76)*12+12,FALSE),VLOOKUP(Prehľad!$B76,Harmonogram!$F$2:$EW$150,COLUMN(Prehľad!H76)*12+7,FALSE))</f>
        <v>747601.79</v>
      </c>
      <c r="R76" s="260">
        <f>IF(LEN($B76)=0,VLOOKUP($A76,Harmonogram!$A$1:$FA$162,COLUMN(Prehľad!I76)*12+12,FALSE),VLOOKUP(Prehľad!$B76,Harmonogram!$F$2:$EW$150,COLUMN(Prehľad!I76)*12+7,FALSE))</f>
        <v>23674056.609999999</v>
      </c>
      <c r="S76" s="260">
        <f>IF(LEN($B76)=0,VLOOKUP($A76,Harmonogram!$A$1:$FA$162,COLUMN(Prehľad!J76)*12+12,FALSE),VLOOKUP(Prehľad!$B76,Harmonogram!$F$2:$EW$150,COLUMN(Prehľad!J76)*12+7,FALSE))</f>
        <v>23674056.609999999</v>
      </c>
      <c r="T76" s="262">
        <f>IF(LEN($B76)=0,VLOOKUP($A76,Harmonogram!$A$1:$FA$162,COLUMN(Prehľad!K76)*12+12,FALSE),VLOOKUP(Prehľad!$B76,Harmonogram!$F$2:$EW$150,COLUMN(Prehľad!K76)*12+7,FALSE))</f>
        <v>23674056.609999999</v>
      </c>
      <c r="AF76" s="14"/>
      <c r="AG76" s="14"/>
    </row>
    <row r="77" spans="1:33" s="9" customFormat="1" ht="60" x14ac:dyDescent="0.25">
      <c r="A77" s="241"/>
      <c r="B77" s="203" t="s">
        <v>197</v>
      </c>
      <c r="C77" s="177" t="str">
        <f>IFERROR(IF(IF(ISBLANK($B77),VLOOKUP($A77,Harmonogram!$A$1:$FA$162,COLUMN(Prehľad!A77)+6,FALSE),VLOOKUP(Prehľad!$B77,Harmonogram!$F$2:$EW$150,COLUMN(Prehľad!A77)+1,FALSE))=0,"",IF(ISBLANK($B77),VLOOKUP($A77,Harmonogram!$A$1:$FA$162,COLUMN(Prehľad!A77)+6,FALSE),VLOOKUP(Prehľad!$B77,Harmonogram!$F$2:$EW$150,COLUMN(Prehľad!A77)+1,FALSE))),"")</f>
        <v>Revitalizácia trate</v>
      </c>
      <c r="D77" s="177" t="str">
        <f>IFERROR(IF(IF(ISBLANK($B77),VLOOKUP($A77,Harmonogram!$A$1:$FA$162,COLUMN(Prehľad!B77)+6,FALSE),VLOOKUP(Prehľad!$B77,Harmonogram!$F$2:$EW$150,COLUMN(Prehľad!B77)+1,FALSE))=0,"",IF(ISBLANK($B77),VLOOKUP($A77,Harmonogram!$A$1:$FA$162,COLUMN(Prehľad!B77)+6,FALSE),VLOOKUP(Prehľad!$B77,Harmonogram!$F$2:$EW$150,COLUMN(Prehľad!B77)+1,FALSE))),"")</f>
        <v>Zvýšenie bezpečnosti a plynulosti železničnej dopravy, skrátenie jazdnej doby vlakov a úspora prevádzkových nákladov.</v>
      </c>
      <c r="E77" s="204" t="str">
        <f>IFERROR(IF(IF(ISBLANK($B77),VLOOKUP($A77,Harmonogram!$A$1:$FA$162,COLUMN(Prehľad!C77)+6,FALSE),VLOOKUP(Prehľad!$B77,Harmonogram!$F$2:$EW$150,COLUMN(Prehľad!C77)+1,FALSE))=0,"",IF(ISBLANK($B77),VLOOKUP($A77,Harmonogram!$A$1:$FA$162,COLUMN(Prehľad!C77)+6,FALSE),VLOOKUP(Prehľad!$B77,Harmonogram!$F$2:$EW$150,COLUMN(Prehľad!C77)+1,FALSE))),"")</f>
        <v>TEN-T core;
RFC 9 - hlavná trať
Dĺžka(180b)= 61,2km; osôb/deň= 11000; mil.hrtkm/rok=1272,2</v>
      </c>
      <c r="F77" s="177">
        <f>IF(ISBLANK(B77),"",IFERROR(VLOOKUP(B77,Harmonogram!$F$3:$EO$97,140,FALSE),"er"))</f>
        <v>62.713000000000001</v>
      </c>
      <c r="G77" s="177" t="str">
        <f>IFERROR(IF(IF(ISBLANK($B77),VLOOKUP($A77,Harmonogram!$A$1:$FA$162,COLUMN(Prehľad!D77)+6,FALSE),VLOOKUP(Prehľad!$B77,Harmonogram!$F$2:$EW$150,COLUMN(Prehľad!D77)+1,FALSE))=0,"",IF(ISBLANK($B77),VLOOKUP($A77,Harmonogram!$A$1:$FA$162,COLUMN(Prehľad!D77)+6,FALSE),VLOOKUP(Prehľad!$B77,Harmonogram!$F$2:$EW$150,COLUMN(Prehľad!D77)+1,FALSE))),"")</f>
        <v>1b</v>
      </c>
      <c r="H77" s="250" t="str">
        <f>IFERROR(IF(IF(ISBLANK($B77),VLOOKUP($A77,Harmonogram!$A$1:$FA$162,COLUMN(Prehľad!A77)+11,FALSE),VLOOKUP(Prehľad!$B77,Harmonogram!$F$2:$EW$150,COLUMN(Prehľad!A77)+6,FALSE))=0,"",IF(ISBLANK($B77),VLOOKUP($A77,Harmonogram!$A$1:$FA$162,COLUMN(Prehľad!A77)+11,FALSE),VLOOKUP(Prehľad!$B77,Harmonogram!$F$2:$EW$150,COLUMN(Prehľad!A77)+6,FALSE))),"")</f>
        <v/>
      </c>
      <c r="I77" s="260">
        <f>IF(LEN($B77)=0,VLOOKUP($A77,Harmonogram!$A$1:$FA$162,COLUMN(Prehľad!B77)+11,FALSE),VLOOKUP(Prehľad!$B77,Harmonogram!$F$2:$EW$150,COLUMN(Prehľad!B77)+6,FALSE))</f>
        <v>243576233.34999999</v>
      </c>
      <c r="J77" s="261">
        <f>IF(LEN($B77)=0,VLOOKUP($A77,Harmonogram!$A$1:$FA$162,COLUMN(Prehľad!A77)*12+12,FALSE),VLOOKUP(Prehľad!$B77,Harmonogram!$F$2:$EW$150,COLUMN(Prehľad!A77)*12+7,FALSE))</f>
        <v>0</v>
      </c>
      <c r="K77" s="260">
        <f>IF(LEN($B77)=0,VLOOKUP($A77,Harmonogram!$A$1:$FA$162,COLUMN(Prehľad!B77)*12+12,FALSE),VLOOKUP(Prehľad!$B77,Harmonogram!$F$2:$EW$150,COLUMN(Prehľad!B77)*12+7,FALSE))</f>
        <v>0</v>
      </c>
      <c r="L77" s="260">
        <f>IF(LEN($B77)=0,VLOOKUP($A77,Harmonogram!$A$1:$FA$162,COLUMN(Prehľad!C77)*12+12,FALSE),VLOOKUP(Prehľad!$B77,Harmonogram!$F$2:$EW$150,COLUMN(Prehľad!C77)*12+7,FALSE))</f>
        <v>0</v>
      </c>
      <c r="M77" s="260">
        <f>IF(LEN($B77)=0,VLOOKUP($A77,Harmonogram!$A$1:$FA$162,COLUMN(Prehľad!D77)*12+12,FALSE),VLOOKUP(Prehľad!$B77,Harmonogram!$F$2:$EW$150,COLUMN(Prehľad!D77)*12+7,FALSE))</f>
        <v>2435762.33</v>
      </c>
      <c r="N77" s="260">
        <f>IF(LEN($B77)=0,VLOOKUP($A77,Harmonogram!$A$1:$FA$162,COLUMN(Prehľad!E77)*12+12,FALSE),VLOOKUP(Prehľad!$B77,Harmonogram!$F$2:$EW$150,COLUMN(Prehľad!E77)*12+7,FALSE))</f>
        <v>2435762.33</v>
      </c>
      <c r="O77" s="260">
        <f>IF(LEN($B77)=0,VLOOKUP($A77,Harmonogram!$A$1:$FA$162,COLUMN(Prehľad!F77)*12+12,FALSE),VLOOKUP(Prehľad!$B77,Harmonogram!$F$2:$EW$150,COLUMN(Prehľad!F77)*12+7,FALSE))</f>
        <v>2435762.33</v>
      </c>
      <c r="P77" s="260">
        <f>IF(LEN($B77)=0,VLOOKUP($A77,Harmonogram!$A$1:$FA$162,COLUMN(Prehľad!G77)*12+12,FALSE),VLOOKUP(Prehľad!$B77,Harmonogram!$F$2:$EW$150,COLUMN(Prehľad!G77)*12+7,FALSE))</f>
        <v>2435762.33</v>
      </c>
      <c r="Q77" s="260">
        <f>IF(LEN($B77)=0,VLOOKUP($A77,Harmonogram!$A$1:$FA$162,COLUMN(Prehľad!H77)*12+12,FALSE),VLOOKUP(Prehľad!$B77,Harmonogram!$F$2:$EW$150,COLUMN(Prehľad!H77)*12+7,FALSE))</f>
        <v>2435762.33</v>
      </c>
      <c r="R77" s="260">
        <f>IF(LEN($B77)=0,VLOOKUP($A77,Harmonogram!$A$1:$FA$162,COLUMN(Prehľad!I77)*12+12,FALSE),VLOOKUP(Prehľad!$B77,Harmonogram!$F$2:$EW$150,COLUMN(Prehľad!I77)*12+7,FALSE))</f>
        <v>57849355.420000002</v>
      </c>
      <c r="S77" s="260">
        <f>IF(LEN($B77)=0,VLOOKUP($A77,Harmonogram!$A$1:$FA$162,COLUMN(Prehľad!J77)*12+12,FALSE),VLOOKUP(Prehľad!$B77,Harmonogram!$F$2:$EW$150,COLUMN(Prehľad!J77)*12+7,FALSE))</f>
        <v>57849355.420000002</v>
      </c>
      <c r="T77" s="262">
        <f>IF(LEN($B77)=0,VLOOKUP($A77,Harmonogram!$A$1:$FA$162,COLUMN(Prehľad!K77)*12+12,FALSE),VLOOKUP(Prehľad!$B77,Harmonogram!$F$2:$EW$150,COLUMN(Prehľad!K77)*12+7,FALSE))</f>
        <v>115698710.84</v>
      </c>
      <c r="AF77" s="14"/>
      <c r="AG77" s="14"/>
    </row>
    <row r="78" spans="1:33" s="9" customFormat="1" ht="90" x14ac:dyDescent="0.25">
      <c r="A78" s="241"/>
      <c r="B78" s="203" t="s">
        <v>207</v>
      </c>
      <c r="C78" s="177" t="str">
        <f>IFERROR(IF(IF(ISBLANK($B78),VLOOKUP($A78,Harmonogram!$A$1:$FA$162,COLUMN(Prehľad!A78)+6,FALSE),VLOOKUP(Prehľad!$B78,Harmonogram!$F$2:$EW$150,COLUMN(Prehľad!A78)+1,FALSE))=0,"",IF(ISBLANK($B78),VLOOKUP($A78,Harmonogram!$A$1:$FA$162,COLUMN(Prehľad!A78)+6,FALSE),VLOOKUP(Prehľad!$B78,Harmonogram!$F$2:$EW$150,COLUMN(Prehľad!A78)+1,FALSE))),"")</f>
        <v xml:space="preserve">Revitalizácia trate </v>
      </c>
      <c r="D78" s="177" t="str">
        <f>IFERROR(IF(IF(ISBLANK($B78),VLOOKUP($A78,Harmonogram!$A$1:$FA$162,COLUMN(Prehľad!B78)+6,FALSE),VLOOKUP(Prehľad!$B78,Harmonogram!$F$2:$EW$150,COLUMN(Prehľad!B78)+1,FALSE))=0,"",IF(ISBLANK($B78),VLOOKUP($A78,Harmonogram!$A$1:$FA$162,COLUMN(Prehľad!B78)+6,FALSE),VLOOKUP(Prehľad!$B78,Harmonogram!$F$2:$EW$150,COLUMN(Prehľad!B78)+1,FALSE))),"")</f>
        <v>Úspora času cestujúcich, úspora času v preprave tovaru, bezpečná a plynulá žel. prevádzka prínosy z prevedenej dopravy - úspora nákladov na prevádzku a údržbu cestných motorových vozidiel a cestenej infraštruktúre, zníženie nehodovosti odstránením úrovňových križovaní ciest so železnicou, zníženie  hluku, emisie skleníkových plynov a zníženie znečistenie živ. prostredia</v>
      </c>
      <c r="E78" s="204" t="str">
        <f>IFERROR(IF(IF(ISBLANK($B78),VLOOKUP($A78,Harmonogram!$A$1:$FA$162,COLUMN(Prehľad!C78)+6,FALSE),VLOOKUP(Prehľad!$B78,Harmonogram!$F$2:$EW$150,COLUMN(Prehľad!C78)+1,FALSE))=0,"",IF(ISBLANK($B78),VLOOKUP($A78,Harmonogram!$A$1:$FA$162,COLUMN(Prehľad!C78)+6,FALSE),VLOOKUP(Prehľad!$B78,Harmonogram!$F$2:$EW$150,COLUMN(Prehľad!C78)+1,FALSE))),"")</f>
        <v>TEN-T core;
RFC 9 - hlavná trať
Dĺžka(180g)= 30,6km; osôb/deň= 10000; mil.hrtkm/rok=666,5</v>
      </c>
      <c r="F78" s="177">
        <f>IF(ISBLANK(B78),"",IFERROR(VLOOKUP(B78,Harmonogram!$F$3:$EO$97,140,FALSE),"er"))</f>
        <v>39.648000000000003</v>
      </c>
      <c r="G78" s="177" t="str">
        <f>IFERROR(IF(IF(ISBLANK($B78),VLOOKUP($A78,Harmonogram!$A$1:$FA$162,COLUMN(Prehľad!D78)+6,FALSE),VLOOKUP(Prehľad!$B78,Harmonogram!$F$2:$EW$150,COLUMN(Prehľad!D78)+1,FALSE))=0,"",IF(ISBLANK($B78),VLOOKUP($A78,Harmonogram!$A$1:$FA$162,COLUMN(Prehľad!D78)+6,FALSE),VLOOKUP(Prehľad!$B78,Harmonogram!$F$2:$EW$150,COLUMN(Prehľad!D78)+1,FALSE))),"")</f>
        <v>1b</v>
      </c>
      <c r="H78" s="250" t="str">
        <f>IFERROR(IF(IF(ISBLANK($B78),VLOOKUP($A78,Harmonogram!$A$1:$FA$162,COLUMN(Prehľad!A78)+11,FALSE),VLOOKUP(Prehľad!$B78,Harmonogram!$F$2:$EW$150,COLUMN(Prehľad!A78)+6,FALSE))=0,"",IF(ISBLANK($B78),VLOOKUP($A78,Harmonogram!$A$1:$FA$162,COLUMN(Prehľad!A78)+11,FALSE),VLOOKUP(Prehľad!$B78,Harmonogram!$F$2:$EW$150,COLUMN(Prehľad!A78)+6,FALSE))),"")</f>
        <v/>
      </c>
      <c r="I78" s="260">
        <f>IF(LEN($B78)=0,VLOOKUP($A78,Harmonogram!$A$1:$FA$162,COLUMN(Prehľad!B78)+11,FALSE),VLOOKUP(Prehľad!$B78,Harmonogram!$F$2:$EW$150,COLUMN(Prehľad!B78)+6,FALSE))</f>
        <v>113794702.98</v>
      </c>
      <c r="J78" s="261">
        <f>IF(LEN($B78)=0,VLOOKUP($A78,Harmonogram!$A$1:$FA$162,COLUMN(Prehľad!A78)*12+12,FALSE),VLOOKUP(Prehľad!$B78,Harmonogram!$F$2:$EW$150,COLUMN(Prehľad!A78)*12+7,FALSE))</f>
        <v>0</v>
      </c>
      <c r="K78" s="260">
        <f>IF(LEN($B78)=0,VLOOKUP($A78,Harmonogram!$A$1:$FA$162,COLUMN(Prehľad!B78)*12+12,FALSE),VLOOKUP(Prehľad!$B78,Harmonogram!$F$2:$EW$150,COLUMN(Prehľad!B78)*12+7,FALSE))</f>
        <v>0</v>
      </c>
      <c r="L78" s="260">
        <f>IF(LEN($B78)=0,VLOOKUP($A78,Harmonogram!$A$1:$FA$162,COLUMN(Prehľad!C78)*12+12,FALSE),VLOOKUP(Prehľad!$B78,Harmonogram!$F$2:$EW$150,COLUMN(Prehľad!C78)*12+7,FALSE))</f>
        <v>0</v>
      </c>
      <c r="M78" s="260">
        <f>IF(LEN($B78)=0,VLOOKUP($A78,Harmonogram!$A$1:$FA$162,COLUMN(Prehľad!D78)*12+12,FALSE),VLOOKUP(Prehľad!$B78,Harmonogram!$F$2:$EW$150,COLUMN(Prehľad!D78)*12+7,FALSE))</f>
        <v>1137947.03</v>
      </c>
      <c r="N78" s="260">
        <f>IF(LEN($B78)=0,VLOOKUP($A78,Harmonogram!$A$1:$FA$162,COLUMN(Prehľad!E78)*12+12,FALSE),VLOOKUP(Prehľad!$B78,Harmonogram!$F$2:$EW$150,COLUMN(Prehľad!E78)*12+7,FALSE))</f>
        <v>1137947.03</v>
      </c>
      <c r="O78" s="260">
        <f>IF(LEN($B78)=0,VLOOKUP($A78,Harmonogram!$A$1:$FA$162,COLUMN(Prehľad!F78)*12+12,FALSE),VLOOKUP(Prehľad!$B78,Harmonogram!$F$2:$EW$150,COLUMN(Prehľad!F78)*12+7,FALSE))</f>
        <v>1137947.03</v>
      </c>
      <c r="P78" s="260">
        <f>IF(LEN($B78)=0,VLOOKUP($A78,Harmonogram!$A$1:$FA$162,COLUMN(Prehľad!G78)*12+12,FALSE),VLOOKUP(Prehľad!$B78,Harmonogram!$F$2:$EW$150,COLUMN(Prehľad!G78)*12+7,FALSE))</f>
        <v>1137947.03</v>
      </c>
      <c r="Q78" s="260">
        <f>IF(LEN($B78)=0,VLOOKUP($A78,Harmonogram!$A$1:$FA$162,COLUMN(Prehľad!H78)*12+12,FALSE),VLOOKUP(Prehľad!$B78,Harmonogram!$F$2:$EW$150,COLUMN(Prehľad!H78)*12+7,FALSE))</f>
        <v>1137947.03</v>
      </c>
      <c r="R78" s="260">
        <f>IF(LEN($B78)=0,VLOOKUP($A78,Harmonogram!$A$1:$FA$162,COLUMN(Prehľad!I78)*12+12,FALSE),VLOOKUP(Prehľad!$B78,Harmonogram!$F$2:$EW$150,COLUMN(Prehľad!I78)*12+7,FALSE))</f>
        <v>27026241.960000001</v>
      </c>
      <c r="S78" s="260">
        <f>IF(LEN($B78)=0,VLOOKUP($A78,Harmonogram!$A$1:$FA$162,COLUMN(Prehľad!J78)*12+12,FALSE),VLOOKUP(Prehľad!$B78,Harmonogram!$F$2:$EW$150,COLUMN(Prehľad!J78)*12+7,FALSE))</f>
        <v>27026241.960000001</v>
      </c>
      <c r="T78" s="262">
        <f>IF(LEN($B78)=0,VLOOKUP($A78,Harmonogram!$A$1:$FA$162,COLUMN(Prehľad!K78)*12+12,FALSE),VLOOKUP(Prehľad!$B78,Harmonogram!$F$2:$EW$150,COLUMN(Prehľad!K78)*12+7,FALSE))</f>
        <v>54052483.920000002</v>
      </c>
      <c r="AF78" s="14"/>
      <c r="AG78" s="14"/>
    </row>
    <row r="79" spans="1:33" ht="45" x14ac:dyDescent="0.25">
      <c r="A79" s="241"/>
      <c r="B79" s="203" t="s">
        <v>117</v>
      </c>
      <c r="C79" s="177" t="str">
        <f>IFERROR(IF(IF(ISBLANK($B79),VLOOKUP($A79,Harmonogram!$A$1:$FA$162,COLUMN(Prehľad!A79)+6,FALSE),VLOOKUP(Prehľad!$B79,Harmonogram!$F$2:$EW$150,COLUMN(Prehľad!A79)+1,FALSE))=0,"",IF(ISBLANK($B79),VLOOKUP($A79,Harmonogram!$A$1:$FA$162,COLUMN(Prehľad!A79)+6,FALSE),VLOOKUP(Prehľad!$B79,Harmonogram!$F$2:$EW$150,COLUMN(Prehľad!A79)+1,FALSE))),"")</f>
        <v>Revitalizácia trate</v>
      </c>
      <c r="D79" s="177" t="str">
        <f>IFERROR(IF(IF(ISBLANK($B79),VLOOKUP($A79,Harmonogram!$A$1:$FA$162,COLUMN(Prehľad!B79)+6,FALSE),VLOOKUP(Prehľad!$B79,Harmonogram!$F$2:$EW$150,COLUMN(Prehľad!B79)+1,FALSE))=0,"",IF(ISBLANK($B79),VLOOKUP($A79,Harmonogram!$A$1:$FA$162,COLUMN(Prehľad!B79)+6,FALSE),VLOOKUP(Prehľad!$B79,Harmonogram!$F$2:$EW$150,COLUMN(Prehľad!B79)+1,FALSE))),"")</f>
        <v>Zvýšenie bezpečnosti a plynulosti železničnej dopravy, skrátenie jazdnej doby vlakov a úspora prevádzkových nákladov.</v>
      </c>
      <c r="E79" s="204" t="str">
        <f>IFERROR(IF(IF(ISBLANK($B79),VLOOKUP($A79,Harmonogram!$A$1:$FA$162,COLUMN(Prehľad!C79)+6,FALSE),VLOOKUP(Prehľad!$B79,Harmonogram!$F$2:$EW$150,COLUMN(Prehľad!C79)+1,FALSE))=0,"",IF(ISBLANK($B79),VLOOKUP($A79,Harmonogram!$A$1:$FA$162,COLUMN(Prehľad!C79)+6,FALSE),VLOOKUP(Prehľad!$B79,Harmonogram!$F$2:$EW$150,COLUMN(Prehľad!C79)+1,FALSE))),"")</f>
        <v>TEN-T comprehensive;
Dĺžka(150a)= 7,3km; osôb/deň= 5200; mil.hrtkm/rok=18,4</v>
      </c>
      <c r="F79" s="177">
        <f>IF(ISBLANK(B79),"",IFERROR(VLOOKUP(B79,Harmonogram!$F$3:$EO$97,140,FALSE),"er"))</f>
        <v>6.5519999999999996</v>
      </c>
      <c r="G79" s="177" t="str">
        <f>IFERROR(IF(IF(ISBLANK($B79),VLOOKUP($A79,Harmonogram!$A$1:$FA$162,COLUMN(Prehľad!D79)+6,FALSE),VLOOKUP(Prehľad!$B79,Harmonogram!$F$2:$EW$150,COLUMN(Prehľad!D79)+1,FALSE))=0,"",IF(ISBLANK($B79),VLOOKUP($A79,Harmonogram!$A$1:$FA$162,COLUMN(Prehľad!D79)+6,FALSE),VLOOKUP(Prehľad!$B79,Harmonogram!$F$2:$EW$150,COLUMN(Prehľad!D79)+1,FALSE))),"")</f>
        <v>1b</v>
      </c>
      <c r="H79" s="250" t="str">
        <f>IFERROR(IF(IF(ISBLANK($B79),VLOOKUP($A79,Harmonogram!$A$1:$FA$162,COLUMN(Prehľad!A79)+11,FALSE),VLOOKUP(Prehľad!$B79,Harmonogram!$F$2:$EW$150,COLUMN(Prehľad!A79)+6,FALSE))=0,"",IF(ISBLANK($B79),VLOOKUP($A79,Harmonogram!$A$1:$FA$162,COLUMN(Prehľad!A79)+11,FALSE),VLOOKUP(Prehľad!$B79,Harmonogram!$F$2:$EW$150,COLUMN(Prehľad!A79)+6,FALSE))),"")</f>
        <v/>
      </c>
      <c r="I79" s="260">
        <f>IF(LEN($B79)=0,VLOOKUP($A79,Harmonogram!$A$1:$FA$162,COLUMN(Prehľad!B79)+11,FALSE),VLOOKUP(Prehľad!$B79,Harmonogram!$F$2:$EW$150,COLUMN(Prehľad!B79)+6,FALSE))</f>
        <v>11396182.970000001</v>
      </c>
      <c r="J79" s="261">
        <f>IF(LEN($B79)=0,VLOOKUP($A79,Harmonogram!$A$1:$FA$162,COLUMN(Prehľad!A79)*12+12,FALSE),VLOOKUP(Prehľad!$B79,Harmonogram!$F$2:$EW$150,COLUMN(Prehľad!A79)*12+7,FALSE))</f>
        <v>0</v>
      </c>
      <c r="K79" s="260">
        <f>IF(LEN($B79)=0,VLOOKUP($A79,Harmonogram!$A$1:$FA$162,COLUMN(Prehľad!B79)*12+12,FALSE),VLOOKUP(Prehľad!$B79,Harmonogram!$F$2:$EW$150,COLUMN(Prehľad!B79)*12+7,FALSE))</f>
        <v>0</v>
      </c>
      <c r="L79" s="260">
        <f>IF(LEN($B79)=0,VLOOKUP($A79,Harmonogram!$A$1:$FA$162,COLUMN(Prehľad!C79)*12+12,FALSE),VLOOKUP(Prehľad!$B79,Harmonogram!$F$2:$EW$150,COLUMN(Prehľad!C79)*12+7,FALSE))</f>
        <v>0</v>
      </c>
      <c r="M79" s="260">
        <f>IF(LEN($B79)=0,VLOOKUP($A79,Harmonogram!$A$1:$FA$162,COLUMN(Prehľad!D79)*12+12,FALSE),VLOOKUP(Prehľad!$B79,Harmonogram!$F$2:$EW$150,COLUMN(Prehľad!D79)*12+7,FALSE))</f>
        <v>113961.83</v>
      </c>
      <c r="N79" s="260">
        <f>IF(LEN($B79)=0,VLOOKUP($A79,Harmonogram!$A$1:$FA$162,COLUMN(Prehľad!E79)*12+12,FALSE),VLOOKUP(Prehľad!$B79,Harmonogram!$F$2:$EW$150,COLUMN(Prehľad!E79)*12+7,FALSE))</f>
        <v>113961.83</v>
      </c>
      <c r="O79" s="260">
        <f>IF(LEN($B79)=0,VLOOKUP($A79,Harmonogram!$A$1:$FA$162,COLUMN(Prehľad!F79)*12+12,FALSE),VLOOKUP(Prehľad!$B79,Harmonogram!$F$2:$EW$150,COLUMN(Prehľad!F79)*12+7,FALSE))</f>
        <v>113961.83</v>
      </c>
      <c r="P79" s="260">
        <f>IF(LEN($B79)=0,VLOOKUP($A79,Harmonogram!$A$1:$FA$162,COLUMN(Prehľad!G79)*12+12,FALSE),VLOOKUP(Prehľad!$B79,Harmonogram!$F$2:$EW$150,COLUMN(Prehľad!G79)*12+7,FALSE))</f>
        <v>113961.83</v>
      </c>
      <c r="Q79" s="260">
        <f>IF(LEN($B79)=0,VLOOKUP($A79,Harmonogram!$A$1:$FA$162,COLUMN(Prehľad!H79)*12+12,FALSE),VLOOKUP(Prehľad!$B79,Harmonogram!$F$2:$EW$150,COLUMN(Prehľad!H79)*12+7,FALSE))</f>
        <v>113961.83</v>
      </c>
      <c r="R79" s="260">
        <f>IF(LEN($B79)=0,VLOOKUP($A79,Harmonogram!$A$1:$FA$162,COLUMN(Prehľad!I79)*12+12,FALSE),VLOOKUP(Prehľad!$B79,Harmonogram!$F$2:$EW$150,COLUMN(Prehľad!I79)*12+7,FALSE))</f>
        <v>3608791.27</v>
      </c>
      <c r="S79" s="260">
        <f>IF(LEN($B79)=0,VLOOKUP($A79,Harmonogram!$A$1:$FA$162,COLUMN(Prehľad!J79)*12+12,FALSE),VLOOKUP(Prehľad!$B79,Harmonogram!$F$2:$EW$150,COLUMN(Prehľad!J79)*12+7,FALSE))</f>
        <v>3608791.27</v>
      </c>
      <c r="T79" s="262">
        <f>IF(LEN($B79)=0,VLOOKUP($A79,Harmonogram!$A$1:$FA$162,COLUMN(Prehľad!K79)*12+12,FALSE),VLOOKUP(Prehľad!$B79,Harmonogram!$F$2:$EW$150,COLUMN(Prehľad!K79)*12+7,FALSE))</f>
        <v>3608791.27</v>
      </c>
    </row>
    <row r="80" spans="1:33" ht="60" x14ac:dyDescent="0.25">
      <c r="A80" s="245"/>
      <c r="B80" s="203" t="s">
        <v>199</v>
      </c>
      <c r="C80" s="177" t="str">
        <f>IFERROR(IF(IF(ISBLANK($B80),VLOOKUP($A80,Harmonogram!$A$1:$FA$162,COLUMN(Prehľad!A80)+6,FALSE),VLOOKUP(Prehľad!$B80,Harmonogram!$F$2:$EW$150,COLUMN(Prehľad!A80)+1,FALSE))=0,"",IF(ISBLANK($B80),VLOOKUP($A80,Harmonogram!$A$1:$FA$162,COLUMN(Prehľad!A80)+6,FALSE),VLOOKUP(Prehľad!$B80,Harmonogram!$F$2:$EW$150,COLUMN(Prehľad!A80)+1,FALSE))),"")</f>
        <v>Revitalizácia trate</v>
      </c>
      <c r="D80" s="177" t="str">
        <f>IFERROR(IF(IF(ISBLANK($B80),VLOOKUP($A80,Harmonogram!$A$1:$FA$162,COLUMN(Prehľad!B80)+6,FALSE),VLOOKUP(Prehľad!$B80,Harmonogram!$F$2:$EW$150,COLUMN(Prehľad!B80)+1,FALSE))=0,"",IF(ISBLANK($B80),VLOOKUP($A80,Harmonogram!$A$1:$FA$162,COLUMN(Prehľad!B80)+6,FALSE),VLOOKUP(Prehľad!$B80,Harmonogram!$F$2:$EW$150,COLUMN(Prehľad!B80)+1,FALSE))),"")</f>
        <v>Zvýšenie bezpečnosti a plynulosti železničnej dopravy, skrátenie jazdnej doby vlakov a úspora prevádzkových nákladov.</v>
      </c>
      <c r="E80" s="204" t="str">
        <f>IFERROR(IF(IF(ISBLANK($B80),VLOOKUP($A80,Harmonogram!$A$1:$FA$162,COLUMN(Prehľad!C80)+6,FALSE),VLOOKUP(Prehľad!$B80,Harmonogram!$F$2:$EW$150,COLUMN(Prehľad!C80)+1,FALSE))=0,"",IF(ISBLANK($B80),VLOOKUP($A80,Harmonogram!$A$1:$FA$162,COLUMN(Prehľad!C80)+6,FALSE),VLOOKUP(Prehľad!$B80,Harmonogram!$F$2:$EW$150,COLUMN(Prehľad!C80)+1,FALSE))),"")</f>
        <v>TEN-T core;
RFC 9 - hlavná trať
Dĺžka(180c)= 18km; osôb/deň= 9000; mil.hrtkm/rok=354</v>
      </c>
      <c r="F80" s="177">
        <f>IF(ISBLANK(B80),"",IFERROR(VLOOKUP(B80,Harmonogram!$F$3:$EO$97,140,FALSE),"er"))</f>
        <v>11.048</v>
      </c>
      <c r="G80" s="177" t="str">
        <f>IFERROR(IF(IF(ISBLANK($B80),VLOOKUP($A80,Harmonogram!$A$1:$FA$162,COLUMN(Prehľad!D80)+6,FALSE),VLOOKUP(Prehľad!$B80,Harmonogram!$F$2:$EW$150,COLUMN(Prehľad!D80)+1,FALSE))=0,"",IF(ISBLANK($B80),VLOOKUP($A80,Harmonogram!$A$1:$FA$162,COLUMN(Prehľad!D80)+6,FALSE),VLOOKUP(Prehľad!$B80,Harmonogram!$F$2:$EW$150,COLUMN(Prehľad!D80)+1,FALSE))),"")</f>
        <v>1b</v>
      </c>
      <c r="H80" s="250" t="str">
        <f>IFERROR(IF(IF(ISBLANK($B80),VLOOKUP($A80,Harmonogram!$A$1:$FA$162,COLUMN(Prehľad!A80)+11,FALSE),VLOOKUP(Prehľad!$B80,Harmonogram!$F$2:$EW$150,COLUMN(Prehľad!A80)+6,FALSE))=0,"",IF(ISBLANK($B80),VLOOKUP($A80,Harmonogram!$A$1:$FA$162,COLUMN(Prehľad!A80)+11,FALSE),VLOOKUP(Prehľad!$B80,Harmonogram!$F$2:$EW$150,COLUMN(Prehľad!A80)+6,FALSE))),"")</f>
        <v/>
      </c>
      <c r="I80" s="260">
        <f>IF(LEN($B80)=0,VLOOKUP($A80,Harmonogram!$A$1:$FA$162,COLUMN(Prehľad!B80)+11,FALSE),VLOOKUP(Prehľad!$B80,Harmonogram!$F$2:$EW$150,COLUMN(Prehľad!B80)+6,FALSE))</f>
        <v>76274016.751805305</v>
      </c>
      <c r="J80" s="261">
        <f>IF(LEN($B80)=0,VLOOKUP($A80,Harmonogram!$A$1:$FA$162,COLUMN(Prehľad!A80)*12+12,FALSE),VLOOKUP(Prehľad!$B80,Harmonogram!$F$2:$EW$150,COLUMN(Prehľad!A80)*12+7,FALSE))</f>
        <v>0</v>
      </c>
      <c r="K80" s="260">
        <f>IF(LEN($B80)=0,VLOOKUP($A80,Harmonogram!$A$1:$FA$162,COLUMN(Prehľad!B80)*12+12,FALSE),VLOOKUP(Prehľad!$B80,Harmonogram!$F$2:$EW$150,COLUMN(Prehľad!B80)*12+7,FALSE))</f>
        <v>0</v>
      </c>
      <c r="L80" s="260">
        <f>IF(LEN($B80)=0,VLOOKUP($A80,Harmonogram!$A$1:$FA$162,COLUMN(Prehľad!C80)*12+12,FALSE),VLOOKUP(Prehľad!$B80,Harmonogram!$F$2:$EW$150,COLUMN(Prehľad!C80)*12+7,FALSE))</f>
        <v>0</v>
      </c>
      <c r="M80" s="260">
        <f>IF(LEN($B80)=0,VLOOKUP($A80,Harmonogram!$A$1:$FA$162,COLUMN(Prehľad!D80)*12+12,FALSE),VLOOKUP(Prehľad!$B80,Harmonogram!$F$2:$EW$150,COLUMN(Prehľad!D80)*12+7,FALSE))</f>
        <v>0</v>
      </c>
      <c r="N80" s="260">
        <f>IF(LEN($B80)=0,VLOOKUP($A80,Harmonogram!$A$1:$FA$162,COLUMN(Prehľad!E80)*12+12,FALSE),VLOOKUP(Prehľad!$B80,Harmonogram!$F$2:$EW$150,COLUMN(Prehľad!E80)*12+7,FALSE))</f>
        <v>762740.17</v>
      </c>
      <c r="O80" s="260">
        <f>IF(LEN($B80)=0,VLOOKUP($A80,Harmonogram!$A$1:$FA$162,COLUMN(Prehľad!F80)*12+12,FALSE),VLOOKUP(Prehľad!$B80,Harmonogram!$F$2:$EW$150,COLUMN(Prehľad!F80)*12+7,FALSE))</f>
        <v>762740.17</v>
      </c>
      <c r="P80" s="260">
        <f>IF(LEN($B80)=0,VLOOKUP($A80,Harmonogram!$A$1:$FA$162,COLUMN(Prehľad!G80)*12+12,FALSE),VLOOKUP(Prehľad!$B80,Harmonogram!$F$2:$EW$150,COLUMN(Prehľad!G80)*12+7,FALSE))</f>
        <v>762740.17</v>
      </c>
      <c r="Q80" s="260">
        <f>IF(LEN($B80)=0,VLOOKUP($A80,Harmonogram!$A$1:$FA$162,COLUMN(Prehľad!H80)*12+12,FALSE),VLOOKUP(Prehľad!$B80,Harmonogram!$F$2:$EW$150,COLUMN(Prehľad!H80)*12+7,FALSE))</f>
        <v>762740.17</v>
      </c>
      <c r="R80" s="260">
        <f>IF(LEN($B80)=0,VLOOKUP($A80,Harmonogram!$A$1:$FA$162,COLUMN(Prehľad!I80)*12+12,FALSE),VLOOKUP(Prehľad!$B80,Harmonogram!$F$2:$EW$150,COLUMN(Prehľad!I80)*12+7,FALSE))</f>
        <v>762740.17</v>
      </c>
      <c r="S80" s="260">
        <f>IF(LEN($B80)=0,VLOOKUP($A80,Harmonogram!$A$1:$FA$162,COLUMN(Prehľad!J80)*12+12,FALSE),VLOOKUP(Prehľad!$B80,Harmonogram!$F$2:$EW$150,COLUMN(Prehľad!J80)*12+7,FALSE))</f>
        <v>24153438.640000001</v>
      </c>
      <c r="T80" s="262">
        <f>IF(LEN($B80)=0,VLOOKUP($A80,Harmonogram!$A$1:$FA$162,COLUMN(Prehľad!K80)*12+12,FALSE),VLOOKUP(Prehľad!$B80,Harmonogram!$F$2:$EW$150,COLUMN(Prehľad!K80)*12+7,FALSE))</f>
        <v>48306877.280000001</v>
      </c>
    </row>
    <row r="81" spans="1:33" ht="45.75" thickBot="1" x14ac:dyDescent="0.3">
      <c r="A81" s="245"/>
      <c r="B81" s="203" t="s">
        <v>119</v>
      </c>
      <c r="C81" s="177" t="str">
        <f>IFERROR(IF(IF(ISBLANK($B81),VLOOKUP($A81,Harmonogram!$A$1:$FA$162,COLUMN(Prehľad!A81)+6,FALSE),VLOOKUP(Prehľad!$B81,Harmonogram!$F$2:$EW$150,COLUMN(Prehľad!A81)+1,FALSE))=0,"",IF(ISBLANK($B81),VLOOKUP($A81,Harmonogram!$A$1:$FA$162,COLUMN(Prehľad!A81)+6,FALSE),VLOOKUP(Prehľad!$B81,Harmonogram!$F$2:$EW$150,COLUMN(Prehľad!A81)+1,FALSE))),"")</f>
        <v>Revitalizácia trate</v>
      </c>
      <c r="D81" s="177" t="str">
        <f>IFERROR(IF(IF(ISBLANK($B81),VLOOKUP($A81,Harmonogram!$A$1:$FA$162,COLUMN(Prehľad!B81)+6,FALSE),VLOOKUP(Prehľad!$B81,Harmonogram!$F$2:$EW$150,COLUMN(Prehľad!B81)+1,FALSE))=0,"",IF(ISBLANK($B81),VLOOKUP($A81,Harmonogram!$A$1:$FA$162,COLUMN(Prehľad!B81)+6,FALSE),VLOOKUP(Prehľad!$B81,Harmonogram!$F$2:$EW$150,COLUMN(Prehľad!B81)+1,FALSE))),"")</f>
        <v>Zvýšenie bezpečnosti a plynulosti železničnej dopravy, skrátenie jazdnej doby vlakov a úspora prevádzkových nákladov.</v>
      </c>
      <c r="E81" s="204" t="str">
        <f>IFERROR(IF(IF(ISBLANK($B81),VLOOKUP($A81,Harmonogram!$A$1:$FA$162,COLUMN(Prehľad!C81)+6,FALSE),VLOOKUP(Prehľad!$B81,Harmonogram!$F$2:$EW$150,COLUMN(Prehľad!C81)+1,FALSE))=0,"",IF(ISBLANK($B81),VLOOKUP($A81,Harmonogram!$A$1:$FA$162,COLUMN(Prehľad!C81)+6,FALSE),VLOOKUP(Prehľad!$B81,Harmonogram!$F$2:$EW$150,COLUMN(Prehľad!C81)+1,FALSE))),"")</f>
        <v>TEN-T comprehensive;
Dĺžka(150b)= 41,2km; osôb/deň= 4000; mil.hrtkm/rok=145,9</v>
      </c>
      <c r="F81" s="177">
        <f>IF(ISBLANK(B81),"",IFERROR(VLOOKUP(B81,Harmonogram!$F$3:$EO$97,140,FALSE),"er"))</f>
        <v>40.509</v>
      </c>
      <c r="G81" s="177" t="str">
        <f>IFERROR(IF(IF(ISBLANK($B81),VLOOKUP($A81,Harmonogram!$A$1:$FA$162,COLUMN(Prehľad!D81)+6,FALSE),VLOOKUP(Prehľad!$B81,Harmonogram!$F$2:$EW$150,COLUMN(Prehľad!D81)+1,FALSE))=0,"",IF(ISBLANK($B81),VLOOKUP($A81,Harmonogram!$A$1:$FA$162,COLUMN(Prehľad!D81)+6,FALSE),VLOOKUP(Prehľad!$B81,Harmonogram!$F$2:$EW$150,COLUMN(Prehľad!D81)+1,FALSE))),"")</f>
        <v>1b</v>
      </c>
      <c r="H81" s="250" t="str">
        <f>IFERROR(IF(IF(ISBLANK($B81),VLOOKUP($A81,Harmonogram!$A$1:$FA$162,COLUMN(Prehľad!A81)+11,FALSE),VLOOKUP(Prehľad!$B81,Harmonogram!$F$2:$EW$150,COLUMN(Prehľad!A81)+6,FALSE))=0,"",IF(ISBLANK($B81),VLOOKUP($A81,Harmonogram!$A$1:$FA$162,COLUMN(Prehľad!A81)+11,FALSE),VLOOKUP(Prehľad!$B81,Harmonogram!$F$2:$EW$150,COLUMN(Prehľad!A81)+6,FALSE))),"")</f>
        <v/>
      </c>
      <c r="I81" s="260">
        <f>IF(LEN($B81)=0,VLOOKUP($A81,Harmonogram!$A$1:$FA$162,COLUMN(Prehľad!B81)+11,FALSE),VLOOKUP(Prehľad!$B81,Harmonogram!$F$2:$EW$150,COLUMN(Prehľad!B81)+6,FALSE))</f>
        <v>86822610.409999996</v>
      </c>
      <c r="J81" s="261">
        <f>IF(LEN($B81)=0,VLOOKUP($A81,Harmonogram!$A$1:$FA$162,COLUMN(Prehľad!A81)*12+12,FALSE),VLOOKUP(Prehľad!$B81,Harmonogram!$F$2:$EW$150,COLUMN(Prehľad!A81)*12+7,FALSE))</f>
        <v>0</v>
      </c>
      <c r="K81" s="260">
        <f>IF(LEN($B81)=0,VLOOKUP($A81,Harmonogram!$A$1:$FA$162,COLUMN(Prehľad!B81)*12+12,FALSE),VLOOKUP(Prehľad!$B81,Harmonogram!$F$2:$EW$150,COLUMN(Prehľad!B81)*12+7,FALSE))</f>
        <v>0</v>
      </c>
      <c r="L81" s="260">
        <f>IF(LEN($B81)=0,VLOOKUP($A81,Harmonogram!$A$1:$FA$162,COLUMN(Prehľad!C81)*12+12,FALSE),VLOOKUP(Prehľad!$B81,Harmonogram!$F$2:$EW$150,COLUMN(Prehľad!C81)*12+7,FALSE))</f>
        <v>0</v>
      </c>
      <c r="M81" s="260">
        <f>IF(LEN($B81)=0,VLOOKUP($A81,Harmonogram!$A$1:$FA$162,COLUMN(Prehľad!D81)*12+12,FALSE),VLOOKUP(Prehľad!$B81,Harmonogram!$F$2:$EW$150,COLUMN(Prehľad!D81)*12+7,FALSE))</f>
        <v>0</v>
      </c>
      <c r="N81" s="260">
        <f>IF(LEN($B81)=0,VLOOKUP($A81,Harmonogram!$A$1:$FA$162,COLUMN(Prehľad!E81)*12+12,FALSE),VLOOKUP(Prehľad!$B81,Harmonogram!$F$2:$EW$150,COLUMN(Prehľad!E81)*12+7,FALSE))</f>
        <v>868226.1</v>
      </c>
      <c r="O81" s="260">
        <f>IF(LEN($B81)=0,VLOOKUP($A81,Harmonogram!$A$1:$FA$162,COLUMN(Prehľad!F81)*12+12,FALSE),VLOOKUP(Prehľad!$B81,Harmonogram!$F$2:$EW$150,COLUMN(Prehľad!F81)*12+7,FALSE))</f>
        <v>868226.1</v>
      </c>
      <c r="P81" s="260">
        <f>IF(LEN($B81)=0,VLOOKUP($A81,Harmonogram!$A$1:$FA$162,COLUMN(Prehľad!G81)*12+12,FALSE),VLOOKUP(Prehľad!$B81,Harmonogram!$F$2:$EW$150,COLUMN(Prehľad!G81)*12+7,FALSE))</f>
        <v>868226.1</v>
      </c>
      <c r="Q81" s="260">
        <f>IF(LEN($B81)=0,VLOOKUP($A81,Harmonogram!$A$1:$FA$162,COLUMN(Prehľad!H81)*12+12,FALSE),VLOOKUP(Prehľad!$B81,Harmonogram!$F$2:$EW$150,COLUMN(Prehľad!H81)*12+7,FALSE))</f>
        <v>868226.1</v>
      </c>
      <c r="R81" s="260">
        <f>IF(LEN($B81)=0,VLOOKUP($A81,Harmonogram!$A$1:$FA$162,COLUMN(Prehľad!I81)*12+12,FALSE),VLOOKUP(Prehľad!$B81,Harmonogram!$F$2:$EW$150,COLUMN(Prehľad!I81)*12+7,FALSE))</f>
        <v>868226.1</v>
      </c>
      <c r="S81" s="260">
        <f>IF(LEN($B81)=0,VLOOKUP($A81,Harmonogram!$A$1:$FA$162,COLUMN(Prehľad!J81)*12+12,FALSE),VLOOKUP(Prehľad!$B81,Harmonogram!$F$2:$EW$150,COLUMN(Prehľad!J81)*12+7,FALSE))</f>
        <v>27493826.629999999</v>
      </c>
      <c r="T81" s="262">
        <f>IF(LEN($B81)=0,VLOOKUP($A81,Harmonogram!$A$1:$FA$162,COLUMN(Prehľad!K81)*12+12,FALSE),VLOOKUP(Prehľad!$B81,Harmonogram!$F$2:$EW$150,COLUMN(Prehľad!K81)*12+7,FALSE))</f>
        <v>54987653.259999998</v>
      </c>
      <c r="U81" s="91"/>
      <c r="V81" s="91"/>
    </row>
    <row r="82" spans="1:33" s="5" customFormat="1" ht="15.75" thickBot="1" x14ac:dyDescent="0.3">
      <c r="A82" s="246" t="s">
        <v>1304</v>
      </c>
      <c r="B82" s="222"/>
      <c r="C82" s="223"/>
      <c r="D82" s="223"/>
      <c r="E82" s="224"/>
      <c r="F82" s="254" t="str">
        <f>IF(ISBLANK(B82),"",IFERROR(VLOOKUP(B82,Harmonogram!$F$3:$EO$97,140,FALSE),"er"))</f>
        <v/>
      </c>
      <c r="G82" s="177" t="str">
        <f>IFERROR(IF(IF(ISBLANK($B82),VLOOKUP($A82,Harmonogram!$A$1:$FA$162,COLUMN(Prehľad!D82)+6,FALSE),VLOOKUP(Prehľad!$B82,Harmonogram!$F$2:$EW$150,COLUMN(Prehľad!D82)+1,FALSE))=0,"",IF(ISBLANK($B82),VLOOKUP($A82,Harmonogram!$A$1:$FA$162,COLUMN(Prehľad!D82)+6,FALSE),VLOOKUP(Prehľad!$B82,Harmonogram!$F$2:$EW$150,COLUMN(Prehľad!D82)+1,FALSE))),"")</f>
        <v/>
      </c>
      <c r="H82" s="250" t="str">
        <f>IFERROR(IF(IF(ISBLANK($B82),VLOOKUP($A82,Harmonogram!$A$1:$FA$162,COLUMN(Prehľad!A82)+11,FALSE),VLOOKUP(Prehľad!$B82,Harmonogram!$F$2:$EW$150,COLUMN(Prehľad!A82)+6,FALSE))=0,"",IF(ISBLANK($B82),VLOOKUP($A82,Harmonogram!$A$1:$FA$162,COLUMN(Prehľad!A82)+11,FALSE),VLOOKUP(Prehľad!$B82,Harmonogram!$F$2:$EW$150,COLUMN(Prehľad!A82)+6,FALSE))),"")</f>
        <v/>
      </c>
      <c r="I82" s="260">
        <f>IF(LEN($B82)=0,VLOOKUP($A82,Harmonogram!$A$1:$FA$162,COLUMN(Prehľad!B82)+11,FALSE),VLOOKUP(Prehľad!$B82,Harmonogram!$F$2:$EW$150,COLUMN(Prehľad!B82)+6,FALSE))</f>
        <v>1779126908.2333019</v>
      </c>
      <c r="J82" s="261">
        <f>IF(LEN($B82)=0,VLOOKUP($A82,Harmonogram!$A$1:$FA$162,COLUMN(Prehľad!A82)*12+12,FALSE),VLOOKUP(Prehľad!$B82,Harmonogram!$F$2:$EW$150,COLUMN(Prehľad!A82)*12+7,FALSE))</f>
        <v>0</v>
      </c>
      <c r="K82" s="260">
        <f>IF(LEN($B82)=0,VLOOKUP($A82,Harmonogram!$A$1:$FA$162,COLUMN(Prehľad!B82)*12+12,FALSE),VLOOKUP(Prehľad!$B82,Harmonogram!$F$2:$EW$150,COLUMN(Prehľad!B82)*12+7,FALSE))</f>
        <v>0</v>
      </c>
      <c r="L82" s="260">
        <f>IF(LEN($B82)=0,VLOOKUP($A82,Harmonogram!$A$1:$FA$162,COLUMN(Prehľad!C82)*12+12,FALSE),VLOOKUP(Prehľad!$B82,Harmonogram!$F$2:$EW$150,COLUMN(Prehľad!C82)*12+7,FALSE))</f>
        <v>6547830.8336729407</v>
      </c>
      <c r="M82" s="260">
        <f>IF(LEN($B82)=0,VLOOKUP($A82,Harmonogram!$A$1:$FA$162,COLUMN(Prehľad!D82)*12+12,FALSE),VLOOKUP(Prehľad!$B82,Harmonogram!$F$2:$EW$150,COLUMN(Prehľad!D82)*12+7,FALSE))</f>
        <v>16097501.350977367</v>
      </c>
      <c r="N82" s="260">
        <f>IF(LEN($B82)=0,VLOOKUP($A82,Harmonogram!$A$1:$FA$162,COLUMN(Prehľad!E82)*12+12,FALSE),VLOOKUP(Prehľad!$B82,Harmonogram!$F$2:$EW$150,COLUMN(Prehľad!E82)*12+7,FALSE))</f>
        <v>20084467.620977372</v>
      </c>
      <c r="O82" s="260">
        <f>IF(LEN($B82)=0,VLOOKUP($A82,Harmonogram!$A$1:$FA$162,COLUMN(Prehľad!F82)*12+12,FALSE),VLOOKUP(Prehľad!$B82,Harmonogram!$F$2:$EW$150,COLUMN(Prehľad!F82)*12+7,FALSE))</f>
        <v>45427801.620977364</v>
      </c>
      <c r="P82" s="260">
        <f>IF(LEN($B82)=0,VLOOKUP($A82,Harmonogram!$A$1:$FA$162,COLUMN(Prehľad!G82)*12+12,FALSE),VLOOKUP(Prehľad!$B82,Harmonogram!$F$2:$EW$150,COLUMN(Prehľad!G82)*12+7,FALSE))</f>
        <v>98257551.46097739</v>
      </c>
      <c r="Q82" s="260">
        <f>IF(LEN($B82)=0,VLOOKUP($A82,Harmonogram!$A$1:$FA$162,COLUMN(Prehľad!H82)*12+12,FALSE),VLOOKUP(Prehľad!$B82,Harmonogram!$F$2:$EW$150,COLUMN(Prehľad!H82)*12+7,FALSE))</f>
        <v>310654976.49641967</v>
      </c>
      <c r="R82" s="260">
        <f>IF(LEN($B82)=0,VLOOKUP($A82,Harmonogram!$A$1:$FA$162,COLUMN(Prehľad!I82)*12+12,FALSE),VLOOKUP(Prehľad!$B82,Harmonogram!$F$2:$EW$150,COLUMN(Prehľad!I82)*12+7,FALSE))</f>
        <v>418329211.61478609</v>
      </c>
      <c r="S82" s="260">
        <f>IF(LEN($B82)=0,VLOOKUP($A82,Harmonogram!$A$1:$FA$162,COLUMN(Prehľad!J82)*12+12,FALSE),VLOOKUP(Prehľad!$B82,Harmonogram!$F$2:$EW$150,COLUMN(Prehľad!J82)*12+7,FALSE))</f>
        <v>422921229.61478603</v>
      </c>
      <c r="T82" s="262">
        <f>IF(LEN($B82)=0,VLOOKUP($A82,Harmonogram!$A$1:$FA$162,COLUMN(Prehľad!K82)*12+12,FALSE),VLOOKUP(Prehľad!$B82,Harmonogram!$F$2:$EW$150,COLUMN(Prehľad!K82)*12+7,FALSE))</f>
        <v>440806337.63048708</v>
      </c>
      <c r="U82" s="91"/>
      <c r="V82" s="91"/>
      <c r="AF82" s="14"/>
      <c r="AG82" s="14"/>
    </row>
    <row r="83" spans="1:33" s="5" customFormat="1" ht="120" x14ac:dyDescent="0.25">
      <c r="A83" s="201" t="s">
        <v>1301</v>
      </c>
      <c r="B83" s="201" t="s">
        <v>81</v>
      </c>
      <c r="C83" s="177" t="str">
        <f>IFERROR(IF(IF(ISBLANK($B83),VLOOKUP($A83,Harmonogram!$A$1:$FA$162,COLUMN(Prehľad!A83)+6,FALSE),VLOOKUP(Prehľad!$B83,Harmonogram!$F$2:$EW$150,COLUMN(Prehľad!A83)+1,FALSE))=0,"",IF(ISBLANK($B83),VLOOKUP($A83,Harmonogram!$A$1:$FA$162,COLUMN(Prehľad!A83)+6,FALSE),VLOOKUP(Prehľad!$B83,Harmonogram!$F$2:$EW$150,COLUMN(Prehľad!A83)+1,FALSE))),"")</f>
        <v>Vybudovanie dispečerského riadenia trate vrátane modernizácie SZZ, TZZ, PZZ a vybavenia systémom ETCS</v>
      </c>
      <c r="D83" s="177" t="str">
        <f>IFERROR(IF(IF(ISBLANK($B83),VLOOKUP($A83,Harmonogram!$A$1:$FA$162,COLUMN(Prehľad!B83)+6,FALSE),VLOOKUP(Prehľad!$B83,Harmonogram!$F$2:$EW$150,COLUMN(Prehľad!B83)+1,FALSE))=0,"",IF(ISBLANK($B83),VLOOKUP($A83,Harmonogram!$A$1:$FA$162,COLUMN(Prehľad!B83)+6,FALSE),VLOOKUP(Prehľad!$B83,Harmonogram!$F$2:$EW$150,COLUMN(Prehľad!B83)+1,FALSE))),"")</f>
        <v>Zvýšenie bezpečnosti a plynulosti železničnej dopravy, skrátenie jazdnej doby vlakov a úspora prevádzkových nákladov. Naplnenie požiadaviek legislatívy EÚ.</v>
      </c>
      <c r="E83" s="204" t="str">
        <f>IFERROR(IF(IF(ISBLANK($B83),VLOOKUP($A83,Harmonogram!$A$1:$FA$162,COLUMN(Prehľad!C83)+6,FALSE),VLOOKUP(Prehľad!$B83,Harmonogram!$F$2:$EW$150,COLUMN(Prehľad!C83)+1,FALSE))=0,"",IF(ISBLANK($B83),VLOOKUP($A83,Harmonogram!$A$1:$FA$162,COLUMN(Prehľad!C83)+6,FALSE),VLOOKUP(Prehľad!$B83,Harmonogram!$F$2:$EW$150,COLUMN(Prehľad!C83)+1,FALSE))),"")</f>
        <v>TEN-T comprehensive;
RFC 5 - prípojná trať
RFC 7 - alternatívna trať
RFC 11 - hlavná trať
Dĺžka(133b)= 12,6km; osôb/deň= 1900; mil.hrtkm/rok=43</v>
      </c>
      <c r="F83" s="177">
        <f>IF(ISBLANK(B83),"",IFERROR(VLOOKUP(B83,Harmonogram!$F$3:$EO$97,140,FALSE),"er"))</f>
        <v>12.535</v>
      </c>
      <c r="G83" s="177" t="str">
        <f>IFERROR(IF(IF(ISBLANK($B83),VLOOKUP($A83,Harmonogram!$A$1:$FA$162,COLUMN(Prehľad!D83)+6,FALSE),VLOOKUP(Prehľad!$B83,Harmonogram!$F$2:$EW$150,COLUMN(Prehľad!D83)+1,FALSE))=0,"",IF(ISBLANK($B83),VLOOKUP($A83,Harmonogram!$A$1:$FA$162,COLUMN(Prehľad!D83)+6,FALSE),VLOOKUP(Prehľad!$B83,Harmonogram!$F$2:$EW$150,COLUMN(Prehľad!D83)+1,FALSE))),"")</f>
        <v>2b</v>
      </c>
      <c r="H83" s="250" t="str">
        <f>IFERROR(IF(IF(ISBLANK($B83),VLOOKUP($A83,Harmonogram!$A$1:$FA$162,COLUMN(Prehľad!A83)+11,FALSE),VLOOKUP(Prehľad!$B83,Harmonogram!$F$2:$EW$150,COLUMN(Prehľad!A83)+6,FALSE))=0,"",IF(ISBLANK($B83),VLOOKUP($A83,Harmonogram!$A$1:$FA$162,COLUMN(Prehľad!A83)+11,FALSE),VLOOKUP(Prehľad!$B83,Harmonogram!$F$2:$EW$150,COLUMN(Prehľad!A83)+6,FALSE))),"")</f>
        <v/>
      </c>
      <c r="I83" s="260">
        <f>IF(LEN($B83)=0,VLOOKUP($A83,Harmonogram!$A$1:$FA$162,COLUMN(Prehľad!B83)+11,FALSE),VLOOKUP(Prehľad!$B83,Harmonogram!$F$2:$EW$150,COLUMN(Prehľad!B83)+6,FALSE))</f>
        <v>3333198.4720021598</v>
      </c>
      <c r="J83" s="261">
        <f>IF(LEN($B83)=0,VLOOKUP($A83,Harmonogram!$A$1:$FA$162,COLUMN(Prehľad!A83)*12+12,FALSE),VLOOKUP(Prehľad!$B83,Harmonogram!$F$2:$EW$150,COLUMN(Prehľad!A83)*12+7,FALSE))</f>
        <v>0</v>
      </c>
      <c r="K83" s="260">
        <f>IF(LEN($B83)=0,VLOOKUP($A83,Harmonogram!$A$1:$FA$162,COLUMN(Prehľad!B83)*12+12,FALSE),VLOOKUP(Prehľad!$B83,Harmonogram!$F$2:$EW$150,COLUMN(Prehľad!B83)*12+7,FALSE))</f>
        <v>0</v>
      </c>
      <c r="L83" s="260">
        <f>IF(LEN($B83)=0,VLOOKUP($A83,Harmonogram!$A$1:$FA$162,COLUMN(Prehľad!C83)*12+12,FALSE),VLOOKUP(Prehľad!$B83,Harmonogram!$F$2:$EW$150,COLUMN(Prehľad!C83)*12+7,FALSE))</f>
        <v>55553.31</v>
      </c>
      <c r="M83" s="260">
        <f>IF(LEN($B83)=0,VLOOKUP($A83,Harmonogram!$A$1:$FA$162,COLUMN(Prehľad!D83)*12+12,FALSE),VLOOKUP(Prehľad!$B83,Harmonogram!$F$2:$EW$150,COLUMN(Prehľad!D83)*12+7,FALSE))</f>
        <v>55553.31</v>
      </c>
      <c r="N83" s="260">
        <f>IF(LEN($B83)=0,VLOOKUP($A83,Harmonogram!$A$1:$FA$162,COLUMN(Prehľad!E83)*12+12,FALSE),VLOOKUP(Prehľad!$B83,Harmonogram!$F$2:$EW$150,COLUMN(Prehľad!E83)*12+7,FALSE))</f>
        <v>55553.31</v>
      </c>
      <c r="O83" s="260">
        <f>IF(LEN($B83)=0,VLOOKUP($A83,Harmonogram!$A$1:$FA$162,COLUMN(Prehľad!F83)*12+12,FALSE),VLOOKUP(Prehľad!$B83,Harmonogram!$F$2:$EW$150,COLUMN(Prehľad!F83)*12+7,FALSE))</f>
        <v>1583269.27</v>
      </c>
      <c r="P83" s="260">
        <f>IF(LEN($B83)=0,VLOOKUP($A83,Harmonogram!$A$1:$FA$162,COLUMN(Prehľad!G83)*12+12,FALSE),VLOOKUP(Prehľad!$B83,Harmonogram!$F$2:$EW$150,COLUMN(Prehľad!G83)*12+7,FALSE))</f>
        <v>1583269.27</v>
      </c>
      <c r="Q83" s="260">
        <f>IF(LEN($B83)=0,VLOOKUP($A83,Harmonogram!$A$1:$FA$162,COLUMN(Prehľad!H83)*12+12,FALSE),VLOOKUP(Prehľad!$B83,Harmonogram!$F$2:$EW$150,COLUMN(Prehľad!H83)*12+7,FALSE))</f>
        <v>0</v>
      </c>
      <c r="R83" s="260">
        <f>IF(LEN($B83)=0,VLOOKUP($A83,Harmonogram!$A$1:$FA$162,COLUMN(Prehľad!I83)*12+12,FALSE),VLOOKUP(Prehľad!$B83,Harmonogram!$F$2:$EW$150,COLUMN(Prehľad!I83)*12+7,FALSE))</f>
        <v>0</v>
      </c>
      <c r="S83" s="260">
        <f>IF(LEN($B83)=0,VLOOKUP($A83,Harmonogram!$A$1:$FA$162,COLUMN(Prehľad!J83)*12+12,FALSE),VLOOKUP(Prehľad!$B83,Harmonogram!$F$2:$EW$150,COLUMN(Prehľad!J83)*12+7,FALSE))</f>
        <v>0</v>
      </c>
      <c r="T83" s="262">
        <f>IF(LEN($B83)=0,VLOOKUP($A83,Harmonogram!$A$1:$FA$162,COLUMN(Prehľad!K83)*12+12,FALSE),VLOOKUP(Prehľad!$B83,Harmonogram!$F$2:$EW$150,COLUMN(Prehľad!K83)*12+7,FALSE))</f>
        <v>0</v>
      </c>
      <c r="U83" s="91"/>
      <c r="V83" s="91"/>
    </row>
    <row r="84" spans="1:33" s="5" customFormat="1" ht="75" x14ac:dyDescent="0.25">
      <c r="A84" s="245"/>
      <c r="B84" s="203" t="s">
        <v>83</v>
      </c>
      <c r="C84" s="177" t="str">
        <f>IFERROR(IF(IF(ISBLANK($B84),VLOOKUP($A84,Harmonogram!$A$1:$FA$162,COLUMN(Prehľad!A84)+6,FALSE),VLOOKUP(Prehľad!$B84,Harmonogram!$F$2:$EW$150,COLUMN(Prehľad!A84)+1,FALSE))=0,"",IF(ISBLANK($B84),VLOOKUP($A84,Harmonogram!$A$1:$FA$162,COLUMN(Prehľad!A84)+6,FALSE),VLOOKUP(Prehľad!$B84,Harmonogram!$F$2:$EW$150,COLUMN(Prehľad!A84)+1,FALSE))),"")</f>
        <v>Vybudovanie dispečerského riadenia trate vrátane modernizácie SZZ, TZZ, PZZ a vybavenia systémom ETCS</v>
      </c>
      <c r="D84" s="177" t="str">
        <f>IFERROR(IF(IF(ISBLANK($B84),VLOOKUP($A84,Harmonogram!$A$1:$FA$162,COLUMN(Prehľad!B84)+6,FALSE),VLOOKUP(Prehľad!$B84,Harmonogram!$F$2:$EW$150,COLUMN(Prehľad!B84)+1,FALSE))=0,"",IF(ISBLANK($B84),VLOOKUP($A84,Harmonogram!$A$1:$FA$162,COLUMN(Prehľad!B84)+6,FALSE),VLOOKUP(Prehľad!$B84,Harmonogram!$F$2:$EW$150,COLUMN(Prehľad!B84)+1,FALSE))),"")</f>
        <v>Zvýšenie bezpečnosti a plynulosti železničnej dopravy, skrátenie jazdnej doby vlakov a úspora prevádzkových nákladov. Naplnenie požiadaviek legislatívy EÚ.</v>
      </c>
      <c r="E84" s="204" t="str">
        <f>IFERROR(IF(IF(ISBLANK($B84),VLOOKUP($A84,Harmonogram!$A$1:$FA$162,COLUMN(Prehľad!C84)+6,FALSE),VLOOKUP(Prehľad!$B84,Harmonogram!$F$2:$EW$150,COLUMN(Prehľad!C84)+1,FALSE))=0,"",IF(ISBLANK($B84),VLOOKUP($A84,Harmonogram!$A$1:$FA$162,COLUMN(Prehľad!C84)+6,FALSE),VLOOKUP(Prehľad!$B84,Harmonogram!$F$2:$EW$150,COLUMN(Prehľad!C84)+1,FALSE))),"")</f>
        <v>TEN-T comprehensive;
RFC 5 - prípojná trať
RFC 11 - hlavná trať
Dĺžka(133c)= 15,3km; osôb/deň= 0; mil.hrtkm/rok=50,2</v>
      </c>
      <c r="F84" s="177">
        <f>IF(ISBLANK(B84),"",IFERROR(VLOOKUP(B84,Harmonogram!$F$3:$EO$97,140,FALSE),"er"))</f>
        <v>14.647</v>
      </c>
      <c r="G84" s="177" t="str">
        <f>IFERROR(IF(IF(ISBLANK($B84),VLOOKUP($A84,Harmonogram!$A$1:$FA$162,COLUMN(Prehľad!D84)+6,FALSE),VLOOKUP(Prehľad!$B84,Harmonogram!$F$2:$EW$150,COLUMN(Prehľad!D84)+1,FALSE))=0,"",IF(ISBLANK($B84),VLOOKUP($A84,Harmonogram!$A$1:$FA$162,COLUMN(Prehľad!D84)+6,FALSE),VLOOKUP(Prehľad!$B84,Harmonogram!$F$2:$EW$150,COLUMN(Prehľad!D84)+1,FALSE))),"")</f>
        <v>2b</v>
      </c>
      <c r="H84" s="250" t="str">
        <f>IFERROR(IF(IF(ISBLANK($B84),VLOOKUP($A84,Harmonogram!$A$1:$FA$162,COLUMN(Prehľad!A84)+11,FALSE),VLOOKUP(Prehľad!$B84,Harmonogram!$F$2:$EW$150,COLUMN(Prehľad!A84)+6,FALSE))=0,"",IF(ISBLANK($B84),VLOOKUP($A84,Harmonogram!$A$1:$FA$162,COLUMN(Prehľad!A84)+11,FALSE),VLOOKUP(Prehľad!$B84,Harmonogram!$F$2:$EW$150,COLUMN(Prehľad!A84)+6,FALSE))),"")</f>
        <v/>
      </c>
      <c r="I84" s="260">
        <f>IF(LEN($B84)=0,VLOOKUP($A84,Harmonogram!$A$1:$FA$162,COLUMN(Prehľad!B84)+11,FALSE),VLOOKUP(Prehľad!$B84,Harmonogram!$F$2:$EW$150,COLUMN(Prehľad!B84)+6,FALSE))</f>
        <v>4349685.8313782597</v>
      </c>
      <c r="J84" s="261">
        <f>IF(LEN($B84)=0,VLOOKUP($A84,Harmonogram!$A$1:$FA$162,COLUMN(Prehľad!A84)*12+12,FALSE),VLOOKUP(Prehľad!$B84,Harmonogram!$F$2:$EW$150,COLUMN(Prehľad!A84)*12+7,FALSE))</f>
        <v>0</v>
      </c>
      <c r="K84" s="260">
        <f>IF(LEN($B84)=0,VLOOKUP($A84,Harmonogram!$A$1:$FA$162,COLUMN(Prehľad!B84)*12+12,FALSE),VLOOKUP(Prehľad!$B84,Harmonogram!$F$2:$EW$150,COLUMN(Prehľad!B84)*12+7,FALSE))</f>
        <v>0</v>
      </c>
      <c r="L84" s="260">
        <f>IF(LEN($B84)=0,VLOOKUP($A84,Harmonogram!$A$1:$FA$162,COLUMN(Prehľad!C84)*12+12,FALSE),VLOOKUP(Prehľad!$B84,Harmonogram!$F$2:$EW$150,COLUMN(Prehľad!C84)*12+7,FALSE))</f>
        <v>72494.759999999995</v>
      </c>
      <c r="M84" s="260">
        <f>IF(LEN($B84)=0,VLOOKUP($A84,Harmonogram!$A$1:$FA$162,COLUMN(Prehľad!D84)*12+12,FALSE),VLOOKUP(Prehľad!$B84,Harmonogram!$F$2:$EW$150,COLUMN(Prehľad!D84)*12+7,FALSE))</f>
        <v>72494.759999999995</v>
      </c>
      <c r="N84" s="260">
        <f>IF(LEN($B84)=0,VLOOKUP($A84,Harmonogram!$A$1:$FA$162,COLUMN(Prehľad!E84)*12+12,FALSE),VLOOKUP(Prehľad!$B84,Harmonogram!$F$2:$EW$150,COLUMN(Prehľad!E84)*12+7,FALSE))</f>
        <v>72494.759999999995</v>
      </c>
      <c r="O84" s="260">
        <f>IF(LEN($B84)=0,VLOOKUP($A84,Harmonogram!$A$1:$FA$162,COLUMN(Prehľad!F84)*12+12,FALSE),VLOOKUP(Prehľad!$B84,Harmonogram!$F$2:$EW$150,COLUMN(Prehľad!F84)*12+7,FALSE))</f>
        <v>2066100.77</v>
      </c>
      <c r="P84" s="260">
        <f>IF(LEN($B84)=0,VLOOKUP($A84,Harmonogram!$A$1:$FA$162,COLUMN(Prehľad!G84)*12+12,FALSE),VLOOKUP(Prehľad!$B84,Harmonogram!$F$2:$EW$150,COLUMN(Prehľad!G84)*12+7,FALSE))</f>
        <v>2066100.77</v>
      </c>
      <c r="Q84" s="260">
        <f>IF(LEN($B84)=0,VLOOKUP($A84,Harmonogram!$A$1:$FA$162,COLUMN(Prehľad!H84)*12+12,FALSE),VLOOKUP(Prehľad!$B84,Harmonogram!$F$2:$EW$150,COLUMN(Prehľad!H84)*12+7,FALSE))</f>
        <v>0</v>
      </c>
      <c r="R84" s="260">
        <f>IF(LEN($B84)=0,VLOOKUP($A84,Harmonogram!$A$1:$FA$162,COLUMN(Prehľad!I84)*12+12,FALSE),VLOOKUP(Prehľad!$B84,Harmonogram!$F$2:$EW$150,COLUMN(Prehľad!I84)*12+7,FALSE))</f>
        <v>0</v>
      </c>
      <c r="S84" s="260">
        <f>IF(LEN($B84)=0,VLOOKUP($A84,Harmonogram!$A$1:$FA$162,COLUMN(Prehľad!J84)*12+12,FALSE),VLOOKUP(Prehľad!$B84,Harmonogram!$F$2:$EW$150,COLUMN(Prehľad!J84)*12+7,FALSE))</f>
        <v>0</v>
      </c>
      <c r="T84" s="262">
        <f>IF(LEN($B84)=0,VLOOKUP($A84,Harmonogram!$A$1:$FA$162,COLUMN(Prehľad!K84)*12+12,FALSE),VLOOKUP(Prehľad!$B84,Harmonogram!$F$2:$EW$150,COLUMN(Prehľad!K84)*12+7,FALSE))</f>
        <v>0</v>
      </c>
      <c r="U84" s="91"/>
      <c r="V84" s="91"/>
    </row>
    <row r="85" spans="1:33" ht="75" x14ac:dyDescent="0.25">
      <c r="A85" s="245"/>
      <c r="B85" s="203" t="s">
        <v>1293</v>
      </c>
      <c r="C85" s="177" t="str">
        <f>IFERROR(IF(IF(ISBLANK($B85),VLOOKUP($A85,Harmonogram!$A$1:$FA$162,COLUMN(Prehľad!A85)+6,FALSE),VLOOKUP(Prehľad!$B85,Harmonogram!$F$2:$EW$150,COLUMN(Prehľad!A85)+1,FALSE))=0,"",IF(ISBLANK($B85),VLOOKUP($A85,Harmonogram!$A$1:$FA$162,COLUMN(Prehľad!A85)+6,FALSE),VLOOKUP(Prehľad!$B85,Harmonogram!$F$2:$EW$150,COLUMN(Prehľad!A85)+1,FALSE))),"")</f>
        <v>Vybudovanie dispečerského riadenia trate vrátane modernizácie SZZ, TZZ, PZZ.</v>
      </c>
      <c r="D85" s="177" t="str">
        <f>IFERROR(IF(IF(ISBLANK($B85),VLOOKUP($A85,Harmonogram!$A$1:$FA$162,COLUMN(Prehľad!B85)+6,FALSE),VLOOKUP(Prehľad!$B85,Harmonogram!$F$2:$EW$150,COLUMN(Prehľad!B85)+1,FALSE))=0,"",IF(ISBLANK($B85),VLOOKUP($A85,Harmonogram!$A$1:$FA$162,COLUMN(Prehľad!B85)+6,FALSE),VLOOKUP(Prehľad!$B85,Harmonogram!$F$2:$EW$150,COLUMN(Prehľad!B85)+1,FALSE))),"")</f>
        <v>Zvýšenie bezpečnosti a plynulosti železničnej dopravy, skrátenie jazdnej doby vlakov a úspora prevádzkových nákladov.</v>
      </c>
      <c r="E85" s="204" t="str">
        <f>IFERROR(IF(IF(ISBLANK($B85),VLOOKUP($A85,Harmonogram!$A$1:$FA$162,COLUMN(Prehľad!C85)+6,FALSE),VLOOKUP(Prehľad!$B85,Harmonogram!$F$2:$EW$150,COLUMN(Prehľad!C85)+1,FALSE))=0,"",IF(ISBLANK($B85),VLOOKUP($A85,Harmonogram!$A$1:$FA$162,COLUMN(Prehľad!C85)+6,FALSE),VLOOKUP(Prehľad!$B85,Harmonogram!$F$2:$EW$150,COLUMN(Prehľad!C85)+1,FALSE))),"")</f>
        <v>Hlavná trať ŽSR
Dĺžka(171b)= 4,4km; osôb/deň= 4000; mil.hrtkm/rok=3,1
Dĺžka(170a)= 34,9km; osôb/deň= 4000; mil.hrtkm/rok=54,2</v>
      </c>
      <c r="F85" s="177">
        <f>IF(ISBLANK(B85),"",IFERROR(VLOOKUP(B85,Harmonogram!$F$3:$EO$97,140,FALSE),"er"))</f>
        <v>37.375</v>
      </c>
      <c r="G85" s="177" t="str">
        <f>IFERROR(IF(IF(ISBLANK($B85),VLOOKUP($A85,Harmonogram!$A$1:$FA$162,COLUMN(Prehľad!D85)+6,FALSE),VLOOKUP(Prehľad!$B85,Harmonogram!$F$2:$EW$150,COLUMN(Prehľad!D85)+1,FALSE))=0,"",IF(ISBLANK($B85),VLOOKUP($A85,Harmonogram!$A$1:$FA$162,COLUMN(Prehľad!D85)+6,FALSE),VLOOKUP(Prehľad!$B85,Harmonogram!$F$2:$EW$150,COLUMN(Prehľad!D85)+1,FALSE))),"")</f>
        <v>2b</v>
      </c>
      <c r="H85" s="250" t="str">
        <f>IFERROR(IF(IF(ISBLANK($B85),VLOOKUP($A85,Harmonogram!$A$1:$FA$162,COLUMN(Prehľad!A85)+11,FALSE),VLOOKUP(Prehľad!$B85,Harmonogram!$F$2:$EW$150,COLUMN(Prehľad!A85)+6,FALSE))=0,"",IF(ISBLANK($B85),VLOOKUP($A85,Harmonogram!$A$1:$FA$162,COLUMN(Prehľad!A85)+11,FALSE),VLOOKUP(Prehľad!$B85,Harmonogram!$F$2:$EW$150,COLUMN(Prehľad!A85)+6,FALSE))),"")</f>
        <v/>
      </c>
      <c r="I85" s="260">
        <f>IF(LEN($B85)=0,VLOOKUP($A85,Harmonogram!$A$1:$FA$162,COLUMN(Prehľad!B85)+11,FALSE),VLOOKUP(Prehľad!$B85,Harmonogram!$F$2:$EW$150,COLUMN(Prehľad!B85)+6,FALSE))</f>
        <v>20054467.832180899</v>
      </c>
      <c r="J85" s="261">
        <f>IF(LEN($B85)=0,VLOOKUP($A85,Harmonogram!$A$1:$FA$162,COLUMN(Prehľad!A85)*12+12,FALSE),VLOOKUP(Prehľad!$B85,Harmonogram!$F$2:$EW$150,COLUMN(Prehľad!A85)*12+7,FALSE))</f>
        <v>0</v>
      </c>
      <c r="K85" s="260">
        <f>IF(LEN($B85)=0,VLOOKUP($A85,Harmonogram!$A$1:$FA$162,COLUMN(Prehľad!B85)*12+12,FALSE),VLOOKUP(Prehľad!$B85,Harmonogram!$F$2:$EW$150,COLUMN(Prehľad!B85)*12+7,FALSE))</f>
        <v>0</v>
      </c>
      <c r="L85" s="260">
        <f>IF(LEN($B85)=0,VLOOKUP($A85,Harmonogram!$A$1:$FA$162,COLUMN(Prehľad!C85)*12+12,FALSE),VLOOKUP(Prehľad!$B85,Harmonogram!$F$2:$EW$150,COLUMN(Prehľad!C85)*12+7,FALSE))</f>
        <v>200544.68</v>
      </c>
      <c r="M85" s="260">
        <f>IF(LEN($B85)=0,VLOOKUP($A85,Harmonogram!$A$1:$FA$162,COLUMN(Prehľad!D85)*12+12,FALSE),VLOOKUP(Prehľad!$B85,Harmonogram!$F$2:$EW$150,COLUMN(Prehľad!D85)*12+7,FALSE))</f>
        <v>200544.68</v>
      </c>
      <c r="N85" s="260">
        <f>IF(LEN($B85)=0,VLOOKUP($A85,Harmonogram!$A$1:$FA$162,COLUMN(Prehľad!E85)*12+12,FALSE),VLOOKUP(Prehľad!$B85,Harmonogram!$F$2:$EW$150,COLUMN(Prehľad!E85)*12+7,FALSE))</f>
        <v>200544.68</v>
      </c>
      <c r="O85" s="260">
        <f>IF(LEN($B85)=0,VLOOKUP($A85,Harmonogram!$A$1:$FA$162,COLUMN(Prehľad!F85)*12+12,FALSE),VLOOKUP(Prehľad!$B85,Harmonogram!$F$2:$EW$150,COLUMN(Prehľad!F85)*12+7,FALSE))</f>
        <v>200544.68</v>
      </c>
      <c r="P85" s="260">
        <f>IF(LEN($B85)=0,VLOOKUP($A85,Harmonogram!$A$1:$FA$162,COLUMN(Prehľad!G85)*12+12,FALSE),VLOOKUP(Prehľad!$B85,Harmonogram!$F$2:$EW$150,COLUMN(Prehľad!G85)*12+7,FALSE))</f>
        <v>200544.68</v>
      </c>
      <c r="Q85" s="260">
        <f>IF(LEN($B85)=0,VLOOKUP($A85,Harmonogram!$A$1:$FA$162,COLUMN(Prehľad!H85)*12+12,FALSE),VLOOKUP(Prehľad!$B85,Harmonogram!$F$2:$EW$150,COLUMN(Prehľad!H85)*12+7,FALSE))</f>
        <v>6350581.4800000004</v>
      </c>
      <c r="R85" s="260">
        <f>IF(LEN($B85)=0,VLOOKUP($A85,Harmonogram!$A$1:$FA$162,COLUMN(Prehľad!I85)*12+12,FALSE),VLOOKUP(Prehľad!$B85,Harmonogram!$F$2:$EW$150,COLUMN(Prehľad!I85)*12+7,FALSE))</f>
        <v>6350581.4800000004</v>
      </c>
      <c r="S85" s="260">
        <f>IF(LEN($B85)=0,VLOOKUP($A85,Harmonogram!$A$1:$FA$162,COLUMN(Prehľad!J85)*12+12,FALSE),VLOOKUP(Prehľad!$B85,Harmonogram!$F$2:$EW$150,COLUMN(Prehľad!J85)*12+7,FALSE))</f>
        <v>6350581.4800000004</v>
      </c>
      <c r="T85" s="262">
        <f>IF(LEN($B85)=0,VLOOKUP($A85,Harmonogram!$A$1:$FA$162,COLUMN(Prehľad!K85)*12+12,FALSE),VLOOKUP(Prehľad!$B85,Harmonogram!$F$2:$EW$150,COLUMN(Prehľad!K85)*12+7,FALSE))</f>
        <v>0</v>
      </c>
    </row>
    <row r="86" spans="1:33" ht="105.75" thickBot="1" x14ac:dyDescent="0.3">
      <c r="A86" s="240"/>
      <c r="B86" s="225" t="s">
        <v>1302</v>
      </c>
      <c r="C86" s="226" t="str">
        <f>IFERROR(IF(IF(ISBLANK($B86),VLOOKUP($A86,Harmonogram!$A$1:$FA$162,COLUMN(Prehľad!A86)+6,FALSE),VLOOKUP(Prehľad!$B86,Harmonogram!$F$2:$EW$150,COLUMN(Prehľad!A86)+1,FALSE))=0,"",IF(ISBLANK($B86),VLOOKUP($A86,Harmonogram!$A$1:$FA$162,COLUMN(Prehľad!A86)+6,FALSE),VLOOKUP(Prehľad!$B86,Harmonogram!$F$2:$EW$150,COLUMN(Prehľad!A86)+1,FALSE))),"")</f>
        <v>Vybudovanie dispečerského riadenia trate vrátane modernizácie SZZ, TZZ, PZZ a vybavenia systémom ETCS</v>
      </c>
      <c r="D86" s="226" t="str">
        <f>IFERROR(IF(IF(ISBLANK($B86),VLOOKUP($A86,Harmonogram!$A$1:$FA$162,COLUMN(Prehľad!B86)+6,FALSE),VLOOKUP(Prehľad!$B86,Harmonogram!$F$2:$EW$150,COLUMN(Prehľad!B86)+1,FALSE))=0,"",IF(ISBLANK($B86),VLOOKUP($A86,Harmonogram!$A$1:$FA$162,COLUMN(Prehľad!B86)+6,FALSE),VLOOKUP(Prehľad!$B86,Harmonogram!$F$2:$EW$150,COLUMN(Prehľad!B86)+1,FALSE))),"")</f>
        <v>Zvýšenie bezpečnosti a plynulosti železničnej dopravy, skrátenie jazdnej doby vlakov a úspora prevádzkových nákladov. Naplnenie požiadaviek legislatívy EÚ.</v>
      </c>
      <c r="E86" s="227" t="str">
        <f>IFERROR(IF(IF(ISBLANK($B86),VLOOKUP($A86,Harmonogram!$A$1:$FA$162,COLUMN(Prehľad!C86)+6,FALSE),VLOOKUP(Prehľad!$B86,Harmonogram!$F$2:$EW$150,COLUMN(Prehľad!C86)+1,FALSE))=0,"",IF(ISBLANK($B86),VLOOKUP($A86,Harmonogram!$A$1:$FA$162,COLUMN(Prehľad!C86)+6,FALSE),VLOOKUP(Prehľad!$B86,Harmonogram!$F$2:$EW$150,COLUMN(Prehľad!C86)+1,FALSE))),"")</f>
        <v>TEN-T core;
RFC 9 - hlavná trať
RFC 11 - alternatívna trať
Dĺžka(190b)= 60,4km; osôb/deň= 2000; mil.hrtkm/rok=778,6
Dĺžka(190c)= 11,1km; osôb/deň= 500; mil.hrtkm/rok=34,1</v>
      </c>
      <c r="F86" s="183">
        <f>IF(ISBLANK(B86),"",IFERROR(VLOOKUP(B86,Harmonogram!$F$3:$EO$97,140,FALSE),"er"))</f>
        <v>54.530999999999999</v>
      </c>
      <c r="G86" s="177" t="str">
        <f>IFERROR(IF(IF(ISBLANK($B86),VLOOKUP($A86,Harmonogram!$A$1:$FA$162,COLUMN(Prehľad!D86)+6,FALSE),VLOOKUP(Prehľad!$B86,Harmonogram!$F$2:$EW$150,COLUMN(Prehľad!D86)+1,FALSE))=0,"",IF(ISBLANK($B86),VLOOKUP($A86,Harmonogram!$A$1:$FA$162,COLUMN(Prehľad!D86)+6,FALSE),VLOOKUP(Prehľad!$B86,Harmonogram!$F$2:$EW$150,COLUMN(Prehľad!D86)+1,FALSE))),"")</f>
        <v>2b</v>
      </c>
      <c r="H86" s="250" t="str">
        <f>IFERROR(IF(IF(ISBLANK($B86),VLOOKUP($A86,Harmonogram!$A$1:$FA$162,COLUMN(Prehľad!A86)+11,FALSE),VLOOKUP(Prehľad!$B86,Harmonogram!$F$2:$EW$150,COLUMN(Prehľad!A86)+6,FALSE))=0,"",IF(ISBLANK($B86),VLOOKUP($A86,Harmonogram!$A$1:$FA$162,COLUMN(Prehľad!A86)+11,FALSE),VLOOKUP(Prehľad!$B86,Harmonogram!$F$2:$EW$150,COLUMN(Prehľad!A86)+6,FALSE))),"")</f>
        <v>Strategický/Investičný zámer</v>
      </c>
      <c r="I86" s="260">
        <f>IF(LEN($B86)=0,VLOOKUP($A86,Harmonogram!$A$1:$FA$162,COLUMN(Prehľad!B86)+11,FALSE),VLOOKUP(Prehľad!$B86,Harmonogram!$F$2:$EW$150,COLUMN(Prehľad!B86)+6,FALSE))</f>
        <v>35080000</v>
      </c>
      <c r="J86" s="261">
        <f>IF(LEN($B86)=0,VLOOKUP($A86,Harmonogram!$A$1:$FA$162,COLUMN(Prehľad!A86)*12+12,FALSE),VLOOKUP(Prehľad!$B86,Harmonogram!$F$2:$EW$150,COLUMN(Prehľad!A86)*12+7,FALSE))</f>
        <v>0</v>
      </c>
      <c r="K86" s="260">
        <f>IF(LEN($B86)=0,VLOOKUP($A86,Harmonogram!$A$1:$FA$162,COLUMN(Prehľad!B86)*12+12,FALSE),VLOOKUP(Prehľad!$B86,Harmonogram!$F$2:$EW$150,COLUMN(Prehľad!B86)*12+7,FALSE))</f>
        <v>0</v>
      </c>
      <c r="L86" s="260">
        <f>IF(LEN($B86)=0,VLOOKUP($A86,Harmonogram!$A$1:$FA$162,COLUMN(Prehľad!C86)*12+12,FALSE),VLOOKUP(Prehľad!$B86,Harmonogram!$F$2:$EW$150,COLUMN(Prehľad!C86)*12+7,FALSE))</f>
        <v>0</v>
      </c>
      <c r="M86" s="260">
        <f>IF(LEN($B86)=0,VLOOKUP($A86,Harmonogram!$A$1:$FA$162,COLUMN(Prehľad!D86)*12+12,FALSE),VLOOKUP(Prehľad!$B86,Harmonogram!$F$2:$EW$150,COLUMN(Prehľad!D86)*12+7,FALSE))</f>
        <v>500000</v>
      </c>
      <c r="N86" s="260">
        <f>IF(LEN($B86)=0,VLOOKUP($A86,Harmonogram!$A$1:$FA$162,COLUMN(Prehľad!E86)*12+12,FALSE),VLOOKUP(Prehľad!$B86,Harmonogram!$F$2:$EW$150,COLUMN(Prehľad!E86)*12+7,FALSE))</f>
        <v>1200000</v>
      </c>
      <c r="O86" s="260">
        <f>IF(LEN($B86)=0,VLOOKUP($A86,Harmonogram!$A$1:$FA$162,COLUMN(Prehľad!F86)*12+12,FALSE),VLOOKUP(Prehľad!$B86,Harmonogram!$F$2:$EW$150,COLUMN(Prehľad!F86)*12+7,FALSE))</f>
        <v>33380000</v>
      </c>
      <c r="P86" s="260">
        <f>IF(LEN($B86)=0,VLOOKUP($A86,Harmonogram!$A$1:$FA$162,COLUMN(Prehľad!G86)*12+12,FALSE),VLOOKUP(Prehľad!$B86,Harmonogram!$F$2:$EW$150,COLUMN(Prehľad!G86)*12+7,FALSE))</f>
        <v>0</v>
      </c>
      <c r="Q86" s="260">
        <f>IF(LEN($B86)=0,VLOOKUP($A86,Harmonogram!$A$1:$FA$162,COLUMN(Prehľad!H86)*12+12,FALSE),VLOOKUP(Prehľad!$B86,Harmonogram!$F$2:$EW$150,COLUMN(Prehľad!H86)*12+7,FALSE))</f>
        <v>0</v>
      </c>
      <c r="R86" s="260">
        <f>IF(LEN($B86)=0,VLOOKUP($A86,Harmonogram!$A$1:$FA$162,COLUMN(Prehľad!I86)*12+12,FALSE),VLOOKUP(Prehľad!$B86,Harmonogram!$F$2:$EW$150,COLUMN(Prehľad!I86)*12+7,FALSE))</f>
        <v>0</v>
      </c>
      <c r="S86" s="260">
        <f>IF(LEN($B86)=0,VLOOKUP($A86,Harmonogram!$A$1:$FA$162,COLUMN(Prehľad!J86)*12+12,FALSE),VLOOKUP(Prehľad!$B86,Harmonogram!$F$2:$EW$150,COLUMN(Prehľad!J86)*12+7,FALSE))</f>
        <v>0</v>
      </c>
      <c r="T86" s="262">
        <f>IF(LEN($B86)=0,VLOOKUP($A86,Harmonogram!$A$1:$FA$162,COLUMN(Prehľad!K86)*12+12,FALSE),VLOOKUP(Prehľad!$B86,Harmonogram!$F$2:$EW$150,COLUMN(Prehľad!K86)*12+7,FALSE))</f>
        <v>0</v>
      </c>
      <c r="U86" s="91"/>
      <c r="V86" s="91"/>
    </row>
    <row r="87" spans="1:33" s="101" customFormat="1" ht="15.75" thickBot="1" x14ac:dyDescent="0.3">
      <c r="A87" s="246" t="s">
        <v>1303</v>
      </c>
      <c r="B87" s="228"/>
      <c r="C87" s="223"/>
      <c r="D87" s="223"/>
      <c r="E87" s="223"/>
      <c r="F87" s="254" t="str">
        <f>IF(ISBLANK(B87),"",IFERROR(VLOOKUP(B87,Harmonogram!$F$3:$EO$97,140,FALSE),"er"))</f>
        <v/>
      </c>
      <c r="G87" s="177" t="str">
        <f>IFERROR(IF(IF(ISBLANK($B87),VLOOKUP($A87,Harmonogram!$A$1:$FA$162,COLUMN(Prehľad!D87)+6,FALSE),VLOOKUP(Prehľad!$B87,Harmonogram!$F$2:$EW$150,COLUMN(Prehľad!D87)+1,FALSE))=0,"",IF(ISBLANK($B87),VLOOKUP($A87,Harmonogram!$A$1:$FA$162,COLUMN(Prehľad!D87)+6,FALSE),VLOOKUP(Prehľad!$B87,Harmonogram!$F$2:$EW$150,COLUMN(Prehľad!D87)+1,FALSE))),"")</f>
        <v/>
      </c>
      <c r="H87" s="250" t="str">
        <f>IFERROR(IF(IF(ISBLANK($B87),VLOOKUP($A87,Harmonogram!$A$1:$FA$162,COLUMN(Prehľad!A87)+11,FALSE),VLOOKUP(Prehľad!$B87,Harmonogram!$F$2:$EW$150,COLUMN(Prehľad!A87)+6,FALSE))=0,"",IF(ISBLANK($B87),VLOOKUP($A87,Harmonogram!$A$1:$FA$162,COLUMN(Prehľad!A87)+11,FALSE),VLOOKUP(Prehľad!$B87,Harmonogram!$F$2:$EW$150,COLUMN(Prehľad!A87)+6,FALSE))),"")</f>
        <v/>
      </c>
      <c r="I87" s="260">
        <f>IF(LEN($B87)=0,VLOOKUP($A87,Harmonogram!$A$1:$FA$162,COLUMN(Prehľad!B87)+11,FALSE),VLOOKUP(Prehľad!$B87,Harmonogram!$F$2:$EW$150,COLUMN(Prehľad!B87)+6,FALSE))</f>
        <v>62817352.135561317</v>
      </c>
      <c r="J87" s="261">
        <f>IF(LEN($B87)=0,VLOOKUP($A87,Harmonogram!$A$1:$FA$162,COLUMN(Prehľad!A87)*12+12,FALSE),VLOOKUP(Prehľad!$B87,Harmonogram!$F$2:$EW$150,COLUMN(Prehľad!A87)*12+7,FALSE))</f>
        <v>0</v>
      </c>
      <c r="K87" s="260">
        <f>IF(LEN($B87)=0,VLOOKUP($A87,Harmonogram!$A$1:$FA$162,COLUMN(Prehľad!B87)*12+12,FALSE),VLOOKUP(Prehľad!$B87,Harmonogram!$F$2:$EW$150,COLUMN(Prehľad!B87)*12+7,FALSE))</f>
        <v>0</v>
      </c>
      <c r="L87" s="260">
        <f>IF(LEN($B87)=0,VLOOKUP($A87,Harmonogram!$A$1:$FA$162,COLUMN(Prehľad!C87)*12+12,FALSE),VLOOKUP(Prehľad!$B87,Harmonogram!$F$2:$EW$150,COLUMN(Prehľad!C87)*12+7,FALSE))</f>
        <v>328592.75</v>
      </c>
      <c r="M87" s="260">
        <f>IF(LEN($B87)=0,VLOOKUP($A87,Harmonogram!$A$1:$FA$162,COLUMN(Prehľad!D87)*12+12,FALSE),VLOOKUP(Prehľad!$B87,Harmonogram!$F$2:$EW$150,COLUMN(Prehľad!D87)*12+7,FALSE))</f>
        <v>828592.75</v>
      </c>
      <c r="N87" s="260">
        <f>IF(LEN($B87)=0,VLOOKUP($A87,Harmonogram!$A$1:$FA$162,COLUMN(Prehľad!E87)*12+12,FALSE),VLOOKUP(Prehľad!$B87,Harmonogram!$F$2:$EW$150,COLUMN(Prehľad!E87)*12+7,FALSE))</f>
        <v>1528592.75</v>
      </c>
      <c r="O87" s="260">
        <f>IF(LEN($B87)=0,VLOOKUP($A87,Harmonogram!$A$1:$FA$162,COLUMN(Prehľad!F87)*12+12,FALSE),VLOOKUP(Prehľad!$B87,Harmonogram!$F$2:$EW$150,COLUMN(Prehľad!F87)*12+7,FALSE))</f>
        <v>37229914.719999999</v>
      </c>
      <c r="P87" s="260">
        <f>IF(LEN($B87)=0,VLOOKUP($A87,Harmonogram!$A$1:$FA$162,COLUMN(Prehľad!G87)*12+12,FALSE),VLOOKUP(Prehľad!$B87,Harmonogram!$F$2:$EW$150,COLUMN(Prehľad!G87)*12+7,FALSE))</f>
        <v>3849914.72</v>
      </c>
      <c r="Q87" s="260">
        <f>IF(LEN($B87)=0,VLOOKUP($A87,Harmonogram!$A$1:$FA$162,COLUMN(Prehľad!H87)*12+12,FALSE),VLOOKUP(Prehľad!$B87,Harmonogram!$F$2:$EW$150,COLUMN(Prehľad!H87)*12+7,FALSE))</f>
        <v>6350581.4800000004</v>
      </c>
      <c r="R87" s="260">
        <f>IF(LEN($B87)=0,VLOOKUP($A87,Harmonogram!$A$1:$FA$162,COLUMN(Prehľad!I87)*12+12,FALSE),VLOOKUP(Prehľad!$B87,Harmonogram!$F$2:$EW$150,COLUMN(Prehľad!I87)*12+7,FALSE))</f>
        <v>6350581.4800000004</v>
      </c>
      <c r="S87" s="260">
        <f>IF(LEN($B87)=0,VLOOKUP($A87,Harmonogram!$A$1:$FA$162,COLUMN(Prehľad!J87)*12+12,FALSE),VLOOKUP(Prehľad!$B87,Harmonogram!$F$2:$EW$150,COLUMN(Prehľad!J87)*12+7,FALSE))</f>
        <v>6350581.4800000004</v>
      </c>
      <c r="T87" s="262">
        <f>IF(LEN($B87)=0,VLOOKUP($A87,Harmonogram!$A$1:$FA$162,COLUMN(Prehľad!K87)*12+12,FALSE),VLOOKUP(Prehľad!$B87,Harmonogram!$F$2:$EW$150,COLUMN(Prehľad!K87)*12+7,FALSE))</f>
        <v>0</v>
      </c>
      <c r="AF87" s="14"/>
      <c r="AG87" s="14"/>
    </row>
    <row r="88" spans="1:33" s="11" customFormat="1" ht="15.75" thickBot="1" x14ac:dyDescent="0.3">
      <c r="A88" s="246" t="s">
        <v>1255</v>
      </c>
      <c r="B88" s="229"/>
      <c r="C88" s="223"/>
      <c r="D88" s="223"/>
      <c r="E88" s="223"/>
      <c r="F88" s="254" t="str">
        <f>IF(ISBLANK(B88),"",IFERROR(VLOOKUP(B88,Harmonogram!$F$3:$EO$97,140,FALSE),"er"))</f>
        <v/>
      </c>
      <c r="G88" s="177" t="str">
        <f>IFERROR(IF(IF(ISBLANK($B88),VLOOKUP($A88,Harmonogram!$A$1:$FA$162,COLUMN(Prehľad!D88)+6,FALSE),VLOOKUP(Prehľad!$B88,Harmonogram!$F$2:$EW$150,COLUMN(Prehľad!D88)+1,FALSE))=0,"",IF(ISBLANK($B88),VLOOKUP($A88,Harmonogram!$A$1:$FA$162,COLUMN(Prehľad!D88)+6,FALSE),VLOOKUP(Prehľad!$B88,Harmonogram!$F$2:$EW$150,COLUMN(Prehľad!D88)+1,FALSE))),"")</f>
        <v/>
      </c>
      <c r="H88" s="250" t="str">
        <f>IFERROR(IF(IF(ISBLANK($B88),VLOOKUP($A88,Harmonogram!$A$1:$FA$162,COLUMN(Prehľad!A88)+11,FALSE),VLOOKUP(Prehľad!$B88,Harmonogram!$F$2:$EW$150,COLUMN(Prehľad!A88)+6,FALSE))=0,"",IF(ISBLANK($B88),VLOOKUP($A88,Harmonogram!$A$1:$FA$162,COLUMN(Prehľad!A88)+11,FALSE),VLOOKUP(Prehľad!$B88,Harmonogram!$F$2:$EW$150,COLUMN(Prehľad!A88)+6,FALSE))),"")</f>
        <v/>
      </c>
      <c r="I88" s="260">
        <f>IF(LEN($B88)=0,VLOOKUP($A88,Harmonogram!$A$1:$FA$162,COLUMN(Prehľad!B88)+11,FALSE),VLOOKUP(Prehľad!$B88,Harmonogram!$F$2:$EW$150,COLUMN(Prehľad!B88)+6,FALSE))</f>
        <v>135000000</v>
      </c>
      <c r="J88" s="261">
        <f>IF(LEN($B88)=0,VLOOKUP($A88,Harmonogram!$A$1:$FA$162,COLUMN(Prehľad!A88)*12+12,FALSE),VLOOKUP(Prehľad!$B88,Harmonogram!$F$2:$EW$150,COLUMN(Prehľad!A88)*12+7,FALSE))</f>
        <v>0</v>
      </c>
      <c r="K88" s="260">
        <f>IF(LEN($B88)=0,VLOOKUP($A88,Harmonogram!$A$1:$FA$162,COLUMN(Prehľad!B88)*12+12,FALSE),VLOOKUP(Prehľad!$B88,Harmonogram!$F$2:$EW$150,COLUMN(Prehľad!B88)*12+7,FALSE))</f>
        <v>0</v>
      </c>
      <c r="L88" s="260">
        <f>IF(LEN($B88)=0,VLOOKUP($A88,Harmonogram!$A$1:$FA$162,COLUMN(Prehľad!C88)*12+12,FALSE),VLOOKUP(Prehľad!$B88,Harmonogram!$F$2:$EW$150,COLUMN(Prehľad!C88)*12+7,FALSE))</f>
        <v>15000000</v>
      </c>
      <c r="M88" s="260">
        <f>IF(LEN($B88)=0,VLOOKUP($A88,Harmonogram!$A$1:$FA$162,COLUMN(Prehľad!D88)*12+12,FALSE),VLOOKUP(Prehľad!$B88,Harmonogram!$F$2:$EW$150,COLUMN(Prehľad!D88)*12+7,FALSE))</f>
        <v>15000000</v>
      </c>
      <c r="N88" s="260">
        <f>IF(LEN($B88)=0,VLOOKUP($A88,Harmonogram!$A$1:$FA$162,COLUMN(Prehľad!E88)*12+12,FALSE),VLOOKUP(Prehľad!$B88,Harmonogram!$F$2:$EW$150,COLUMN(Prehľad!E88)*12+7,FALSE))</f>
        <v>15000000</v>
      </c>
      <c r="O88" s="260">
        <f>IF(LEN($B88)=0,VLOOKUP($A88,Harmonogram!$A$1:$FA$162,COLUMN(Prehľad!F88)*12+12,FALSE),VLOOKUP(Prehľad!$B88,Harmonogram!$F$2:$EW$150,COLUMN(Prehľad!F88)*12+7,FALSE))</f>
        <v>15000000</v>
      </c>
      <c r="P88" s="260">
        <f>IF(LEN($B88)=0,VLOOKUP($A88,Harmonogram!$A$1:$FA$162,COLUMN(Prehľad!G88)*12+12,FALSE),VLOOKUP(Prehľad!$B88,Harmonogram!$F$2:$EW$150,COLUMN(Prehľad!G88)*12+7,FALSE))</f>
        <v>15000000</v>
      </c>
      <c r="Q88" s="260">
        <f>IF(LEN($B88)=0,VLOOKUP($A88,Harmonogram!$A$1:$FA$162,COLUMN(Prehľad!H88)*12+12,FALSE),VLOOKUP(Prehľad!$B88,Harmonogram!$F$2:$EW$150,COLUMN(Prehľad!H88)*12+7,FALSE))</f>
        <v>15000000</v>
      </c>
      <c r="R88" s="260">
        <f>IF(LEN($B88)=0,VLOOKUP($A88,Harmonogram!$A$1:$FA$162,COLUMN(Prehľad!I88)*12+12,FALSE),VLOOKUP(Prehľad!$B88,Harmonogram!$F$2:$EW$150,COLUMN(Prehľad!I88)*12+7,FALSE))</f>
        <v>15000000</v>
      </c>
      <c r="S88" s="260">
        <f>IF(LEN($B88)=0,VLOOKUP($A88,Harmonogram!$A$1:$FA$162,COLUMN(Prehľad!J88)*12+12,FALSE),VLOOKUP(Prehľad!$B88,Harmonogram!$F$2:$EW$150,COLUMN(Prehľad!J88)*12+7,FALSE))</f>
        <v>15000000</v>
      </c>
      <c r="T88" s="262">
        <f>IF(LEN($B88)=0,VLOOKUP($A88,Harmonogram!$A$1:$FA$162,COLUMN(Prehľad!K88)*12+12,FALSE),VLOOKUP(Prehľad!$B88,Harmonogram!$F$2:$EW$150,COLUMN(Prehľad!K88)*12+7,FALSE))</f>
        <v>15000000</v>
      </c>
      <c r="U88" s="126"/>
      <c r="AF88" s="14"/>
      <c r="AG88" s="14"/>
    </row>
    <row r="89" spans="1:33" s="11" customFormat="1" ht="21.75" thickBot="1" x14ac:dyDescent="0.3">
      <c r="A89" s="195" t="s">
        <v>1190</v>
      </c>
      <c r="B89" s="230"/>
      <c r="C89" s="231"/>
      <c r="D89" s="231"/>
      <c r="E89" s="231"/>
      <c r="F89" s="255" t="str">
        <f>IF(ISBLANK(B89),"",IFERROR(VLOOKUP(B89,Harmonogram!$F$3:$EO$97,140,FALSE),"er"))</f>
        <v/>
      </c>
      <c r="G89" s="177" t="str">
        <f>IFERROR(IF(IF(ISBLANK($B89),VLOOKUP($A89,Harmonogram!$A$1:$FA$162,COLUMN(Prehľad!D89)+6,FALSE),VLOOKUP(Prehľad!$B89,Harmonogram!$F$2:$EW$150,COLUMN(Prehľad!D89)+1,FALSE))=0,"",IF(ISBLANK($B89),VLOOKUP($A89,Harmonogram!$A$1:$FA$162,COLUMN(Prehľad!D89)+6,FALSE),VLOOKUP(Prehľad!$B89,Harmonogram!$F$2:$EW$150,COLUMN(Prehľad!D89)+1,FALSE))),"")</f>
        <v/>
      </c>
      <c r="H89" s="250" t="str">
        <f>IFERROR(IF(IF(ISBLANK($B89),VLOOKUP($A89,Harmonogram!$A$1:$FA$162,COLUMN(Prehľad!A89)+11,FALSE),VLOOKUP(Prehľad!$B89,Harmonogram!$F$2:$EW$150,COLUMN(Prehľad!A89)+6,FALSE))=0,"",IF(ISBLANK($B89),VLOOKUP($A89,Harmonogram!$A$1:$FA$162,COLUMN(Prehľad!A89)+11,FALSE),VLOOKUP(Prehľad!$B89,Harmonogram!$F$2:$EW$150,COLUMN(Prehľad!A89)+6,FALSE))),"")</f>
        <v/>
      </c>
      <c r="I89" s="260">
        <f>IF(LEN($B89)=0,VLOOKUP($A89,Harmonogram!$A$1:$FA$162,COLUMN(Prehľad!B89)+11,FALSE),VLOOKUP(Prehľad!$B89,Harmonogram!$F$2:$EW$150,COLUMN(Prehľad!B89)+6,FALSE))</f>
        <v>4985841197.1838627</v>
      </c>
      <c r="J89" s="261">
        <f>IF(LEN($B89)=0,VLOOKUP($A89,Harmonogram!$A$1:$FA$162,COLUMN(Prehľad!A89)*12+12,FALSE),VLOOKUP(Prehľad!$B89,Harmonogram!$F$2:$EW$150,COLUMN(Prehľad!A89)*12+7,FALSE))</f>
        <v>512069573.93499994</v>
      </c>
      <c r="K89" s="260">
        <f>IF(LEN($B89)=0,VLOOKUP($A89,Harmonogram!$A$1:$FA$162,COLUMN(Prehľad!B89)*12+12,FALSE),VLOOKUP(Prehľad!$B89,Harmonogram!$F$2:$EW$150,COLUMN(Prehľad!B89)*12+7,FALSE))</f>
        <v>181997365.83000004</v>
      </c>
      <c r="L89" s="260">
        <f>IF(LEN($B89)=0,VLOOKUP($A89,Harmonogram!$A$1:$FA$162,COLUMN(Prehľad!C89)*12+12,FALSE),VLOOKUP(Prehľad!$B89,Harmonogram!$F$2:$EW$150,COLUMN(Prehľad!C89)*12+7,FALSE))</f>
        <v>473352871.42661899</v>
      </c>
      <c r="M89" s="260">
        <f>IF(LEN($B89)=0,VLOOKUP($A89,Harmonogram!$A$1:$FA$162,COLUMN(Prehľad!D89)*12+12,FALSE),VLOOKUP(Prehľad!$B89,Harmonogram!$F$2:$EW$150,COLUMN(Prehľad!D89)*12+7,FALSE))</f>
        <v>572694670.9708885</v>
      </c>
      <c r="N89" s="260">
        <f>IF(LEN($B89)=0,VLOOKUP($A89,Harmonogram!$A$1:$FA$162,COLUMN(Prehľad!E89)*12+12,FALSE),VLOOKUP(Prehľad!$B89,Harmonogram!$F$2:$EW$150,COLUMN(Prehľad!E89)*12+7,FALSE))</f>
        <v>371376916.72812021</v>
      </c>
      <c r="O89" s="260">
        <f>IF(LEN($B89)=0,VLOOKUP($A89,Harmonogram!$A$1:$FA$162,COLUMN(Prehľad!F89)*12+12,FALSE),VLOOKUP(Prehľad!$B89,Harmonogram!$F$2:$EW$150,COLUMN(Prehľad!F89)*12+7,FALSE))</f>
        <v>507462272.34097731</v>
      </c>
      <c r="P89" s="260">
        <f>IF(LEN($B89)=0,VLOOKUP($A89,Harmonogram!$A$1:$FA$162,COLUMN(Prehľad!G89)*12+12,FALSE),VLOOKUP(Prehľad!$B89,Harmonogram!$F$2:$EW$150,COLUMN(Prehľad!G89)*12+7,FALSE))</f>
        <v>524601026.16097742</v>
      </c>
      <c r="Q89" s="260">
        <f>IF(LEN($B89)=0,VLOOKUP($A89,Harmonogram!$A$1:$FA$162,COLUMN(Prehľad!H89)*12+12,FALSE),VLOOKUP(Prehľad!$B89,Harmonogram!$F$2:$EW$150,COLUMN(Prehľad!H89)*12+7,FALSE))</f>
        <v>447555557.97641969</v>
      </c>
      <c r="R89" s="260">
        <f>IF(LEN($B89)=0,VLOOKUP($A89,Harmonogram!$A$1:$FA$162,COLUMN(Prehľad!I89)*12+12,FALSE),VLOOKUP(Prehľad!$B89,Harmonogram!$F$2:$EW$150,COLUMN(Prehľad!I89)*12+7,FALSE))</f>
        <v>494652793.09478611</v>
      </c>
      <c r="S89" s="260">
        <f>IF(LEN($B89)=0,VLOOKUP($A89,Harmonogram!$A$1:$FA$162,COLUMN(Prehľad!J89)*12+12,FALSE),VLOOKUP(Prehľad!$B89,Harmonogram!$F$2:$EW$150,COLUMN(Prehľad!J89)*12+7,FALSE))</f>
        <v>444271811.09478605</v>
      </c>
      <c r="T89" s="262">
        <f>IF(LEN($B89)=0,VLOOKUP($A89,Harmonogram!$A$1:$FA$162,COLUMN(Prehľad!K89)*12+12,FALSE),VLOOKUP(Prehľad!$B89,Harmonogram!$F$2:$EW$150,COLUMN(Prehľad!K89)*12+7,FALSE))</f>
        <v>455806337.63048708</v>
      </c>
      <c r="U89" s="126"/>
      <c r="AF89" s="14"/>
      <c r="AG89" s="14"/>
    </row>
    <row r="90" spans="1:33" s="101" customFormat="1" x14ac:dyDescent="0.25">
      <c r="A90" s="196"/>
      <c r="B90" s="232" t="s">
        <v>1130</v>
      </c>
      <c r="C90" s="198"/>
      <c r="D90" s="198"/>
      <c r="E90" s="198"/>
      <c r="F90" s="183">
        <f>IF(ISBLANK(B90),"",IFERROR(VLOOKUP(B90,Harmonogram!$F$3:$EO$97,140,FALSE),"er"))</f>
        <v>0</v>
      </c>
      <c r="G90" s="177" t="str">
        <f>IFERROR(IF(IF(ISBLANK($B90),VLOOKUP($A90,Harmonogram!$A$1:$FA$162,COLUMN(Prehľad!D90)+6,FALSE),VLOOKUP(Prehľad!$B90,Harmonogram!$F$2:$EW$150,COLUMN(Prehľad!D90)+1,FALSE))=0,"",IF(ISBLANK($B90),VLOOKUP($A90,Harmonogram!$A$1:$FA$162,COLUMN(Prehľad!D90)+6,FALSE),VLOOKUP(Prehľad!$B90,Harmonogram!$F$2:$EW$150,COLUMN(Prehľad!D90)+1,FALSE))),"")</f>
        <v/>
      </c>
      <c r="H90" s="250" t="str">
        <f>IFERROR(IF(IF(ISBLANK($B90),VLOOKUP($A90,Harmonogram!$A$1:$FA$162,COLUMN(Prehľad!A90)+11,FALSE),VLOOKUP(Prehľad!$B90,Harmonogram!$F$2:$EW$150,COLUMN(Prehľad!A90)+6,FALSE))=0,"",IF(ISBLANK($B90),VLOOKUP($A90,Harmonogram!$A$1:$FA$162,COLUMN(Prehľad!A90)+11,FALSE),VLOOKUP(Prehľad!$B90,Harmonogram!$F$2:$EW$150,COLUMN(Prehľad!A90)+6,FALSE))),"")</f>
        <v/>
      </c>
      <c r="I90" s="260">
        <f>IF(LEN($B90)=0,VLOOKUP($A90,Harmonogram!$A$1:$FA$162,COLUMN(Prehľad!B90)+11,FALSE),VLOOKUP(Prehľad!$B90,Harmonogram!$F$2:$EW$150,COLUMN(Prehľad!B90)+6,FALSE))</f>
        <v>0</v>
      </c>
      <c r="J90" s="261">
        <f>IF(LEN($B90)=0,VLOOKUP($A90,Harmonogram!$A$1:$FA$162,COLUMN(Prehľad!A90)*12+12,FALSE),VLOOKUP(Prehľad!$B90,Harmonogram!$F$2:$EW$150,COLUMN(Prehľad!A90)*12+7,FALSE))</f>
        <v>0</v>
      </c>
      <c r="K90" s="260">
        <f>IF(LEN($B90)=0,VLOOKUP($A90,Harmonogram!$A$1:$FA$162,COLUMN(Prehľad!B90)*12+12,FALSE),VLOOKUP(Prehľad!$B90,Harmonogram!$F$2:$EW$150,COLUMN(Prehľad!B90)*12+7,FALSE))</f>
        <v>352122013.77589434</v>
      </c>
      <c r="L90" s="260">
        <f>IF(LEN($B90)=0,VLOOKUP($A90,Harmonogram!$A$1:$FA$162,COLUMN(Prehľad!C90)*12+12,FALSE),VLOOKUP(Prehľad!$B90,Harmonogram!$F$2:$EW$150,COLUMN(Prehľad!C90)*12+7,FALSE))</f>
        <v>366931124.11526299</v>
      </c>
      <c r="M90" s="260">
        <f>IF(LEN($B90)=0,VLOOKUP($A90,Harmonogram!$A$1:$FA$162,COLUMN(Prehľad!D90)*12+12,FALSE),VLOOKUP(Prehľad!$B90,Harmonogram!$F$2:$EW$150,COLUMN(Prehľad!D90)*12+7,FALSE))</f>
        <v>385268286.33042908</v>
      </c>
      <c r="N90" s="260">
        <f>IF(LEN($B90)=0,VLOOKUP($A90,Harmonogram!$A$1:$FA$162,COLUMN(Prehľad!E90)*12+12,FALSE),VLOOKUP(Prehľad!$B90,Harmonogram!$F$2:$EW$150,COLUMN(Prehľad!E90)*12+7,FALSE))</f>
        <v>388017458.65171349</v>
      </c>
      <c r="O90" s="260">
        <f>IF(LEN($B90)=0,VLOOKUP($A90,Harmonogram!$A$1:$FA$162,COLUMN(Prehľad!F90)*12+12,FALSE),VLOOKUP(Prehľad!$B90,Harmonogram!$F$2:$EW$150,COLUMN(Prehľad!F90)*12+7,FALSE))</f>
        <v>394225737.99014086</v>
      </c>
      <c r="P90" s="260">
        <f>IF(LEN($B90)=0,VLOOKUP($A90,Harmonogram!$A$1:$FA$162,COLUMN(Prehľad!G90)*12+12,FALSE),VLOOKUP(Prehľad!$B90,Harmonogram!$F$2:$EW$150,COLUMN(Prehľad!G90)*12+7,FALSE))</f>
        <v>400533349.79798311</v>
      </c>
      <c r="Q90" s="260">
        <f>IF(LEN($B90)=0,VLOOKUP($A90,Harmonogram!$A$1:$FA$162,COLUMN(Prehľad!H90)*12+12,FALSE),VLOOKUP(Prehľad!$B90,Harmonogram!$F$2:$EW$150,COLUMN(Prehľad!H90)*12+7,FALSE))</f>
        <v>406941883.39475083</v>
      </c>
      <c r="R90" s="260">
        <f>IF(LEN($B90)=0,VLOOKUP($A90,Harmonogram!$A$1:$FA$162,COLUMN(Prehľad!I90)*12+12,FALSE),VLOOKUP(Prehľad!$B90,Harmonogram!$F$2:$EW$150,COLUMN(Prehľad!I90)*12+7,FALSE))</f>
        <v>413452953.52906686</v>
      </c>
      <c r="S90" s="260">
        <f>IF(LEN($B90)=0,VLOOKUP($A90,Harmonogram!$A$1:$FA$162,COLUMN(Prehľad!J90)*12+12,FALSE),VLOOKUP(Prehľad!$B90,Harmonogram!$F$2:$EW$150,COLUMN(Prehľad!J90)*12+7,FALSE))</f>
        <v>420068200.78553194</v>
      </c>
      <c r="T90" s="262">
        <f>IF(LEN($B90)=0,VLOOKUP($A90,Harmonogram!$A$1:$FA$162,COLUMN(Prehľad!K90)*12+12,FALSE),VLOOKUP(Prehľad!$B90,Harmonogram!$F$2:$EW$150,COLUMN(Prehľad!K90)*12+7,FALSE))</f>
        <v>427209360.19888592</v>
      </c>
      <c r="U90" s="127"/>
      <c r="AF90" s="14"/>
      <c r="AG90" s="14"/>
    </row>
    <row r="91" spans="1:33" s="101" customFormat="1" x14ac:dyDescent="0.25">
      <c r="A91" s="197"/>
      <c r="B91" s="183" t="s">
        <v>1142</v>
      </c>
      <c r="C91" s="198"/>
      <c r="D91" s="198"/>
      <c r="E91" s="198"/>
      <c r="F91" s="183">
        <f>IF(ISBLANK(B91),"",IFERROR(VLOOKUP(B91,Harmonogram!$F$3:$EO$97,140,FALSE),"er"))</f>
        <v>0</v>
      </c>
      <c r="G91" s="177" t="str">
        <f>IFERROR(IF(IF(ISBLANK($B91),VLOOKUP($A91,Harmonogram!$A$1:$FA$162,COLUMN(Prehľad!D91)+6,FALSE),VLOOKUP(Prehľad!$B91,Harmonogram!$F$2:$EW$150,COLUMN(Prehľad!D91)+1,FALSE))=0,"",IF(ISBLANK($B91),VLOOKUP($A91,Harmonogram!$A$1:$FA$162,COLUMN(Prehľad!D91)+6,FALSE),VLOOKUP(Prehľad!$B91,Harmonogram!$F$2:$EW$150,COLUMN(Prehľad!D91)+1,FALSE))),"")</f>
        <v/>
      </c>
      <c r="H91" s="250" t="str">
        <f>IFERROR(IF(IF(ISBLANK($B91),VLOOKUP($A91,Harmonogram!$A$1:$FA$162,COLUMN(Prehľad!A91)+11,FALSE),VLOOKUP(Prehľad!$B91,Harmonogram!$F$2:$EW$150,COLUMN(Prehľad!A91)+6,FALSE))=0,"",IF(ISBLANK($B91),VLOOKUP($A91,Harmonogram!$A$1:$FA$162,COLUMN(Prehľad!A91)+11,FALSE),VLOOKUP(Prehľad!$B91,Harmonogram!$F$2:$EW$150,COLUMN(Prehľad!A91)+6,FALSE))),"")</f>
        <v/>
      </c>
      <c r="I91" s="260">
        <f>IF(LEN($B91)=0,VLOOKUP($A91,Harmonogram!$A$1:$FA$162,COLUMN(Prehľad!B91)+11,FALSE),VLOOKUP(Prehľad!$B91,Harmonogram!$F$2:$EW$150,COLUMN(Prehľad!B91)+6,FALSE))</f>
        <v>0</v>
      </c>
      <c r="J91" s="261">
        <f>IF(LEN($B91)=0,VLOOKUP($A91,Harmonogram!$A$1:$FA$162,COLUMN(Prehľad!A91)*12+12,FALSE),VLOOKUP(Prehľad!$B91,Harmonogram!$F$2:$EW$150,COLUMN(Prehľad!A91)*12+7,FALSE))</f>
        <v>0</v>
      </c>
      <c r="K91" s="260">
        <f>IF(LEN($B91)=0,VLOOKUP($A91,Harmonogram!$A$1:$FA$162,COLUMN(Prehľad!B91)*12+12,FALSE),VLOOKUP(Prehľad!$B91,Harmonogram!$F$2:$EW$150,COLUMN(Prehľad!B91)*12+7,FALSE))</f>
        <v>170124647.9458943</v>
      </c>
      <c r="L91" s="260">
        <f>IF(LEN($B91)=0,VLOOKUP($A91,Harmonogram!$A$1:$FA$162,COLUMN(Prehľad!C91)*12+12,FALSE),VLOOKUP(Prehľad!$B91,Harmonogram!$F$2:$EW$150,COLUMN(Prehľad!C91)*12+7,FALSE))</f>
        <v>-106421747.31135601</v>
      </c>
      <c r="M91" s="260">
        <f>IF(LEN($B91)=0,VLOOKUP($A91,Harmonogram!$A$1:$FA$162,COLUMN(Prehľad!D91)*12+12,FALSE),VLOOKUP(Prehľad!$B91,Harmonogram!$F$2:$EW$150,COLUMN(Prehľad!D91)*12+7,FALSE))</f>
        <v>-187426384.64045942</v>
      </c>
      <c r="N91" s="260">
        <f>IF(LEN($B91)=0,VLOOKUP($A91,Harmonogram!$A$1:$FA$162,COLUMN(Prehľad!E91)*12+12,FALSE),VLOOKUP(Prehľad!$B91,Harmonogram!$F$2:$EW$150,COLUMN(Prehľad!E91)*12+7,FALSE))</f>
        <v>16640541.923593283</v>
      </c>
      <c r="O91" s="260">
        <f>IF(LEN($B91)=0,VLOOKUP($A91,Harmonogram!$A$1:$FA$162,COLUMN(Prehľad!F91)*12+12,FALSE),VLOOKUP(Prehľad!$B91,Harmonogram!$F$2:$EW$150,COLUMN(Prehľad!F91)*12+7,FALSE))</f>
        <v>-113236534.35083646</v>
      </c>
      <c r="P91" s="260">
        <f>IF(LEN($B91)=0,VLOOKUP($A91,Harmonogram!$A$1:$FA$162,COLUMN(Prehľad!G91)*12+12,FALSE),VLOOKUP(Prehľad!$B91,Harmonogram!$F$2:$EW$150,COLUMN(Prehľad!G91)*12+7,FALSE))</f>
        <v>-124067676.36299431</v>
      </c>
      <c r="Q91" s="260">
        <f>IF(LEN($B91)=0,VLOOKUP($A91,Harmonogram!$A$1:$FA$162,COLUMN(Prehľad!H91)*12+12,FALSE),VLOOKUP(Prehľad!$B91,Harmonogram!$F$2:$EW$150,COLUMN(Prehľad!H91)*12+7,FALSE))</f>
        <v>-40613674.581668854</v>
      </c>
      <c r="R91" s="260">
        <f>IF(LEN($B91)=0,VLOOKUP($A91,Harmonogram!$A$1:$FA$162,COLUMN(Prehľad!I91)*12+12,FALSE),VLOOKUP(Prehľad!$B91,Harmonogram!$F$2:$EW$150,COLUMN(Prehľad!I91)*12+7,FALSE))</f>
        <v>-81199839.565719247</v>
      </c>
      <c r="S91" s="260">
        <f>IF(LEN($B91)=0,VLOOKUP($A91,Harmonogram!$A$1:$FA$162,COLUMN(Prehľad!J91)*12+12,FALSE),VLOOKUP(Prehľad!$B91,Harmonogram!$F$2:$EW$150,COLUMN(Prehľad!J91)*12+7,FALSE))</f>
        <v>-24203610.30925411</v>
      </c>
      <c r="T91" s="262">
        <f>IF(LEN($B91)=0,VLOOKUP($A91,Harmonogram!$A$1:$FA$162,COLUMN(Prehľad!K91)*12+12,FALSE),VLOOKUP(Prehľad!$B91,Harmonogram!$F$2:$EW$150,COLUMN(Prehľad!K91)*12+7,FALSE))</f>
        <v>-28596977.431601167</v>
      </c>
      <c r="AF91" s="14"/>
      <c r="AG91" s="14"/>
    </row>
    <row r="92" spans="1:33" s="101" customFormat="1" x14ac:dyDescent="0.25">
      <c r="A92" s="197"/>
      <c r="B92" s="183" t="s">
        <v>1309</v>
      </c>
      <c r="C92" s="198"/>
      <c r="D92" s="198"/>
      <c r="E92" s="198"/>
      <c r="F92" s="183">
        <f>IF(ISBLANK(B92),"",IFERROR(VLOOKUP(B92,Harmonogram!$F$3:$EO$97,140,FALSE),"er"))</f>
        <v>0</v>
      </c>
      <c r="G92" s="177" t="str">
        <f>IFERROR(IF(IF(ISBLANK($B92),VLOOKUP($A92,Harmonogram!$A$1:$FA$162,COLUMN(Prehľad!D92)+6,FALSE),VLOOKUP(Prehľad!$B92,Harmonogram!$F$2:$EW$150,COLUMN(Prehľad!D92)+1,FALSE))=0,"",IF(ISBLANK($B92),VLOOKUP($A92,Harmonogram!$A$1:$FA$162,COLUMN(Prehľad!D92)+6,FALSE),VLOOKUP(Prehľad!$B92,Harmonogram!$F$2:$EW$150,COLUMN(Prehľad!D92)+1,FALSE))),"")</f>
        <v/>
      </c>
      <c r="H92" s="250" t="str">
        <f>IFERROR(IF(IF(ISBLANK($B92),VLOOKUP($A92,Harmonogram!$A$1:$FA$162,COLUMN(Prehľad!A92)+11,FALSE),VLOOKUP(Prehľad!$B92,Harmonogram!$F$2:$EW$150,COLUMN(Prehľad!A92)+6,FALSE))=0,"",IF(ISBLANK($B92),VLOOKUP($A92,Harmonogram!$A$1:$FA$162,COLUMN(Prehľad!A92)+11,FALSE),VLOOKUP(Prehľad!$B92,Harmonogram!$F$2:$EW$150,COLUMN(Prehľad!A92)+6,FALSE))),"")</f>
        <v/>
      </c>
      <c r="I92" s="260">
        <f>IF(LEN($B92)=0,VLOOKUP($A92,Harmonogram!$A$1:$FA$162,COLUMN(Prehľad!B92)+11,FALSE),VLOOKUP(Prehľad!$B92,Harmonogram!$F$2:$EW$150,COLUMN(Prehľad!B92)+6,FALSE))</f>
        <v>0</v>
      </c>
      <c r="J92" s="261">
        <f>IF(LEN($B92)=0,VLOOKUP($A92,Harmonogram!$A$1:$FA$162,COLUMN(Prehľad!A92)*12+12,FALSE),VLOOKUP(Prehľad!$B92,Harmonogram!$F$2:$EW$150,COLUMN(Prehľad!A92)*12+7,FALSE))</f>
        <v>203998427.43000004</v>
      </c>
      <c r="K92" s="260">
        <f>IF(LEN($B92)=0,VLOOKUP($A92,Harmonogram!$A$1:$FA$162,COLUMN(Prehľad!B92)*12+12,FALSE),VLOOKUP(Prehľad!$B92,Harmonogram!$F$2:$EW$150,COLUMN(Prehľad!B92)*12+7,FALSE))</f>
        <v>57473669.270000003</v>
      </c>
      <c r="L92" s="260">
        <f>IF(LEN($B92)=0,VLOOKUP($A92,Harmonogram!$A$1:$FA$162,COLUMN(Prehľad!C92)*12+12,FALSE),VLOOKUP(Prehľad!$B92,Harmonogram!$F$2:$EW$150,COLUMN(Prehľad!C92)*12+7,FALSE))</f>
        <v>206166966.00853518</v>
      </c>
      <c r="M92" s="260">
        <f>IF(LEN($B92)=0,VLOOKUP($A92,Harmonogram!$A$1:$FA$162,COLUMN(Prehľad!D92)*12+12,FALSE),VLOOKUP(Prehľad!$B92,Harmonogram!$F$2:$EW$150,COLUMN(Prehľad!D92)*12+7,FALSE))</f>
        <v>163061037.82534367</v>
      </c>
      <c r="N92" s="260">
        <f>IF(LEN($B92)=0,VLOOKUP($A92,Harmonogram!$A$1:$FA$162,COLUMN(Prehľad!E92)*12+12,FALSE),VLOOKUP(Prehľad!$B92,Harmonogram!$F$2:$EW$150,COLUMN(Prehľad!E92)*12+7,FALSE))</f>
        <v>101747977.1910488</v>
      </c>
      <c r="O92" s="260">
        <f>IF(LEN($B92)=0,VLOOKUP($A92,Harmonogram!$A$1:$FA$162,COLUMN(Prehľad!F92)*12+12,FALSE),VLOOKUP(Prehľad!$B92,Harmonogram!$F$2:$EW$150,COLUMN(Prehľad!F92)*12+7,FALSE))</f>
        <v>98372418.340977371</v>
      </c>
      <c r="P92" s="260">
        <f>IF(LEN($B92)=0,VLOOKUP($A92,Harmonogram!$A$1:$FA$162,COLUMN(Prehľad!G92)*12+12,FALSE),VLOOKUP(Prehľad!$B92,Harmonogram!$F$2:$EW$150,COLUMN(Prehľad!G92)*12+7,FALSE))</f>
        <v>97280283.160977364</v>
      </c>
      <c r="Q92" s="260">
        <f>IF(LEN($B92)=0,VLOOKUP($A92,Harmonogram!$A$1:$FA$162,COLUMN(Prehľad!H92)*12+12,FALSE),VLOOKUP(Prehľad!$B92,Harmonogram!$F$2:$EW$150,COLUMN(Prehľad!H92)*12+7,FALSE))</f>
        <v>281366814.97641969</v>
      </c>
      <c r="R92" s="260">
        <f>IF(LEN($B92)=0,VLOOKUP($A92,Harmonogram!$A$1:$FA$162,COLUMN(Prehľad!I92)*12+12,FALSE),VLOOKUP(Prehľad!$B92,Harmonogram!$F$2:$EW$150,COLUMN(Prehľad!I92)*12+7,FALSE))</f>
        <v>410302833.09478611</v>
      </c>
      <c r="S92" s="260">
        <f>IF(LEN($B92)=0,VLOOKUP($A92,Harmonogram!$A$1:$FA$162,COLUMN(Prehľad!J92)*12+12,FALSE),VLOOKUP(Prehľad!$B92,Harmonogram!$F$2:$EW$150,COLUMN(Prehľad!J92)*12+7,FALSE))</f>
        <v>444271811.09478605</v>
      </c>
      <c r="T92" s="262">
        <f>IF(LEN($B92)=0,VLOOKUP($A92,Harmonogram!$A$1:$FA$162,COLUMN(Prehľad!K92)*12+12,FALSE),VLOOKUP(Prehľad!$B92,Harmonogram!$F$2:$EW$150,COLUMN(Prehľad!K92)*12+7,FALSE))</f>
        <v>455806337.63048708</v>
      </c>
      <c r="AF92" s="14"/>
      <c r="AG92" s="14"/>
    </row>
    <row r="93" spans="1:33" s="101" customFormat="1" x14ac:dyDescent="0.25">
      <c r="A93" s="197"/>
      <c r="B93" s="183" t="s">
        <v>1277</v>
      </c>
      <c r="C93" s="198"/>
      <c r="D93" s="198"/>
      <c r="E93" s="198"/>
      <c r="F93" s="183">
        <f>IF(ISBLANK(B93),"",IFERROR(VLOOKUP(B93,Harmonogram!$F$3:$EO$97,140,FALSE),"er"))</f>
        <v>0</v>
      </c>
      <c r="G93" s="177" t="str">
        <f>IFERROR(IF(IF(ISBLANK($B93),VLOOKUP($A93,Harmonogram!$A$1:$FA$162,COLUMN(Prehľad!D93)+6,FALSE),VLOOKUP(Prehľad!$B93,Harmonogram!$F$2:$EW$150,COLUMN(Prehľad!D93)+1,FALSE))=0,"",IF(ISBLANK($B93),VLOOKUP($A93,Harmonogram!$A$1:$FA$162,COLUMN(Prehľad!D93)+6,FALSE),VLOOKUP(Prehľad!$B93,Harmonogram!$F$2:$EW$150,COLUMN(Prehľad!D93)+1,FALSE))),"")</f>
        <v/>
      </c>
      <c r="H93" s="250" t="str">
        <f>IFERROR(IF(IF(ISBLANK($B93),VLOOKUP($A93,Harmonogram!$A$1:$FA$162,COLUMN(Prehľad!A93)+11,FALSE),VLOOKUP(Prehľad!$B93,Harmonogram!$F$2:$EW$150,COLUMN(Prehľad!A93)+6,FALSE))=0,"",IF(ISBLANK($B93),VLOOKUP($A93,Harmonogram!$A$1:$FA$162,COLUMN(Prehľad!A93)+11,FALSE),VLOOKUP(Prehľad!$B93,Harmonogram!$F$2:$EW$150,COLUMN(Prehľad!A93)+6,FALSE))),"")</f>
        <v/>
      </c>
      <c r="I93" s="260">
        <f>IF(LEN($B93)=0,VLOOKUP($A93,Harmonogram!$A$1:$FA$162,COLUMN(Prehľad!B93)+11,FALSE),VLOOKUP(Prehľad!$B93,Harmonogram!$F$2:$EW$150,COLUMN(Prehľad!B93)+6,FALSE))</f>
        <v>0</v>
      </c>
      <c r="J93" s="261">
        <f>IF(LEN($B93)=0,VLOOKUP($A93,Harmonogram!$A$1:$FA$162,COLUMN(Prehľad!A93)*12+12,FALSE),VLOOKUP(Prehľad!$B93,Harmonogram!$F$2:$EW$150,COLUMN(Prehľad!A93)*12+7,FALSE))</f>
        <v>270631149.88999999</v>
      </c>
      <c r="K93" s="260">
        <f>IF(LEN($B93)=0,VLOOKUP($A93,Harmonogram!$A$1:$FA$162,COLUMN(Prehľad!B93)*12+12,FALSE),VLOOKUP(Prehľad!$B93,Harmonogram!$F$2:$EW$150,COLUMN(Prehľad!B93)*12+7,FALSE))</f>
        <v>111656761.72999999</v>
      </c>
      <c r="L93" s="260">
        <f>IF(LEN($B93)=0,VLOOKUP($A93,Harmonogram!$A$1:$FA$162,COLUMN(Prehľad!C93)*12+12,FALSE),VLOOKUP(Prehľad!$B93,Harmonogram!$F$2:$EW$150,COLUMN(Prehľad!C93)*12+7,FALSE))</f>
        <v>264762354.67808381</v>
      </c>
      <c r="M93" s="260">
        <f>IF(LEN($B93)=0,VLOOKUP($A93,Harmonogram!$A$1:$FA$162,COLUMN(Prehľad!D93)*12+12,FALSE),VLOOKUP(Prehľad!$B93,Harmonogram!$F$2:$EW$150,COLUMN(Prehľad!D93)*12+7,FALSE))</f>
        <v>408963633.14554471</v>
      </c>
      <c r="N93" s="260">
        <f>IF(LEN($B93)=0,VLOOKUP($A93,Harmonogram!$A$1:$FA$162,COLUMN(Prehľad!E93)*12+12,FALSE),VLOOKUP(Prehľad!$B93,Harmonogram!$F$2:$EW$150,COLUMN(Prehľad!E93)*12+7,FALSE))</f>
        <v>262718939.53707144</v>
      </c>
      <c r="O93" s="260">
        <f>IF(LEN($B93)=0,VLOOKUP($A93,Harmonogram!$A$1:$FA$162,COLUMN(Prehľad!F93)*12+12,FALSE),VLOOKUP(Prehľad!$B93,Harmonogram!$F$2:$EW$150,COLUMN(Prehľad!F93)*12+7,FALSE))</f>
        <v>395858854</v>
      </c>
      <c r="P93" s="260">
        <f>IF(LEN($B93)=0,VLOOKUP($A93,Harmonogram!$A$1:$FA$162,COLUMN(Prehľad!G93)*12+12,FALSE),VLOOKUP(Prehľad!$B93,Harmonogram!$F$2:$EW$150,COLUMN(Prehľad!G93)*12+7,FALSE))</f>
        <v>410569743</v>
      </c>
      <c r="Q93" s="260">
        <f>IF(LEN($B93)=0,VLOOKUP($A93,Harmonogram!$A$1:$FA$162,COLUMN(Prehľad!H93)*12+12,FALSE),VLOOKUP(Prehľad!$B93,Harmonogram!$F$2:$EW$150,COLUMN(Prehľad!H93)*12+7,FALSE))</f>
        <v>155638743</v>
      </c>
      <c r="R93" s="260">
        <f>IF(LEN($B93)=0,VLOOKUP($A93,Harmonogram!$A$1:$FA$162,COLUMN(Prehľad!I93)*12+12,FALSE),VLOOKUP(Prehľad!$B93,Harmonogram!$F$2:$EW$150,COLUMN(Prehľad!I93)*12+7,FALSE))</f>
        <v>81849960</v>
      </c>
      <c r="S93" s="260">
        <f>IF(LEN($B93)=0,VLOOKUP($A93,Harmonogram!$A$1:$FA$162,COLUMN(Prehľad!J93)*12+12,FALSE),VLOOKUP(Prehľad!$B93,Harmonogram!$F$2:$EW$150,COLUMN(Prehľad!J93)*12+7,FALSE))</f>
        <v>0</v>
      </c>
      <c r="T93" s="262">
        <f>IF(LEN($B93)=0,VLOOKUP($A93,Harmonogram!$A$1:$FA$162,COLUMN(Prehľad!K93)*12+12,FALSE),VLOOKUP(Prehľad!$B93,Harmonogram!$F$2:$EW$150,COLUMN(Prehľad!K93)*12+7,FALSE))</f>
        <v>0</v>
      </c>
      <c r="AF93" s="14"/>
      <c r="AG93" s="14"/>
    </row>
    <row r="94" spans="1:33" ht="15.75" thickBot="1" x14ac:dyDescent="0.3">
      <c r="A94" s="199"/>
      <c r="B94" s="226" t="s">
        <v>1307</v>
      </c>
      <c r="C94" s="200"/>
      <c r="D94" s="200"/>
      <c r="E94" s="200"/>
      <c r="F94" s="226">
        <f>IF(ISBLANK(B94),"",IFERROR(VLOOKUP(B94,Harmonogram!$F$3:$EO$97,140,FALSE),"er"))</f>
        <v>0</v>
      </c>
      <c r="G94" s="189" t="str">
        <f>IFERROR(IF(IF(ISBLANK($B94),VLOOKUP($A94,Harmonogram!$A$1:$FA$162,COLUMN(Prehľad!D94)+6,FALSE),VLOOKUP(Prehľad!$B94,Harmonogram!$F$2:$EW$150,COLUMN(Prehľad!D94)+1,FALSE))=0,"",IF(ISBLANK($B94),VLOOKUP($A94,Harmonogram!$A$1:$FA$162,COLUMN(Prehľad!D94)+6,FALSE),VLOOKUP(Prehľad!$B94,Harmonogram!$F$2:$EW$150,COLUMN(Prehľad!D94)+1,FALSE))),"")</f>
        <v/>
      </c>
      <c r="H94" s="256" t="str">
        <f>IFERROR(IF(IF(ISBLANK($B94),VLOOKUP($A94,Harmonogram!$A$1:$FA$162,COLUMN(Prehľad!A94)+11,FALSE),VLOOKUP(Prehľad!$B94,Harmonogram!$F$2:$EW$150,COLUMN(Prehľad!A94)+6,FALSE))=0,"",IF(ISBLANK($B94),VLOOKUP($A94,Harmonogram!$A$1:$FA$162,COLUMN(Prehľad!A94)+11,FALSE),VLOOKUP(Prehľad!$B94,Harmonogram!$F$2:$EW$150,COLUMN(Prehľad!A94)+6,FALSE))),"")</f>
        <v/>
      </c>
      <c r="I94" s="263">
        <f>IF(LEN($B94)=0,VLOOKUP($A94,Harmonogram!$A$1:$FA$162,COLUMN(Prehľad!B94)+11,FALSE),VLOOKUP(Prehľad!$B94,Harmonogram!$F$2:$EW$150,COLUMN(Prehľad!B94)+6,FALSE))</f>
        <v>0</v>
      </c>
      <c r="J94" s="264">
        <f>IF(LEN($B94)=0,VLOOKUP($A94,Harmonogram!$A$1:$FA$162,COLUMN(Prehľad!A94)*12+12,FALSE),VLOOKUP(Prehľad!$B94,Harmonogram!$F$2:$EW$150,COLUMN(Prehľad!A94)*12+7,FALSE))</f>
        <v>37439996.615000002</v>
      </c>
      <c r="K94" s="263">
        <f>IF(LEN($B94)=0,VLOOKUP($A94,Harmonogram!$A$1:$FA$162,COLUMN(Prehľad!B94)*12+12,FALSE),VLOOKUP(Prehľad!$B94,Harmonogram!$F$2:$EW$150,COLUMN(Prehľad!B94)*12+7,FALSE))</f>
        <v>12866934.830000002</v>
      </c>
      <c r="L94" s="263">
        <f>IF(LEN($B94)=0,VLOOKUP($A94,Harmonogram!$A$1:$FA$162,COLUMN(Prehľad!C94)*12+12,FALSE),VLOOKUP(Prehľad!$B94,Harmonogram!$F$2:$EW$150,COLUMN(Prehľad!C94)*12+7,FALSE))</f>
        <v>2423550.7400000002</v>
      </c>
      <c r="M94" s="263">
        <f>IF(LEN($B94)=0,VLOOKUP($A94,Harmonogram!$A$1:$FA$162,COLUMN(Prehľad!D94)*12+12,FALSE),VLOOKUP(Prehľad!$B94,Harmonogram!$F$2:$EW$150,COLUMN(Prehľad!D94)*12+7,FALSE))</f>
        <v>670000</v>
      </c>
      <c r="N94" s="263">
        <f>IF(LEN($B94)=0,VLOOKUP($A94,Harmonogram!$A$1:$FA$162,COLUMN(Prehľad!E94)*12+12,FALSE),VLOOKUP(Prehľad!$B94,Harmonogram!$F$2:$EW$150,COLUMN(Prehľad!E94)*12+7,FALSE))</f>
        <v>6910000</v>
      </c>
      <c r="O94" s="263">
        <f>IF(LEN($B94)=0,VLOOKUP($A94,Harmonogram!$A$1:$FA$162,COLUMN(Prehľad!F94)*12+12,FALSE),VLOOKUP(Prehľad!$B94,Harmonogram!$F$2:$EW$150,COLUMN(Prehľad!F94)*12+7,FALSE))</f>
        <v>13231000</v>
      </c>
      <c r="P94" s="263">
        <f>IF(LEN($B94)=0,VLOOKUP($A94,Harmonogram!$A$1:$FA$162,COLUMN(Prehľad!G94)*12+12,FALSE),VLOOKUP(Prehľad!$B94,Harmonogram!$F$2:$EW$150,COLUMN(Prehľad!G94)*12+7,FALSE))</f>
        <v>16751000</v>
      </c>
      <c r="Q94" s="263">
        <f>IF(LEN($B94)=0,VLOOKUP($A94,Harmonogram!$A$1:$FA$162,COLUMN(Prehľad!H94)*12+12,FALSE),VLOOKUP(Prehľad!$B94,Harmonogram!$F$2:$EW$150,COLUMN(Prehľad!H94)*12+7,FALSE))</f>
        <v>10550000</v>
      </c>
      <c r="R94" s="263">
        <f>IF(LEN($B94)=0,VLOOKUP($A94,Harmonogram!$A$1:$FA$162,COLUMN(Prehľad!I94)*12+12,FALSE),VLOOKUP(Prehľad!$B94,Harmonogram!$F$2:$EW$150,COLUMN(Prehľad!I94)*12+7,FALSE))</f>
        <v>2500000</v>
      </c>
      <c r="S94" s="263">
        <f>IF(LEN($B94)=0,VLOOKUP($A94,Harmonogram!$A$1:$FA$162,COLUMN(Prehľad!J94)*12+12,FALSE),VLOOKUP(Prehľad!$B94,Harmonogram!$F$2:$EW$150,COLUMN(Prehľad!J94)*12+7,FALSE))</f>
        <v>0</v>
      </c>
      <c r="T94" s="265">
        <f>IF(LEN($B94)=0,VLOOKUP($A94,Harmonogram!$A$1:$FA$162,COLUMN(Prehľad!K94)*12+12,FALSE),VLOOKUP(Prehľad!$B94,Harmonogram!$F$2:$EW$150,COLUMN(Prehľad!K94)*12+7,FALSE))</f>
        <v>0</v>
      </c>
    </row>
    <row r="95" spans="1:33" x14ac:dyDescent="0.25">
      <c r="B95" s="233"/>
      <c r="C95" s="234"/>
      <c r="D95" s="234"/>
      <c r="E95" s="234"/>
    </row>
    <row r="96" spans="1:33" x14ac:dyDescent="0.25">
      <c r="A96" s="247"/>
      <c r="B96" s="234" t="s">
        <v>1312</v>
      </c>
      <c r="C96" s="234"/>
      <c r="D96" s="234"/>
      <c r="E96" s="234"/>
    </row>
    <row r="97" spans="1:5" x14ac:dyDescent="0.25">
      <c r="A97" s="248"/>
      <c r="B97" s="234" t="s">
        <v>1311</v>
      </c>
      <c r="C97" s="234"/>
      <c r="D97" s="234"/>
      <c r="E97" s="234"/>
    </row>
    <row r="143" spans="9:15" x14ac:dyDescent="0.25">
      <c r="I143" s="90"/>
      <c r="J143" s="90"/>
      <c r="K143" s="90"/>
      <c r="L143" s="90"/>
      <c r="M143" s="90"/>
      <c r="N143" s="90"/>
      <c r="O143" s="90"/>
    </row>
  </sheetData>
  <sheetProtection algorithmName="SHA-512" hashValue="16k4E//glEgujjkhOA8eyDJ7PBI79GpUqLHxoxTF0QnZb1Yd36U0/Uegh2ItqF2yNotkJbNSdG8s9B5My/AERw==" saltValue="VYfcrCvTGsawZSKf2cGTPw==" spinCount="100000" sheet="1" objects="1" scenarios="1"/>
  <autoFilter ref="A2:T90"/>
  <conditionalFormatting sqref="A3:T59 A61:T94 B60:T60">
    <cfRule type="expression" dxfId="18" priority="11" stopIfTrue="1">
      <formula>$A3="Plánované výdavky podľa harmonogramu"</formula>
    </cfRule>
    <cfRule type="expression" dxfId="17" priority="12" stopIfTrue="1">
      <formula>$A3="Priorizácia"</formula>
    </cfRule>
    <cfRule type="expression" dxfId="16" priority="13" stopIfTrue="1">
      <formula>LEN($B3)=0</formula>
    </cfRule>
  </conditionalFormatting>
  <conditionalFormatting sqref="K3:T94">
    <cfRule type="expression" dxfId="15" priority="15" stopIfTrue="1">
      <formula>AND(NOT(ISBLANK($B3)),SUM(K3:$K3)/$I3&gt;0.1,K3&gt;0)</formula>
    </cfRule>
    <cfRule type="expression" dxfId="14" priority="16">
      <formula>AND(NOT(ISBLANK($B3)),SUM(K3:$K3)/$I3&lt;=0.1,SUM(K3:$K3)&gt;0.1)</formula>
    </cfRule>
  </conditionalFormatting>
  <pageMargins left="0.23622047244094491" right="0.23622047244094491" top="0.74803149606299213" bottom="0.74803149606299213" header="0.31496062992125984" footer="0.31496062992125984"/>
  <pageSetup paperSize="8" scale="51" fitToHeight="0" orientation="landscape" r:id="rId1"/>
  <headerFooter>
    <oddFooter>&amp;LPríloha č. 1_Prehľad&amp;R&amp;P l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Z152"/>
  <sheetViews>
    <sheetView zoomScale="70" zoomScaleNormal="70" zoomScalePageLayoutView="40" workbookViewId="0">
      <pane ySplit="2" topLeftCell="A78" activePane="bottomLeft" state="frozen"/>
      <selection pane="bottomLeft" activeCell="G81" sqref="G81"/>
    </sheetView>
  </sheetViews>
  <sheetFormatPr defaultColWidth="9.140625" defaultRowHeight="15" x14ac:dyDescent="0.25"/>
  <cols>
    <col min="1" max="1" width="17.28515625" style="9" customWidth="1"/>
    <col min="2" max="2" width="16" style="95" customWidth="1"/>
    <col min="3" max="4" width="9.140625" style="95"/>
    <col min="5" max="5" width="10.5703125" style="95" bestFit="1" customWidth="1"/>
    <col min="6" max="6" width="31.42578125" style="121" customWidth="1"/>
    <col min="7" max="9" width="51.140625" style="121" customWidth="1"/>
    <col min="10" max="10" width="20.5703125" style="36" customWidth="1"/>
    <col min="11" max="11" width="21.5703125" style="36" customWidth="1"/>
    <col min="12" max="12" width="13" style="95" customWidth="1"/>
    <col min="13" max="13" width="23.5703125" style="154" bestFit="1" customWidth="1"/>
    <col min="14" max="144" width="16.140625" style="154" customWidth="1"/>
    <col min="145" max="145" width="17.85546875" style="9" customWidth="1"/>
    <col min="146" max="16384" width="9.140625" style="9"/>
  </cols>
  <sheetData>
    <row r="1" spans="1:145" x14ac:dyDescent="0.25">
      <c r="A1" s="152"/>
      <c r="B1" s="153"/>
      <c r="C1" s="153"/>
      <c r="D1" s="153"/>
      <c r="E1" s="153"/>
      <c r="F1" s="113"/>
      <c r="G1" s="113"/>
      <c r="H1" s="113"/>
      <c r="I1" s="113"/>
      <c r="J1" s="289"/>
      <c r="K1" s="290"/>
      <c r="L1" s="291"/>
      <c r="M1" s="292"/>
      <c r="N1" s="161" t="s">
        <v>1053</v>
      </c>
      <c r="O1" s="162"/>
      <c r="P1" s="162"/>
      <c r="Q1" s="162"/>
      <c r="R1" s="162"/>
      <c r="S1" s="162"/>
      <c r="T1" s="162"/>
      <c r="U1" s="162"/>
      <c r="V1" s="162"/>
      <c r="W1" s="163"/>
      <c r="X1" s="97" t="s">
        <v>1054</v>
      </c>
      <c r="Y1" s="492" t="s">
        <v>1119</v>
      </c>
      <c r="Z1" s="493"/>
      <c r="AA1" s="493"/>
      <c r="AB1" s="493"/>
      <c r="AC1" s="493"/>
      <c r="AD1" s="493"/>
      <c r="AE1" s="493"/>
      <c r="AF1" s="493"/>
      <c r="AG1" s="493"/>
      <c r="AH1" s="493"/>
      <c r="AI1" s="494"/>
      <c r="AJ1" s="98">
        <v>2021</v>
      </c>
      <c r="AK1" s="495" t="s">
        <v>1118</v>
      </c>
      <c r="AL1" s="495"/>
      <c r="AM1" s="495"/>
      <c r="AN1" s="495"/>
      <c r="AO1" s="495"/>
      <c r="AP1" s="495"/>
      <c r="AQ1" s="495"/>
      <c r="AR1" s="495"/>
      <c r="AS1" s="495"/>
      <c r="AT1" s="495"/>
      <c r="AU1" s="496"/>
      <c r="AV1" s="99">
        <v>2022</v>
      </c>
      <c r="AW1" s="495" t="s">
        <v>1117</v>
      </c>
      <c r="AX1" s="495"/>
      <c r="AY1" s="495"/>
      <c r="AZ1" s="495"/>
      <c r="BA1" s="495"/>
      <c r="BB1" s="495"/>
      <c r="BC1" s="495"/>
      <c r="BD1" s="495"/>
      <c r="BE1" s="495"/>
      <c r="BF1" s="495"/>
      <c r="BG1" s="496"/>
      <c r="BH1" s="99">
        <v>2023</v>
      </c>
      <c r="BI1" s="495" t="s">
        <v>1116</v>
      </c>
      <c r="BJ1" s="495"/>
      <c r="BK1" s="495"/>
      <c r="BL1" s="495"/>
      <c r="BM1" s="495"/>
      <c r="BN1" s="495"/>
      <c r="BO1" s="495"/>
      <c r="BP1" s="495"/>
      <c r="BQ1" s="495"/>
      <c r="BR1" s="495"/>
      <c r="BS1" s="496"/>
      <c r="BT1" s="99">
        <v>2024</v>
      </c>
      <c r="BU1" s="495" t="s">
        <v>1120</v>
      </c>
      <c r="BV1" s="495"/>
      <c r="BW1" s="495"/>
      <c r="BX1" s="495"/>
      <c r="BY1" s="495"/>
      <c r="BZ1" s="495"/>
      <c r="CA1" s="495"/>
      <c r="CB1" s="495"/>
      <c r="CC1" s="495"/>
      <c r="CD1" s="495"/>
      <c r="CE1" s="496"/>
      <c r="CF1" s="100">
        <v>2025</v>
      </c>
      <c r="CG1" s="495" t="s">
        <v>1121</v>
      </c>
      <c r="CH1" s="495"/>
      <c r="CI1" s="495"/>
      <c r="CJ1" s="495"/>
      <c r="CK1" s="495"/>
      <c r="CL1" s="495"/>
      <c r="CM1" s="495"/>
      <c r="CN1" s="495"/>
      <c r="CO1" s="495"/>
      <c r="CP1" s="495"/>
      <c r="CQ1" s="496"/>
      <c r="CR1" s="100">
        <v>2026</v>
      </c>
      <c r="CS1" s="495" t="s">
        <v>1122</v>
      </c>
      <c r="CT1" s="495"/>
      <c r="CU1" s="495"/>
      <c r="CV1" s="495"/>
      <c r="CW1" s="495"/>
      <c r="CX1" s="495"/>
      <c r="CY1" s="495"/>
      <c r="CZ1" s="495"/>
      <c r="DA1" s="495"/>
      <c r="DB1" s="495"/>
      <c r="DC1" s="496"/>
      <c r="DD1" s="100">
        <v>2027</v>
      </c>
      <c r="DE1" s="495" t="s">
        <v>1123</v>
      </c>
      <c r="DF1" s="495"/>
      <c r="DG1" s="495"/>
      <c r="DH1" s="495"/>
      <c r="DI1" s="495"/>
      <c r="DJ1" s="495"/>
      <c r="DK1" s="495"/>
      <c r="DL1" s="495"/>
      <c r="DM1" s="495"/>
      <c r="DN1" s="495"/>
      <c r="DO1" s="496"/>
      <c r="DP1" s="100">
        <v>2028</v>
      </c>
      <c r="DQ1" s="495" t="s">
        <v>1125</v>
      </c>
      <c r="DR1" s="495"/>
      <c r="DS1" s="495"/>
      <c r="DT1" s="495"/>
      <c r="DU1" s="495"/>
      <c r="DV1" s="495"/>
      <c r="DW1" s="495"/>
      <c r="DX1" s="495"/>
      <c r="DY1" s="495"/>
      <c r="DZ1" s="495"/>
      <c r="EA1" s="496"/>
      <c r="EB1" s="100">
        <v>2029</v>
      </c>
      <c r="EC1" s="495" t="s">
        <v>1124</v>
      </c>
      <c r="ED1" s="495"/>
      <c r="EE1" s="495"/>
      <c r="EF1" s="495"/>
      <c r="EG1" s="495"/>
      <c r="EH1" s="495"/>
      <c r="EI1" s="495"/>
      <c r="EJ1" s="495"/>
      <c r="EK1" s="495"/>
      <c r="EL1" s="495"/>
      <c r="EM1" s="496"/>
      <c r="EN1" s="100">
        <v>2030</v>
      </c>
      <c r="EO1" s="293"/>
    </row>
    <row r="2" spans="1:145" ht="60.75" thickBot="1" x14ac:dyDescent="0.3">
      <c r="A2" s="288"/>
      <c r="B2" s="116" t="s">
        <v>383</v>
      </c>
      <c r="C2" s="116" t="s">
        <v>335</v>
      </c>
      <c r="D2" s="116" t="s">
        <v>288</v>
      </c>
      <c r="E2" s="116" t="s">
        <v>1318</v>
      </c>
      <c r="F2" s="116" t="s">
        <v>337</v>
      </c>
      <c r="G2" s="148" t="s">
        <v>1315</v>
      </c>
      <c r="H2" s="148" t="s">
        <v>1316</v>
      </c>
      <c r="I2" s="148" t="s">
        <v>1317</v>
      </c>
      <c r="J2" s="157" t="s">
        <v>931</v>
      </c>
      <c r="K2" s="294" t="s">
        <v>310</v>
      </c>
      <c r="L2" s="295" t="s">
        <v>941</v>
      </c>
      <c r="M2" s="375" t="s">
        <v>939</v>
      </c>
      <c r="N2" s="376" t="s">
        <v>940</v>
      </c>
      <c r="O2" s="376" t="s">
        <v>1055</v>
      </c>
      <c r="P2" s="376" t="s">
        <v>1056</v>
      </c>
      <c r="Q2" s="376" t="s">
        <v>1057</v>
      </c>
      <c r="R2" s="376" t="s">
        <v>1058</v>
      </c>
      <c r="S2" s="376" t="s">
        <v>1059</v>
      </c>
      <c r="T2" s="376" t="s">
        <v>929</v>
      </c>
      <c r="U2" s="376" t="s">
        <v>1060</v>
      </c>
      <c r="V2" s="376" t="s">
        <v>1059</v>
      </c>
      <c r="W2" s="376" t="s">
        <v>1061</v>
      </c>
      <c r="X2" s="377" t="s">
        <v>1062</v>
      </c>
      <c r="Y2" s="376" t="s">
        <v>940</v>
      </c>
      <c r="Z2" s="376" t="s">
        <v>1055</v>
      </c>
      <c r="AA2" s="376" t="s">
        <v>1056</v>
      </c>
      <c r="AB2" s="376" t="s">
        <v>1057</v>
      </c>
      <c r="AC2" s="376" t="s">
        <v>1058</v>
      </c>
      <c r="AD2" s="376" t="s">
        <v>1059</v>
      </c>
      <c r="AE2" s="376" t="s">
        <v>929</v>
      </c>
      <c r="AF2" s="376" t="s">
        <v>1060</v>
      </c>
      <c r="AG2" s="376" t="s">
        <v>1059</v>
      </c>
      <c r="AH2" s="376" t="s">
        <v>1063</v>
      </c>
      <c r="AI2" s="376" t="s">
        <v>1061</v>
      </c>
      <c r="AJ2" s="377" t="s">
        <v>1062</v>
      </c>
      <c r="AK2" s="376" t="s">
        <v>940</v>
      </c>
      <c r="AL2" s="376" t="s">
        <v>1055</v>
      </c>
      <c r="AM2" s="376" t="s">
        <v>1056</v>
      </c>
      <c r="AN2" s="376" t="s">
        <v>1057</v>
      </c>
      <c r="AO2" s="376" t="s">
        <v>1058</v>
      </c>
      <c r="AP2" s="376" t="s">
        <v>1059</v>
      </c>
      <c r="AQ2" s="376" t="s">
        <v>929</v>
      </c>
      <c r="AR2" s="376" t="s">
        <v>1060</v>
      </c>
      <c r="AS2" s="376" t="s">
        <v>1059</v>
      </c>
      <c r="AT2" s="376" t="s">
        <v>1063</v>
      </c>
      <c r="AU2" s="376" t="s">
        <v>1061</v>
      </c>
      <c r="AV2" s="377" t="s">
        <v>1062</v>
      </c>
      <c r="AW2" s="376" t="s">
        <v>940</v>
      </c>
      <c r="AX2" s="376" t="s">
        <v>1055</v>
      </c>
      <c r="AY2" s="376" t="s">
        <v>1056</v>
      </c>
      <c r="AZ2" s="376" t="s">
        <v>1057</v>
      </c>
      <c r="BA2" s="376" t="s">
        <v>1058</v>
      </c>
      <c r="BB2" s="376" t="s">
        <v>1059</v>
      </c>
      <c r="BC2" s="376" t="s">
        <v>929</v>
      </c>
      <c r="BD2" s="376" t="s">
        <v>1060</v>
      </c>
      <c r="BE2" s="376" t="s">
        <v>1059</v>
      </c>
      <c r="BF2" s="376" t="s">
        <v>1063</v>
      </c>
      <c r="BG2" s="376" t="s">
        <v>1061</v>
      </c>
      <c r="BH2" s="377" t="s">
        <v>1062</v>
      </c>
      <c r="BI2" s="376" t="s">
        <v>940</v>
      </c>
      <c r="BJ2" s="376" t="s">
        <v>1055</v>
      </c>
      <c r="BK2" s="376" t="s">
        <v>1056</v>
      </c>
      <c r="BL2" s="376" t="s">
        <v>1057</v>
      </c>
      <c r="BM2" s="376" t="s">
        <v>1058</v>
      </c>
      <c r="BN2" s="376" t="s">
        <v>1059</v>
      </c>
      <c r="BO2" s="376" t="s">
        <v>929</v>
      </c>
      <c r="BP2" s="376" t="s">
        <v>1060</v>
      </c>
      <c r="BQ2" s="376" t="s">
        <v>1059</v>
      </c>
      <c r="BR2" s="376" t="s">
        <v>1063</v>
      </c>
      <c r="BS2" s="376" t="s">
        <v>1061</v>
      </c>
      <c r="BT2" s="377" t="s">
        <v>1062</v>
      </c>
      <c r="BU2" s="376" t="s">
        <v>940</v>
      </c>
      <c r="BV2" s="376" t="s">
        <v>1055</v>
      </c>
      <c r="BW2" s="376" t="s">
        <v>1056</v>
      </c>
      <c r="BX2" s="376" t="s">
        <v>1057</v>
      </c>
      <c r="BY2" s="376" t="s">
        <v>1058</v>
      </c>
      <c r="BZ2" s="376" t="s">
        <v>1059</v>
      </c>
      <c r="CA2" s="376" t="s">
        <v>929</v>
      </c>
      <c r="CB2" s="376" t="s">
        <v>1060</v>
      </c>
      <c r="CC2" s="376" t="s">
        <v>1059</v>
      </c>
      <c r="CD2" s="376" t="s">
        <v>1063</v>
      </c>
      <c r="CE2" s="376" t="s">
        <v>1061</v>
      </c>
      <c r="CF2" s="378" t="s">
        <v>1062</v>
      </c>
      <c r="CG2" s="376" t="s">
        <v>940</v>
      </c>
      <c r="CH2" s="376" t="s">
        <v>1055</v>
      </c>
      <c r="CI2" s="376" t="s">
        <v>1056</v>
      </c>
      <c r="CJ2" s="376" t="s">
        <v>1057</v>
      </c>
      <c r="CK2" s="376" t="s">
        <v>1058</v>
      </c>
      <c r="CL2" s="376" t="s">
        <v>1059</v>
      </c>
      <c r="CM2" s="376" t="s">
        <v>929</v>
      </c>
      <c r="CN2" s="376" t="s">
        <v>1060</v>
      </c>
      <c r="CO2" s="376" t="s">
        <v>1059</v>
      </c>
      <c r="CP2" s="376" t="s">
        <v>1063</v>
      </c>
      <c r="CQ2" s="376" t="s">
        <v>1061</v>
      </c>
      <c r="CR2" s="378" t="s">
        <v>1062</v>
      </c>
      <c r="CS2" s="376" t="s">
        <v>940</v>
      </c>
      <c r="CT2" s="376" t="s">
        <v>1055</v>
      </c>
      <c r="CU2" s="376" t="s">
        <v>1056</v>
      </c>
      <c r="CV2" s="376" t="s">
        <v>1057</v>
      </c>
      <c r="CW2" s="376" t="s">
        <v>1058</v>
      </c>
      <c r="CX2" s="376" t="s">
        <v>1059</v>
      </c>
      <c r="CY2" s="376" t="s">
        <v>929</v>
      </c>
      <c r="CZ2" s="376" t="s">
        <v>1060</v>
      </c>
      <c r="DA2" s="376" t="s">
        <v>1059</v>
      </c>
      <c r="DB2" s="376" t="s">
        <v>1063</v>
      </c>
      <c r="DC2" s="376" t="s">
        <v>1061</v>
      </c>
      <c r="DD2" s="378" t="s">
        <v>1062</v>
      </c>
      <c r="DE2" s="376" t="s">
        <v>940</v>
      </c>
      <c r="DF2" s="376" t="s">
        <v>1055</v>
      </c>
      <c r="DG2" s="376" t="s">
        <v>1056</v>
      </c>
      <c r="DH2" s="376" t="s">
        <v>1057</v>
      </c>
      <c r="DI2" s="376" t="s">
        <v>1058</v>
      </c>
      <c r="DJ2" s="376" t="s">
        <v>1059</v>
      </c>
      <c r="DK2" s="376" t="s">
        <v>929</v>
      </c>
      <c r="DL2" s="376" t="s">
        <v>1060</v>
      </c>
      <c r="DM2" s="376" t="s">
        <v>1059</v>
      </c>
      <c r="DN2" s="376" t="s">
        <v>1063</v>
      </c>
      <c r="DO2" s="376" t="s">
        <v>1061</v>
      </c>
      <c r="DP2" s="378" t="s">
        <v>1062</v>
      </c>
      <c r="DQ2" s="376" t="s">
        <v>940</v>
      </c>
      <c r="DR2" s="376" t="s">
        <v>1055</v>
      </c>
      <c r="DS2" s="376" t="s">
        <v>1056</v>
      </c>
      <c r="DT2" s="376" t="s">
        <v>1057</v>
      </c>
      <c r="DU2" s="376" t="s">
        <v>1058</v>
      </c>
      <c r="DV2" s="376" t="s">
        <v>1059</v>
      </c>
      <c r="DW2" s="376" t="s">
        <v>929</v>
      </c>
      <c r="DX2" s="376" t="s">
        <v>1060</v>
      </c>
      <c r="DY2" s="376" t="s">
        <v>1059</v>
      </c>
      <c r="DZ2" s="376" t="s">
        <v>1063</v>
      </c>
      <c r="EA2" s="376" t="s">
        <v>1061</v>
      </c>
      <c r="EB2" s="378" t="s">
        <v>1062</v>
      </c>
      <c r="EC2" s="376" t="s">
        <v>940</v>
      </c>
      <c r="ED2" s="376" t="s">
        <v>1055</v>
      </c>
      <c r="EE2" s="376" t="s">
        <v>1056</v>
      </c>
      <c r="EF2" s="376" t="s">
        <v>1057</v>
      </c>
      <c r="EG2" s="376" t="s">
        <v>1058</v>
      </c>
      <c r="EH2" s="376" t="s">
        <v>1059</v>
      </c>
      <c r="EI2" s="376" t="s">
        <v>929</v>
      </c>
      <c r="EJ2" s="376" t="s">
        <v>1060</v>
      </c>
      <c r="EK2" s="376" t="s">
        <v>1059</v>
      </c>
      <c r="EL2" s="376" t="s">
        <v>1063</v>
      </c>
      <c r="EM2" s="376" t="s">
        <v>1061</v>
      </c>
      <c r="EN2" s="378" t="s">
        <v>1062</v>
      </c>
      <c r="EO2" s="159" t="s">
        <v>1532</v>
      </c>
    </row>
    <row r="3" spans="1:145" ht="72" x14ac:dyDescent="0.25">
      <c r="A3" s="174" t="s">
        <v>1478</v>
      </c>
      <c r="B3" s="175"/>
      <c r="C3" s="176"/>
      <c r="D3" s="176"/>
      <c r="E3" s="176" t="s">
        <v>1319</v>
      </c>
      <c r="F3" s="177" t="s">
        <v>986</v>
      </c>
      <c r="G3" s="266" t="s">
        <v>1389</v>
      </c>
      <c r="H3" s="267" t="s">
        <v>1390</v>
      </c>
      <c r="I3" s="268" t="s">
        <v>1490</v>
      </c>
      <c r="J3" s="185" t="s">
        <v>933</v>
      </c>
      <c r="K3" s="185"/>
      <c r="L3" s="176" t="s">
        <v>1097</v>
      </c>
      <c r="M3" s="325">
        <f t="shared" ref="M3:M12" si="0">SUM(X3,AJ3,AV3,BH3,BT3,CF3,CR3,DD3,DP3,EB3,EN3)</f>
        <v>21105833.449999999</v>
      </c>
      <c r="N3" s="325">
        <v>12010001</v>
      </c>
      <c r="O3" s="325">
        <v>0</v>
      </c>
      <c r="P3" s="325">
        <v>0</v>
      </c>
      <c r="Q3" s="325">
        <v>0</v>
      </c>
      <c r="R3" s="325">
        <v>0</v>
      </c>
      <c r="S3" s="325">
        <v>0</v>
      </c>
      <c r="T3" s="325">
        <v>0</v>
      </c>
      <c r="U3" s="325">
        <v>0</v>
      </c>
      <c r="V3" s="325">
        <v>0</v>
      </c>
      <c r="W3" s="325">
        <v>1063098.53</v>
      </c>
      <c r="X3" s="325">
        <f t="shared" ref="X3:X14" si="1">SUM(N3:W3)</f>
        <v>13073099.529999999</v>
      </c>
      <c r="Y3" s="325">
        <v>0</v>
      </c>
      <c r="Z3" s="325">
        <v>0</v>
      </c>
      <c r="AA3" s="325">
        <v>0</v>
      </c>
      <c r="AB3" s="325">
        <v>0</v>
      </c>
      <c r="AC3" s="325">
        <v>0</v>
      </c>
      <c r="AD3" s="325">
        <v>0</v>
      </c>
      <c r="AE3" s="325">
        <v>0</v>
      </c>
      <c r="AF3" s="325">
        <v>0</v>
      </c>
      <c r="AG3" s="325">
        <v>0</v>
      </c>
      <c r="AH3" s="325">
        <v>0</v>
      </c>
      <c r="AI3" s="326">
        <f>6140590.2+1892143.72</f>
        <v>8032733.9199999999</v>
      </c>
      <c r="AJ3" s="325">
        <f t="shared" ref="AJ3:AJ14" si="2">SUM(Y3:AI3)</f>
        <v>8032733.9199999999</v>
      </c>
      <c r="AK3" s="325">
        <v>0</v>
      </c>
      <c r="AL3" s="325">
        <v>0</v>
      </c>
      <c r="AM3" s="325">
        <v>0</v>
      </c>
      <c r="AN3" s="325">
        <v>0</v>
      </c>
      <c r="AO3" s="325">
        <v>0</v>
      </c>
      <c r="AP3" s="325">
        <v>0</v>
      </c>
      <c r="AQ3" s="325">
        <v>0</v>
      </c>
      <c r="AR3" s="325">
        <v>0</v>
      </c>
      <c r="AS3" s="325">
        <v>0</v>
      </c>
      <c r="AT3" s="325">
        <v>0</v>
      </c>
      <c r="AU3" s="325">
        <v>0</v>
      </c>
      <c r="AV3" s="325">
        <f t="shared" ref="AV3:AV13" si="3">SUM(AK3:AU3)</f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>
        <v>0</v>
      </c>
      <c r="BC3" s="325">
        <v>0</v>
      </c>
      <c r="BD3" s="325">
        <v>0</v>
      </c>
      <c r="BE3" s="325">
        <v>0</v>
      </c>
      <c r="BF3" s="325">
        <v>0</v>
      </c>
      <c r="BG3" s="325">
        <v>0</v>
      </c>
      <c r="BH3" s="325">
        <f t="shared" ref="BH3:BH13" si="4">SUM(AW3:BG3)</f>
        <v>0</v>
      </c>
      <c r="BI3" s="325">
        <v>0</v>
      </c>
      <c r="BJ3" s="325">
        <v>0</v>
      </c>
      <c r="BK3" s="325">
        <v>0</v>
      </c>
      <c r="BL3" s="325">
        <v>0</v>
      </c>
      <c r="BM3" s="325">
        <v>0</v>
      </c>
      <c r="BN3" s="325">
        <v>0</v>
      </c>
      <c r="BO3" s="325">
        <v>0</v>
      </c>
      <c r="BP3" s="325">
        <v>0</v>
      </c>
      <c r="BQ3" s="325">
        <v>0</v>
      </c>
      <c r="BR3" s="325">
        <v>0</v>
      </c>
      <c r="BS3" s="325">
        <v>0</v>
      </c>
      <c r="BT3" s="325">
        <f t="shared" ref="BT3:BT12" si="5">SUM(BI3:BS3)</f>
        <v>0</v>
      </c>
      <c r="BU3" s="325">
        <v>0</v>
      </c>
      <c r="BV3" s="325">
        <v>0</v>
      </c>
      <c r="BW3" s="325">
        <v>0</v>
      </c>
      <c r="BX3" s="325">
        <v>0</v>
      </c>
      <c r="BY3" s="325">
        <v>0</v>
      </c>
      <c r="BZ3" s="325">
        <v>0</v>
      </c>
      <c r="CA3" s="325">
        <v>0</v>
      </c>
      <c r="CB3" s="325">
        <v>0</v>
      </c>
      <c r="CC3" s="325">
        <v>0</v>
      </c>
      <c r="CD3" s="325">
        <v>0</v>
      </c>
      <c r="CE3" s="325">
        <v>0</v>
      </c>
      <c r="CF3" s="325">
        <f t="shared" ref="CF3:CF10" si="6">SUM(BU3:CE3)</f>
        <v>0</v>
      </c>
      <c r="CG3" s="325">
        <v>0</v>
      </c>
      <c r="CH3" s="325">
        <v>0</v>
      </c>
      <c r="CI3" s="325">
        <v>0</v>
      </c>
      <c r="CJ3" s="325">
        <v>0</v>
      </c>
      <c r="CK3" s="325">
        <v>0</v>
      </c>
      <c r="CL3" s="325">
        <v>0</v>
      </c>
      <c r="CM3" s="325">
        <v>0</v>
      </c>
      <c r="CN3" s="325">
        <v>0</v>
      </c>
      <c r="CO3" s="325">
        <v>0</v>
      </c>
      <c r="CP3" s="325">
        <v>0</v>
      </c>
      <c r="CQ3" s="325">
        <v>0</v>
      </c>
      <c r="CR3" s="327">
        <f t="shared" ref="CR3:CR13" si="7">SUM(CG3:CQ3)</f>
        <v>0</v>
      </c>
      <c r="CS3" s="325">
        <v>0</v>
      </c>
      <c r="CT3" s="325">
        <v>0</v>
      </c>
      <c r="CU3" s="325">
        <v>0</v>
      </c>
      <c r="CV3" s="325">
        <v>0</v>
      </c>
      <c r="CW3" s="325">
        <v>0</v>
      </c>
      <c r="CX3" s="325">
        <v>0</v>
      </c>
      <c r="CY3" s="325">
        <v>0</v>
      </c>
      <c r="CZ3" s="325">
        <v>0</v>
      </c>
      <c r="DA3" s="325">
        <v>0</v>
      </c>
      <c r="DB3" s="325">
        <v>0</v>
      </c>
      <c r="DC3" s="325">
        <v>0</v>
      </c>
      <c r="DD3" s="325">
        <f t="shared" ref="DD3:DD13" si="8">SUM(CS3:DC3)</f>
        <v>0</v>
      </c>
      <c r="DE3" s="325">
        <v>0</v>
      </c>
      <c r="DF3" s="325">
        <v>0</v>
      </c>
      <c r="DG3" s="325">
        <v>0</v>
      </c>
      <c r="DH3" s="325">
        <v>0</v>
      </c>
      <c r="DI3" s="325">
        <v>0</v>
      </c>
      <c r="DJ3" s="325">
        <v>0</v>
      </c>
      <c r="DK3" s="325">
        <v>0</v>
      </c>
      <c r="DL3" s="325">
        <v>0</v>
      </c>
      <c r="DM3" s="325">
        <v>0</v>
      </c>
      <c r="DN3" s="325">
        <v>0</v>
      </c>
      <c r="DO3" s="325">
        <v>0</v>
      </c>
      <c r="DP3" s="325">
        <f t="shared" ref="DP3:DP13" si="9">SUM(DE3:DO3)</f>
        <v>0</v>
      </c>
      <c r="DQ3" s="325">
        <v>0</v>
      </c>
      <c r="DR3" s="325">
        <v>0</v>
      </c>
      <c r="DS3" s="325">
        <v>0</v>
      </c>
      <c r="DT3" s="325">
        <v>0</v>
      </c>
      <c r="DU3" s="325">
        <v>0</v>
      </c>
      <c r="DV3" s="325">
        <v>0</v>
      </c>
      <c r="DW3" s="325">
        <v>0</v>
      </c>
      <c r="DX3" s="325">
        <v>0</v>
      </c>
      <c r="DY3" s="325">
        <v>0</v>
      </c>
      <c r="DZ3" s="325">
        <v>0</v>
      </c>
      <c r="EA3" s="325">
        <v>0</v>
      </c>
      <c r="EB3" s="325">
        <f t="shared" ref="EB3:EB13" si="10">SUM(DQ3:EA3)</f>
        <v>0</v>
      </c>
      <c r="EC3" s="325">
        <v>0</v>
      </c>
      <c r="ED3" s="325">
        <v>0</v>
      </c>
      <c r="EE3" s="325">
        <v>0</v>
      </c>
      <c r="EF3" s="325">
        <v>0</v>
      </c>
      <c r="EG3" s="325">
        <v>0</v>
      </c>
      <c r="EH3" s="325">
        <v>0</v>
      </c>
      <c r="EI3" s="325">
        <v>0</v>
      </c>
      <c r="EJ3" s="325">
        <v>0</v>
      </c>
      <c r="EK3" s="325">
        <v>0</v>
      </c>
      <c r="EL3" s="325">
        <v>0</v>
      </c>
      <c r="EM3" s="325">
        <v>0</v>
      </c>
      <c r="EN3" s="328">
        <f t="shared" ref="EN3:EN13" si="11">SUM(EC3:EM3)</f>
        <v>0</v>
      </c>
      <c r="EO3" s="331">
        <v>4.78</v>
      </c>
    </row>
    <row r="4" spans="1:145" ht="60" x14ac:dyDescent="0.25">
      <c r="A4" s="301"/>
      <c r="B4" s="175" t="s">
        <v>1103</v>
      </c>
      <c r="C4" s="176" t="s">
        <v>196</v>
      </c>
      <c r="D4" s="176" t="s">
        <v>1070</v>
      </c>
      <c r="E4" s="176" t="s">
        <v>1320</v>
      </c>
      <c r="F4" s="177" t="s">
        <v>989</v>
      </c>
      <c r="G4" s="269" t="s">
        <v>1391</v>
      </c>
      <c r="H4" s="270" t="s">
        <v>1392</v>
      </c>
      <c r="I4" s="271" t="s">
        <v>1491</v>
      </c>
      <c r="J4" s="296" t="s">
        <v>922</v>
      </c>
      <c r="K4" s="185"/>
      <c r="L4" s="176" t="s">
        <v>1097</v>
      </c>
      <c r="M4" s="325">
        <f t="shared" si="0"/>
        <v>12213722.43</v>
      </c>
      <c r="N4" s="325">
        <v>4656573.32</v>
      </c>
      <c r="O4" s="325">
        <v>0</v>
      </c>
      <c r="P4" s="325">
        <v>0</v>
      </c>
      <c r="Q4" s="325">
        <v>0</v>
      </c>
      <c r="R4" s="325">
        <v>0</v>
      </c>
      <c r="S4" s="325">
        <v>0</v>
      </c>
      <c r="T4" s="325">
        <v>0</v>
      </c>
      <c r="U4" s="325">
        <v>0</v>
      </c>
      <c r="V4" s="325">
        <v>0</v>
      </c>
      <c r="W4" s="326">
        <v>2958275.35</v>
      </c>
      <c r="X4" s="325">
        <f t="shared" si="1"/>
        <v>7614848.6699999999</v>
      </c>
      <c r="Y4" s="329">
        <v>2790270.94</v>
      </c>
      <c r="Z4" s="326">
        <v>0</v>
      </c>
      <c r="AA4" s="326">
        <v>0</v>
      </c>
      <c r="AB4" s="326">
        <v>0</v>
      </c>
      <c r="AC4" s="326">
        <v>0</v>
      </c>
      <c r="AD4" s="326">
        <v>0</v>
      </c>
      <c r="AE4" s="326">
        <v>0</v>
      </c>
      <c r="AF4" s="326">
        <v>0</v>
      </c>
      <c r="AG4" s="325">
        <v>0</v>
      </c>
      <c r="AH4" s="325">
        <v>0</v>
      </c>
      <c r="AI4" s="326">
        <f>3859409.8-2050806.98</f>
        <v>1808602.8199999998</v>
      </c>
      <c r="AJ4" s="325">
        <f t="shared" si="2"/>
        <v>4598873.76</v>
      </c>
      <c r="AK4" s="325">
        <v>0</v>
      </c>
      <c r="AL4" s="325">
        <v>0</v>
      </c>
      <c r="AM4" s="325">
        <v>0</v>
      </c>
      <c r="AN4" s="325">
        <v>0</v>
      </c>
      <c r="AO4" s="325">
        <v>0</v>
      </c>
      <c r="AP4" s="325">
        <v>0</v>
      </c>
      <c r="AQ4" s="325">
        <v>0</v>
      </c>
      <c r="AR4" s="325">
        <v>0</v>
      </c>
      <c r="AS4" s="325">
        <v>0</v>
      </c>
      <c r="AT4" s="325">
        <v>0</v>
      </c>
      <c r="AU4" s="325">
        <v>0</v>
      </c>
      <c r="AV4" s="325">
        <f t="shared" si="3"/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>
        <v>0</v>
      </c>
      <c r="BC4" s="325">
        <v>0</v>
      </c>
      <c r="BD4" s="325">
        <v>0</v>
      </c>
      <c r="BE4" s="325">
        <v>0</v>
      </c>
      <c r="BF4" s="325">
        <v>0</v>
      </c>
      <c r="BG4" s="325">
        <v>0</v>
      </c>
      <c r="BH4" s="325">
        <f t="shared" si="4"/>
        <v>0</v>
      </c>
      <c r="BI4" s="325">
        <v>0</v>
      </c>
      <c r="BJ4" s="325">
        <v>0</v>
      </c>
      <c r="BK4" s="325">
        <v>0</v>
      </c>
      <c r="BL4" s="325">
        <v>0</v>
      </c>
      <c r="BM4" s="325">
        <v>0</v>
      </c>
      <c r="BN4" s="325">
        <v>0</v>
      </c>
      <c r="BO4" s="325">
        <v>0</v>
      </c>
      <c r="BP4" s="325">
        <v>0</v>
      </c>
      <c r="BQ4" s="325">
        <v>0</v>
      </c>
      <c r="BR4" s="325">
        <v>0</v>
      </c>
      <c r="BS4" s="325">
        <v>0</v>
      </c>
      <c r="BT4" s="325">
        <f t="shared" si="5"/>
        <v>0</v>
      </c>
      <c r="BU4" s="325">
        <v>0</v>
      </c>
      <c r="BV4" s="325">
        <v>0</v>
      </c>
      <c r="BW4" s="325">
        <v>0</v>
      </c>
      <c r="BX4" s="325">
        <v>0</v>
      </c>
      <c r="BY4" s="325">
        <v>0</v>
      </c>
      <c r="BZ4" s="325">
        <v>0</v>
      </c>
      <c r="CA4" s="325">
        <v>0</v>
      </c>
      <c r="CB4" s="325">
        <v>0</v>
      </c>
      <c r="CC4" s="325">
        <v>0</v>
      </c>
      <c r="CD4" s="325">
        <v>0</v>
      </c>
      <c r="CE4" s="325">
        <v>0</v>
      </c>
      <c r="CF4" s="325">
        <f t="shared" si="6"/>
        <v>0</v>
      </c>
      <c r="CG4" s="325">
        <v>0</v>
      </c>
      <c r="CH4" s="325">
        <v>0</v>
      </c>
      <c r="CI4" s="325">
        <v>0</v>
      </c>
      <c r="CJ4" s="325">
        <v>0</v>
      </c>
      <c r="CK4" s="325">
        <v>0</v>
      </c>
      <c r="CL4" s="325">
        <v>0</v>
      </c>
      <c r="CM4" s="325">
        <v>0</v>
      </c>
      <c r="CN4" s="325">
        <v>0</v>
      </c>
      <c r="CO4" s="325">
        <v>0</v>
      </c>
      <c r="CP4" s="325">
        <v>0</v>
      </c>
      <c r="CQ4" s="325">
        <v>0</v>
      </c>
      <c r="CR4" s="327">
        <f t="shared" si="7"/>
        <v>0</v>
      </c>
      <c r="CS4" s="325">
        <v>0</v>
      </c>
      <c r="CT4" s="325">
        <v>0</v>
      </c>
      <c r="CU4" s="325">
        <v>0</v>
      </c>
      <c r="CV4" s="325">
        <v>0</v>
      </c>
      <c r="CW4" s="325">
        <v>0</v>
      </c>
      <c r="CX4" s="325">
        <v>0</v>
      </c>
      <c r="CY4" s="325">
        <v>0</v>
      </c>
      <c r="CZ4" s="325">
        <v>0</v>
      </c>
      <c r="DA4" s="325">
        <v>0</v>
      </c>
      <c r="DB4" s="325">
        <v>0</v>
      </c>
      <c r="DC4" s="325">
        <v>0</v>
      </c>
      <c r="DD4" s="325">
        <f t="shared" si="8"/>
        <v>0</v>
      </c>
      <c r="DE4" s="325">
        <v>0</v>
      </c>
      <c r="DF4" s="325">
        <v>0</v>
      </c>
      <c r="DG4" s="325">
        <v>0</v>
      </c>
      <c r="DH4" s="325">
        <v>0</v>
      </c>
      <c r="DI4" s="325">
        <v>0</v>
      </c>
      <c r="DJ4" s="325">
        <v>0</v>
      </c>
      <c r="DK4" s="325">
        <v>0</v>
      </c>
      <c r="DL4" s="325">
        <v>0</v>
      </c>
      <c r="DM4" s="325">
        <v>0</v>
      </c>
      <c r="DN4" s="325">
        <v>0</v>
      </c>
      <c r="DO4" s="325">
        <v>0</v>
      </c>
      <c r="DP4" s="325">
        <f t="shared" si="9"/>
        <v>0</v>
      </c>
      <c r="DQ4" s="325">
        <v>0</v>
      </c>
      <c r="DR4" s="325">
        <v>0</v>
      </c>
      <c r="DS4" s="325">
        <v>0</v>
      </c>
      <c r="DT4" s="325">
        <v>0</v>
      </c>
      <c r="DU4" s="325">
        <v>0</v>
      </c>
      <c r="DV4" s="325">
        <v>0</v>
      </c>
      <c r="DW4" s="325">
        <v>0</v>
      </c>
      <c r="DX4" s="325">
        <v>0</v>
      </c>
      <c r="DY4" s="325">
        <v>0</v>
      </c>
      <c r="DZ4" s="325">
        <v>0</v>
      </c>
      <c r="EA4" s="325">
        <v>0</v>
      </c>
      <c r="EB4" s="325">
        <f t="shared" si="10"/>
        <v>0</v>
      </c>
      <c r="EC4" s="325">
        <v>0</v>
      </c>
      <c r="ED4" s="325">
        <v>0</v>
      </c>
      <c r="EE4" s="325">
        <v>0</v>
      </c>
      <c r="EF4" s="325">
        <v>0</v>
      </c>
      <c r="EG4" s="325">
        <v>0</v>
      </c>
      <c r="EH4" s="325">
        <v>0</v>
      </c>
      <c r="EI4" s="325">
        <v>0</v>
      </c>
      <c r="EJ4" s="325">
        <v>0</v>
      </c>
      <c r="EK4" s="325">
        <v>0</v>
      </c>
      <c r="EL4" s="325">
        <v>0</v>
      </c>
      <c r="EM4" s="325">
        <v>0</v>
      </c>
      <c r="EN4" s="330">
        <f t="shared" si="11"/>
        <v>0</v>
      </c>
      <c r="EO4" s="331" t="s">
        <v>1539</v>
      </c>
    </row>
    <row r="5" spans="1:145" s="105" customFormat="1" ht="120" x14ac:dyDescent="0.25">
      <c r="A5" s="301"/>
      <c r="B5" s="175" t="s">
        <v>1105</v>
      </c>
      <c r="C5" s="176" t="s">
        <v>1096</v>
      </c>
      <c r="D5" s="176"/>
      <c r="E5" s="176" t="s">
        <v>1321</v>
      </c>
      <c r="F5" s="177" t="s">
        <v>980</v>
      </c>
      <c r="G5" s="269" t="s">
        <v>1393</v>
      </c>
      <c r="H5" s="270" t="s">
        <v>1549</v>
      </c>
      <c r="I5" s="271" t="s">
        <v>1492</v>
      </c>
      <c r="J5" s="296" t="s">
        <v>928</v>
      </c>
      <c r="K5" s="185"/>
      <c r="L5" s="176" t="s">
        <v>1097</v>
      </c>
      <c r="M5" s="325">
        <f t="shared" si="0"/>
        <v>485798189.34999996</v>
      </c>
      <c r="N5" s="329">
        <v>0</v>
      </c>
      <c r="O5" s="329">
        <f>4188192.24+8231207.67+45231509.9+410281.03+24999.87</f>
        <v>58086190.710000001</v>
      </c>
      <c r="P5" s="329">
        <v>2682995.25</v>
      </c>
      <c r="Q5" s="329">
        <f>219716314.13+1844133.62</f>
        <v>221560447.75</v>
      </c>
      <c r="R5" s="329">
        <f>38773467.18+325435.35</f>
        <v>39098902.530000001</v>
      </c>
      <c r="S5" s="326">
        <v>0</v>
      </c>
      <c r="T5" s="326">
        <v>0</v>
      </c>
      <c r="U5" s="326">
        <v>0</v>
      </c>
      <c r="V5" s="326">
        <v>0</v>
      </c>
      <c r="W5" s="329">
        <f>988099.65+362201.98+10683.14+23675.93+24219.54+254+6147836.65</f>
        <v>7556970.8900000006</v>
      </c>
      <c r="X5" s="325">
        <f t="shared" si="1"/>
        <v>328985507.13</v>
      </c>
      <c r="Y5" s="329">
        <v>0</v>
      </c>
      <c r="Z5" s="329">
        <v>12375103.84</v>
      </c>
      <c r="AA5" s="329">
        <v>2046093.33</v>
      </c>
      <c r="AB5" s="329">
        <v>33342141.289999999</v>
      </c>
      <c r="AC5" s="329">
        <v>5897167.2800000003</v>
      </c>
      <c r="AD5" s="329">
        <v>0</v>
      </c>
      <c r="AE5" s="329">
        <v>0</v>
      </c>
      <c r="AF5" s="329">
        <v>0</v>
      </c>
      <c r="AG5" s="329">
        <v>0</v>
      </c>
      <c r="AH5" s="329">
        <v>0</v>
      </c>
      <c r="AI5" s="329">
        <f>3363478.36+119184.26+1746.21</f>
        <v>3484408.8299999996</v>
      </c>
      <c r="AJ5" s="332">
        <f t="shared" si="2"/>
        <v>57144914.57</v>
      </c>
      <c r="AK5" s="325">
        <v>0</v>
      </c>
      <c r="AL5" s="329">
        <f>7153882.78+19777588.95+112000+509720+6421998.12</f>
        <v>33975189.850000001</v>
      </c>
      <c r="AM5" s="325">
        <v>53437584</v>
      </c>
      <c r="AN5" s="329">
        <f>8293703.3675+2411333.24*0.85</f>
        <v>10343336.6215</v>
      </c>
      <c r="AO5" s="329">
        <f>1463594.6925+2411333.24*0.15</f>
        <v>1825294.6784999999</v>
      </c>
      <c r="AP5" s="325">
        <v>0</v>
      </c>
      <c r="AQ5" s="325">
        <v>0</v>
      </c>
      <c r="AR5" s="325">
        <v>0</v>
      </c>
      <c r="AS5" s="325">
        <v>0</v>
      </c>
      <c r="AT5" s="325">
        <v>0</v>
      </c>
      <c r="AU5" s="325">
        <v>0</v>
      </c>
      <c r="AV5" s="329">
        <f t="shared" si="3"/>
        <v>99581405.149999991</v>
      </c>
      <c r="AW5" s="329">
        <v>0</v>
      </c>
      <c r="AX5" s="329">
        <v>86362.5</v>
      </c>
      <c r="AY5" s="329">
        <v>0</v>
      </c>
      <c r="AZ5" s="329">
        <v>0</v>
      </c>
      <c r="BA5" s="329">
        <v>0</v>
      </c>
      <c r="BB5" s="329">
        <v>0</v>
      </c>
      <c r="BC5" s="329">
        <v>0</v>
      </c>
      <c r="BD5" s="329">
        <v>0</v>
      </c>
      <c r="BE5" s="329">
        <v>0</v>
      </c>
      <c r="BF5" s="329">
        <v>0</v>
      </c>
      <c r="BG5" s="329">
        <v>0</v>
      </c>
      <c r="BH5" s="329">
        <f t="shared" si="4"/>
        <v>86362.5</v>
      </c>
      <c r="BI5" s="329">
        <v>0</v>
      </c>
      <c r="BJ5" s="329">
        <v>0</v>
      </c>
      <c r="BK5" s="329">
        <v>0</v>
      </c>
      <c r="BL5" s="329">
        <v>0</v>
      </c>
      <c r="BM5" s="329">
        <v>0</v>
      </c>
      <c r="BN5" s="329">
        <v>0</v>
      </c>
      <c r="BO5" s="329">
        <v>0</v>
      </c>
      <c r="BP5" s="329">
        <v>0</v>
      </c>
      <c r="BQ5" s="329">
        <v>0</v>
      </c>
      <c r="BR5" s="329">
        <v>0</v>
      </c>
      <c r="BS5" s="329">
        <v>0</v>
      </c>
      <c r="BT5" s="332">
        <f t="shared" si="5"/>
        <v>0</v>
      </c>
      <c r="BU5" s="329">
        <v>0</v>
      </c>
      <c r="BV5" s="329">
        <v>0</v>
      </c>
      <c r="BW5" s="329">
        <v>0</v>
      </c>
      <c r="BX5" s="329">
        <v>0</v>
      </c>
      <c r="BY5" s="329">
        <v>0</v>
      </c>
      <c r="BZ5" s="329">
        <v>0</v>
      </c>
      <c r="CA5" s="329">
        <v>0</v>
      </c>
      <c r="CB5" s="329">
        <v>0</v>
      </c>
      <c r="CC5" s="329">
        <v>0</v>
      </c>
      <c r="CD5" s="329">
        <v>0</v>
      </c>
      <c r="CE5" s="329">
        <v>0</v>
      </c>
      <c r="CF5" s="332">
        <f t="shared" si="6"/>
        <v>0</v>
      </c>
      <c r="CG5" s="329">
        <v>0</v>
      </c>
      <c r="CH5" s="329">
        <v>0</v>
      </c>
      <c r="CI5" s="329">
        <v>0</v>
      </c>
      <c r="CJ5" s="329">
        <v>0</v>
      </c>
      <c r="CK5" s="329">
        <v>0</v>
      </c>
      <c r="CL5" s="329">
        <v>0</v>
      </c>
      <c r="CM5" s="329">
        <v>0</v>
      </c>
      <c r="CN5" s="329">
        <v>0</v>
      </c>
      <c r="CO5" s="329">
        <v>0</v>
      </c>
      <c r="CP5" s="329">
        <v>0</v>
      </c>
      <c r="CQ5" s="329">
        <v>0</v>
      </c>
      <c r="CR5" s="327">
        <f t="shared" si="7"/>
        <v>0</v>
      </c>
      <c r="CS5" s="329">
        <v>0</v>
      </c>
      <c r="CT5" s="329">
        <v>0</v>
      </c>
      <c r="CU5" s="329">
        <v>0</v>
      </c>
      <c r="CV5" s="329">
        <v>0</v>
      </c>
      <c r="CW5" s="329">
        <v>0</v>
      </c>
      <c r="CX5" s="329">
        <v>0</v>
      </c>
      <c r="CY5" s="329">
        <v>0</v>
      </c>
      <c r="CZ5" s="329">
        <v>0</v>
      </c>
      <c r="DA5" s="329">
        <v>0</v>
      </c>
      <c r="DB5" s="329">
        <v>0</v>
      </c>
      <c r="DC5" s="329">
        <v>0</v>
      </c>
      <c r="DD5" s="325">
        <f t="shared" si="8"/>
        <v>0</v>
      </c>
      <c r="DE5" s="329">
        <v>0</v>
      </c>
      <c r="DF5" s="329">
        <v>0</v>
      </c>
      <c r="DG5" s="329">
        <v>0</v>
      </c>
      <c r="DH5" s="329">
        <v>0</v>
      </c>
      <c r="DI5" s="329">
        <v>0</v>
      </c>
      <c r="DJ5" s="329">
        <v>0</v>
      </c>
      <c r="DK5" s="329">
        <v>0</v>
      </c>
      <c r="DL5" s="329">
        <v>0</v>
      </c>
      <c r="DM5" s="329">
        <v>0</v>
      </c>
      <c r="DN5" s="329">
        <v>0</v>
      </c>
      <c r="DO5" s="329">
        <v>0</v>
      </c>
      <c r="DP5" s="325">
        <f t="shared" si="9"/>
        <v>0</v>
      </c>
      <c r="DQ5" s="329">
        <v>0</v>
      </c>
      <c r="DR5" s="329">
        <v>0</v>
      </c>
      <c r="DS5" s="329">
        <v>0</v>
      </c>
      <c r="DT5" s="329">
        <v>0</v>
      </c>
      <c r="DU5" s="329">
        <v>0</v>
      </c>
      <c r="DV5" s="329">
        <v>0</v>
      </c>
      <c r="DW5" s="329">
        <v>0</v>
      </c>
      <c r="DX5" s="329">
        <v>0</v>
      </c>
      <c r="DY5" s="329">
        <v>0</v>
      </c>
      <c r="DZ5" s="329">
        <v>0</v>
      </c>
      <c r="EA5" s="329">
        <v>0</v>
      </c>
      <c r="EB5" s="325">
        <f t="shared" si="10"/>
        <v>0</v>
      </c>
      <c r="EC5" s="329">
        <v>0</v>
      </c>
      <c r="ED5" s="329">
        <v>0</v>
      </c>
      <c r="EE5" s="329">
        <v>0</v>
      </c>
      <c r="EF5" s="329">
        <v>0</v>
      </c>
      <c r="EG5" s="329">
        <v>0</v>
      </c>
      <c r="EH5" s="329">
        <v>0</v>
      </c>
      <c r="EI5" s="329">
        <v>0</v>
      </c>
      <c r="EJ5" s="329">
        <v>0</v>
      </c>
      <c r="EK5" s="329">
        <v>0</v>
      </c>
      <c r="EL5" s="329">
        <v>0</v>
      </c>
      <c r="EM5" s="329">
        <v>0</v>
      </c>
      <c r="EN5" s="330">
        <f t="shared" si="11"/>
        <v>0</v>
      </c>
      <c r="EO5" s="331">
        <v>15.920999999999999</v>
      </c>
    </row>
    <row r="6" spans="1:145" ht="120" x14ac:dyDescent="0.25">
      <c r="A6" s="301"/>
      <c r="B6" s="176" t="s">
        <v>1066</v>
      </c>
      <c r="C6" s="176" t="s">
        <v>1098</v>
      </c>
      <c r="D6" s="176" t="s">
        <v>1067</v>
      </c>
      <c r="E6" s="176" t="s">
        <v>1322</v>
      </c>
      <c r="F6" s="177" t="s">
        <v>981</v>
      </c>
      <c r="G6" s="269" t="s">
        <v>1394</v>
      </c>
      <c r="H6" s="270" t="s">
        <v>1395</v>
      </c>
      <c r="I6" s="271" t="s">
        <v>1493</v>
      </c>
      <c r="J6" s="185" t="s">
        <v>1109</v>
      </c>
      <c r="K6" s="185"/>
      <c r="L6" s="176" t="s">
        <v>1097</v>
      </c>
      <c r="M6" s="325">
        <f t="shared" si="0"/>
        <v>310796926.54000002</v>
      </c>
      <c r="N6" s="326">
        <v>0</v>
      </c>
      <c r="O6" s="326">
        <f>5007681.47+3715921.02</f>
        <v>8723602.4900000002</v>
      </c>
      <c r="P6" s="326">
        <f>23205+934249.39</f>
        <v>957454.39</v>
      </c>
      <c r="Q6" s="326">
        <f>2687632.5+2730647.41</f>
        <v>5418279.9100000001</v>
      </c>
      <c r="R6" s="326">
        <f>474268.11+481878.95</f>
        <v>956147.06</v>
      </c>
      <c r="S6" s="326">
        <v>0</v>
      </c>
      <c r="T6" s="326">
        <v>0</v>
      </c>
      <c r="U6" s="326">
        <v>0</v>
      </c>
      <c r="V6" s="326">
        <v>0</v>
      </c>
      <c r="W6" s="326">
        <f>4966.5+481242.26+200000+11036.43+1809.9</f>
        <v>699055.09000000008</v>
      </c>
      <c r="X6" s="325">
        <f t="shared" si="1"/>
        <v>16754538.940000001</v>
      </c>
      <c r="Y6" s="329">
        <v>0</v>
      </c>
      <c r="Z6" s="329">
        <v>2310904.61</v>
      </c>
      <c r="AA6" s="329">
        <v>0</v>
      </c>
      <c r="AB6" s="329">
        <v>26814048.260000002</v>
      </c>
      <c r="AC6" s="329">
        <v>4731890.8600000003</v>
      </c>
      <c r="AD6" s="329">
        <v>0</v>
      </c>
      <c r="AE6" s="329">
        <v>14310818.109999999</v>
      </c>
      <c r="AF6" s="329">
        <v>4048153.15</v>
      </c>
      <c r="AG6" s="329">
        <v>0</v>
      </c>
      <c r="AH6" s="329">
        <v>0</v>
      </c>
      <c r="AI6" s="329">
        <f>318055.78-446657.76</f>
        <v>-128601.97999999998</v>
      </c>
      <c r="AJ6" s="325">
        <f t="shared" si="2"/>
        <v>52087213.010000005</v>
      </c>
      <c r="AK6" s="325">
        <v>0</v>
      </c>
      <c r="AL6" s="325">
        <f>6838644.71+600000+50000</f>
        <v>7488644.71</v>
      </c>
      <c r="AM6" s="325">
        <v>0</v>
      </c>
      <c r="AN6" s="325">
        <f>45023608.724+8586711.82*0.85</f>
        <v>52322313.770999998</v>
      </c>
      <c r="AO6" s="325">
        <f>7945342.716+8586711.82*0.15</f>
        <v>9233349.4890000001</v>
      </c>
      <c r="AP6" s="325">
        <v>0</v>
      </c>
      <c r="AQ6" s="325">
        <f>3140056.34+11789244.58</f>
        <v>14929300.92</v>
      </c>
      <c r="AR6" s="325">
        <v>4223105.6399999997</v>
      </c>
      <c r="AS6" s="325">
        <v>0</v>
      </c>
      <c r="AT6" s="325">
        <v>0</v>
      </c>
      <c r="AU6" s="325">
        <v>0</v>
      </c>
      <c r="AV6" s="326">
        <f t="shared" si="3"/>
        <v>88196714.530000001</v>
      </c>
      <c r="AW6" s="329">
        <v>0</v>
      </c>
      <c r="AX6" s="325">
        <f>10489026.75+600000</f>
        <v>11089026.75</v>
      </c>
      <c r="AY6" s="329">
        <v>0</v>
      </c>
      <c r="AZ6" s="325">
        <v>73371913.903499991</v>
      </c>
      <c r="BA6" s="325">
        <v>12947984.806499999</v>
      </c>
      <c r="BB6" s="329">
        <v>0</v>
      </c>
      <c r="BC6" s="325">
        <v>18756543.329999998</v>
      </c>
      <c r="BD6" s="325">
        <v>4119515.57</v>
      </c>
      <c r="BE6" s="329">
        <v>0</v>
      </c>
      <c r="BF6" s="329">
        <v>0</v>
      </c>
      <c r="BG6" s="329">
        <v>0</v>
      </c>
      <c r="BH6" s="326">
        <f t="shared" si="4"/>
        <v>120284984.35999998</v>
      </c>
      <c r="BI6" s="329">
        <v>0</v>
      </c>
      <c r="BJ6" s="325">
        <f>1584241.93+300000+8654667.9+3000000</f>
        <v>13538909.83</v>
      </c>
      <c r="BK6" s="325">
        <v>0</v>
      </c>
      <c r="BL6" s="325">
        <v>11476929.5595</v>
      </c>
      <c r="BM6" s="325">
        <v>2025340.5104999999</v>
      </c>
      <c r="BN6" s="325">
        <v>0</v>
      </c>
      <c r="BO6" s="325">
        <v>5013974.58</v>
      </c>
      <c r="BP6" s="325">
        <v>1418321.22</v>
      </c>
      <c r="BQ6" s="329">
        <v>0</v>
      </c>
      <c r="BR6" s="329">
        <v>0</v>
      </c>
      <c r="BS6" s="329">
        <v>0</v>
      </c>
      <c r="BT6" s="326">
        <f t="shared" si="5"/>
        <v>33473475.699999996</v>
      </c>
      <c r="BU6" s="329">
        <v>0</v>
      </c>
      <c r="BV6" s="329">
        <v>0</v>
      </c>
      <c r="BW6" s="329">
        <v>0</v>
      </c>
      <c r="BX6" s="329">
        <v>0</v>
      </c>
      <c r="BY6" s="329">
        <v>0</v>
      </c>
      <c r="BZ6" s="329">
        <v>0</v>
      </c>
      <c r="CA6" s="329">
        <v>0</v>
      </c>
      <c r="CB6" s="329">
        <v>0</v>
      </c>
      <c r="CC6" s="329">
        <v>0</v>
      </c>
      <c r="CD6" s="329">
        <v>0</v>
      </c>
      <c r="CE6" s="329">
        <v>0</v>
      </c>
      <c r="CF6" s="325">
        <f t="shared" si="6"/>
        <v>0</v>
      </c>
      <c r="CG6" s="329">
        <v>0</v>
      </c>
      <c r="CH6" s="329">
        <v>0</v>
      </c>
      <c r="CI6" s="329">
        <v>0</v>
      </c>
      <c r="CJ6" s="329">
        <v>0</v>
      </c>
      <c r="CK6" s="329">
        <v>0</v>
      </c>
      <c r="CL6" s="329">
        <v>0</v>
      </c>
      <c r="CM6" s="329">
        <v>0</v>
      </c>
      <c r="CN6" s="329">
        <v>0</v>
      </c>
      <c r="CO6" s="329">
        <v>0</v>
      </c>
      <c r="CP6" s="329">
        <v>0</v>
      </c>
      <c r="CQ6" s="329">
        <v>0</v>
      </c>
      <c r="CR6" s="327">
        <f t="shared" si="7"/>
        <v>0</v>
      </c>
      <c r="CS6" s="329">
        <v>0</v>
      </c>
      <c r="CT6" s="329">
        <v>0</v>
      </c>
      <c r="CU6" s="329">
        <v>0</v>
      </c>
      <c r="CV6" s="329">
        <v>0</v>
      </c>
      <c r="CW6" s="329">
        <v>0</v>
      </c>
      <c r="CX6" s="329">
        <v>0</v>
      </c>
      <c r="CY6" s="329">
        <v>0</v>
      </c>
      <c r="CZ6" s="329">
        <v>0</v>
      </c>
      <c r="DA6" s="329">
        <v>0</v>
      </c>
      <c r="DB6" s="329">
        <v>0</v>
      </c>
      <c r="DC6" s="329">
        <v>0</v>
      </c>
      <c r="DD6" s="325">
        <f t="shared" si="8"/>
        <v>0</v>
      </c>
      <c r="DE6" s="329">
        <v>0</v>
      </c>
      <c r="DF6" s="329">
        <v>0</v>
      </c>
      <c r="DG6" s="329">
        <v>0</v>
      </c>
      <c r="DH6" s="329">
        <v>0</v>
      </c>
      <c r="DI6" s="329">
        <v>0</v>
      </c>
      <c r="DJ6" s="329">
        <v>0</v>
      </c>
      <c r="DK6" s="329">
        <v>0</v>
      </c>
      <c r="DL6" s="329">
        <v>0</v>
      </c>
      <c r="DM6" s="329">
        <v>0</v>
      </c>
      <c r="DN6" s="329">
        <v>0</v>
      </c>
      <c r="DO6" s="329">
        <v>0</v>
      </c>
      <c r="DP6" s="325">
        <f t="shared" si="9"/>
        <v>0</v>
      </c>
      <c r="DQ6" s="329">
        <v>0</v>
      </c>
      <c r="DR6" s="329">
        <v>0</v>
      </c>
      <c r="DS6" s="329">
        <v>0</v>
      </c>
      <c r="DT6" s="329">
        <v>0</v>
      </c>
      <c r="DU6" s="329">
        <v>0</v>
      </c>
      <c r="DV6" s="329">
        <v>0</v>
      </c>
      <c r="DW6" s="329">
        <v>0</v>
      </c>
      <c r="DX6" s="329">
        <v>0</v>
      </c>
      <c r="DY6" s="329">
        <v>0</v>
      </c>
      <c r="DZ6" s="329">
        <v>0</v>
      </c>
      <c r="EA6" s="329">
        <v>0</v>
      </c>
      <c r="EB6" s="325">
        <f t="shared" si="10"/>
        <v>0</v>
      </c>
      <c r="EC6" s="329">
        <v>0</v>
      </c>
      <c r="ED6" s="329">
        <v>0</v>
      </c>
      <c r="EE6" s="329">
        <v>0</v>
      </c>
      <c r="EF6" s="329">
        <v>0</v>
      </c>
      <c r="EG6" s="329">
        <v>0</v>
      </c>
      <c r="EH6" s="329">
        <v>0</v>
      </c>
      <c r="EI6" s="329">
        <v>0</v>
      </c>
      <c r="EJ6" s="329">
        <v>0</v>
      </c>
      <c r="EK6" s="329">
        <v>0</v>
      </c>
      <c r="EL6" s="329">
        <v>0</v>
      </c>
      <c r="EM6" s="329">
        <v>0</v>
      </c>
      <c r="EN6" s="330">
        <f t="shared" si="11"/>
        <v>0</v>
      </c>
      <c r="EO6" s="331" t="s">
        <v>1540</v>
      </c>
    </row>
    <row r="7" spans="1:145" ht="216" x14ac:dyDescent="0.25">
      <c r="A7" s="301"/>
      <c r="B7" s="176" t="s">
        <v>1100</v>
      </c>
      <c r="C7" s="176" t="s">
        <v>1254</v>
      </c>
      <c r="D7" s="176" t="s">
        <v>1099</v>
      </c>
      <c r="E7" s="176" t="s">
        <v>1323</v>
      </c>
      <c r="F7" s="177" t="s">
        <v>1283</v>
      </c>
      <c r="G7" s="269" t="s">
        <v>1396</v>
      </c>
      <c r="H7" s="270" t="s">
        <v>1397</v>
      </c>
      <c r="I7" s="271" t="s">
        <v>1494</v>
      </c>
      <c r="J7" s="296" t="s">
        <v>935</v>
      </c>
      <c r="K7" s="185"/>
      <c r="L7" s="176" t="s">
        <v>1211</v>
      </c>
      <c r="M7" s="325">
        <f t="shared" si="0"/>
        <v>275930509.08000004</v>
      </c>
      <c r="N7" s="326">
        <v>0</v>
      </c>
      <c r="O7" s="326">
        <v>0</v>
      </c>
      <c r="P7" s="326">
        <v>0</v>
      </c>
      <c r="Q7" s="326">
        <v>0</v>
      </c>
      <c r="R7" s="326">
        <v>0</v>
      </c>
      <c r="S7" s="326">
        <v>0</v>
      </c>
      <c r="T7" s="326">
        <v>0</v>
      </c>
      <c r="U7" s="326">
        <v>0</v>
      </c>
      <c r="V7" s="326">
        <v>0</v>
      </c>
      <c r="W7" s="326">
        <v>0</v>
      </c>
      <c r="X7" s="325">
        <f t="shared" si="1"/>
        <v>0</v>
      </c>
      <c r="Y7" s="329">
        <v>0</v>
      </c>
      <c r="Z7" s="329">
        <v>0</v>
      </c>
      <c r="AA7" s="329">
        <v>0</v>
      </c>
      <c r="AB7" s="329">
        <v>246715.05</v>
      </c>
      <c r="AC7" s="329">
        <v>43537.95</v>
      </c>
      <c r="AD7" s="329">
        <v>0</v>
      </c>
      <c r="AE7" s="329">
        <v>2342530.54</v>
      </c>
      <c r="AF7" s="329">
        <v>848927.96</v>
      </c>
      <c r="AG7" s="329">
        <v>0</v>
      </c>
      <c r="AH7" s="329">
        <v>0</v>
      </c>
      <c r="AI7" s="329">
        <v>17728.91</v>
      </c>
      <c r="AJ7" s="325">
        <f t="shared" si="2"/>
        <v>3499440.41</v>
      </c>
      <c r="AK7" s="325">
        <v>0</v>
      </c>
      <c r="AL7" s="325">
        <f>100000+100000+100000</f>
        <v>300000</v>
      </c>
      <c r="AM7" s="325">
        <v>0</v>
      </c>
      <c r="AN7" s="325">
        <f>816400.5*0.85</f>
        <v>693940.42499999993</v>
      </c>
      <c r="AO7" s="325">
        <f>816400.5*0.15</f>
        <v>122460.075</v>
      </c>
      <c r="AP7" s="325">
        <v>0</v>
      </c>
      <c r="AQ7" s="325">
        <f>7913589.92+29671007.74+3870447.79+2555039.49+1286268.13</f>
        <v>45296353.07</v>
      </c>
      <c r="AR7" s="325">
        <f>2867867.73+12155350.36+1392081.52</f>
        <v>16415299.609999999</v>
      </c>
      <c r="AS7" s="325">
        <v>0</v>
      </c>
      <c r="AT7" s="325">
        <v>0</v>
      </c>
      <c r="AU7" s="325">
        <v>0</v>
      </c>
      <c r="AV7" s="326">
        <f t="shared" si="3"/>
        <v>62828053.18</v>
      </c>
      <c r="AW7" s="329">
        <v>0</v>
      </c>
      <c r="AX7" s="325">
        <f>100000+100000+100000</f>
        <v>300000</v>
      </c>
      <c r="AY7" s="329">
        <v>0</v>
      </c>
      <c r="AZ7" s="325">
        <v>117191.625</v>
      </c>
      <c r="BA7" s="325">
        <v>20680.875</v>
      </c>
      <c r="BB7" s="329">
        <v>0</v>
      </c>
      <c r="BC7" s="325">
        <f>6399637.04+4045614.94+10957091.89+94536374.16+1261599.68+14341439.33</f>
        <v>131541757.04000001</v>
      </c>
      <c r="BD7" s="325">
        <f>3785336.54+38230602.12+5654507.35</f>
        <v>47670446.009999998</v>
      </c>
      <c r="BE7" s="329">
        <v>0</v>
      </c>
      <c r="BF7" s="329">
        <v>0</v>
      </c>
      <c r="BG7" s="329">
        <v>0</v>
      </c>
      <c r="BH7" s="326">
        <f t="shared" si="4"/>
        <v>179650075.55000001</v>
      </c>
      <c r="BI7" s="329">
        <v>0</v>
      </c>
      <c r="BJ7" s="325">
        <f>100000+100000</f>
        <v>200000</v>
      </c>
      <c r="BK7" s="325">
        <v>0</v>
      </c>
      <c r="BL7" s="325">
        <v>0</v>
      </c>
      <c r="BM7" s="325">
        <v>0</v>
      </c>
      <c r="BN7" s="325">
        <v>0</v>
      </c>
      <c r="BO7" s="325">
        <f>2023940.18+14840077.87+4974639.86</f>
        <v>21838657.91</v>
      </c>
      <c r="BP7" s="325">
        <f>733471.52+5378011.87+1802798.64</f>
        <v>7914282.0300000003</v>
      </c>
      <c r="BQ7" s="329">
        <v>0</v>
      </c>
      <c r="BR7" s="329">
        <v>0</v>
      </c>
      <c r="BS7" s="329">
        <v>0</v>
      </c>
      <c r="BT7" s="326">
        <f t="shared" si="5"/>
        <v>29952939.940000001</v>
      </c>
      <c r="BU7" s="329">
        <v>0</v>
      </c>
      <c r="BV7" s="329">
        <v>0</v>
      </c>
      <c r="BW7" s="329">
        <v>0</v>
      </c>
      <c r="BX7" s="329">
        <v>0</v>
      </c>
      <c r="BY7" s="329">
        <v>0</v>
      </c>
      <c r="BZ7" s="329">
        <v>0</v>
      </c>
      <c r="CA7" s="329">
        <v>0</v>
      </c>
      <c r="CB7" s="329">
        <v>0</v>
      </c>
      <c r="CC7" s="329">
        <v>0</v>
      </c>
      <c r="CD7" s="329">
        <v>0</v>
      </c>
      <c r="CE7" s="329">
        <v>0</v>
      </c>
      <c r="CF7" s="325">
        <f t="shared" si="6"/>
        <v>0</v>
      </c>
      <c r="CG7" s="329">
        <v>0</v>
      </c>
      <c r="CH7" s="329">
        <v>0</v>
      </c>
      <c r="CI7" s="329">
        <v>0</v>
      </c>
      <c r="CJ7" s="329">
        <v>0</v>
      </c>
      <c r="CK7" s="329">
        <v>0</v>
      </c>
      <c r="CL7" s="329">
        <v>0</v>
      </c>
      <c r="CM7" s="329">
        <v>0</v>
      </c>
      <c r="CN7" s="329">
        <v>0</v>
      </c>
      <c r="CO7" s="329">
        <v>0</v>
      </c>
      <c r="CP7" s="329">
        <v>0</v>
      </c>
      <c r="CQ7" s="329">
        <v>0</v>
      </c>
      <c r="CR7" s="327">
        <f t="shared" si="7"/>
        <v>0</v>
      </c>
      <c r="CS7" s="329">
        <v>0</v>
      </c>
      <c r="CT7" s="329">
        <v>0</v>
      </c>
      <c r="CU7" s="329">
        <v>0</v>
      </c>
      <c r="CV7" s="329">
        <v>0</v>
      </c>
      <c r="CW7" s="329">
        <v>0</v>
      </c>
      <c r="CX7" s="329">
        <v>0</v>
      </c>
      <c r="CY7" s="329">
        <v>0</v>
      </c>
      <c r="CZ7" s="329">
        <v>0</v>
      </c>
      <c r="DA7" s="329">
        <v>0</v>
      </c>
      <c r="DB7" s="329">
        <v>0</v>
      </c>
      <c r="DC7" s="329">
        <v>0</v>
      </c>
      <c r="DD7" s="325">
        <f t="shared" si="8"/>
        <v>0</v>
      </c>
      <c r="DE7" s="329">
        <v>0</v>
      </c>
      <c r="DF7" s="329">
        <v>0</v>
      </c>
      <c r="DG7" s="329">
        <v>0</v>
      </c>
      <c r="DH7" s="329">
        <v>0</v>
      </c>
      <c r="DI7" s="329">
        <v>0</v>
      </c>
      <c r="DJ7" s="329">
        <v>0</v>
      </c>
      <c r="DK7" s="329">
        <v>0</v>
      </c>
      <c r="DL7" s="329">
        <v>0</v>
      </c>
      <c r="DM7" s="329">
        <v>0</v>
      </c>
      <c r="DN7" s="329">
        <v>0</v>
      </c>
      <c r="DO7" s="329">
        <v>0</v>
      </c>
      <c r="DP7" s="325">
        <f t="shared" si="9"/>
        <v>0</v>
      </c>
      <c r="DQ7" s="329">
        <v>0</v>
      </c>
      <c r="DR7" s="329">
        <v>0</v>
      </c>
      <c r="DS7" s="329">
        <v>0</v>
      </c>
      <c r="DT7" s="329">
        <v>0</v>
      </c>
      <c r="DU7" s="329">
        <v>0</v>
      </c>
      <c r="DV7" s="329">
        <v>0</v>
      </c>
      <c r="DW7" s="329">
        <v>0</v>
      </c>
      <c r="DX7" s="329">
        <v>0</v>
      </c>
      <c r="DY7" s="329">
        <v>0</v>
      </c>
      <c r="DZ7" s="329">
        <v>0</v>
      </c>
      <c r="EA7" s="329">
        <v>0</v>
      </c>
      <c r="EB7" s="325">
        <f t="shared" si="10"/>
        <v>0</v>
      </c>
      <c r="EC7" s="329">
        <v>0</v>
      </c>
      <c r="ED7" s="329">
        <v>0</v>
      </c>
      <c r="EE7" s="329">
        <v>0</v>
      </c>
      <c r="EF7" s="329">
        <v>0</v>
      </c>
      <c r="EG7" s="329">
        <v>0</v>
      </c>
      <c r="EH7" s="329">
        <v>0</v>
      </c>
      <c r="EI7" s="329">
        <v>0</v>
      </c>
      <c r="EJ7" s="329">
        <v>0</v>
      </c>
      <c r="EK7" s="329">
        <v>0</v>
      </c>
      <c r="EL7" s="329">
        <v>0</v>
      </c>
      <c r="EM7" s="329">
        <v>0</v>
      </c>
      <c r="EN7" s="330">
        <f t="shared" si="11"/>
        <v>0</v>
      </c>
      <c r="EO7" s="331" t="s">
        <v>1541</v>
      </c>
    </row>
    <row r="8" spans="1:145" ht="120" x14ac:dyDescent="0.25">
      <c r="A8" s="301"/>
      <c r="B8" s="176" t="s">
        <v>1068</v>
      </c>
      <c r="C8" s="176" t="s">
        <v>202</v>
      </c>
      <c r="D8" s="176" t="s">
        <v>1069</v>
      </c>
      <c r="E8" s="176" t="s">
        <v>1324</v>
      </c>
      <c r="F8" s="177" t="s">
        <v>982</v>
      </c>
      <c r="G8" s="269" t="s">
        <v>1398</v>
      </c>
      <c r="H8" s="270" t="s">
        <v>1399</v>
      </c>
      <c r="I8" s="271" t="s">
        <v>1495</v>
      </c>
      <c r="J8" s="296" t="s">
        <v>935</v>
      </c>
      <c r="K8" s="185"/>
      <c r="L8" s="176" t="s">
        <v>1097</v>
      </c>
      <c r="M8" s="325">
        <f t="shared" si="0"/>
        <v>122251710.53</v>
      </c>
      <c r="N8" s="326">
        <v>0</v>
      </c>
      <c r="O8" s="326">
        <f>3158467.53+321816.75</f>
        <v>3480284.28</v>
      </c>
      <c r="P8" s="326">
        <v>0</v>
      </c>
      <c r="Q8" s="326">
        <v>8536882.1899999995</v>
      </c>
      <c r="R8" s="326">
        <v>2114960.06</v>
      </c>
      <c r="S8" s="326">
        <v>0</v>
      </c>
      <c r="T8" s="326">
        <f>2749845.99+125574.15+86605</f>
        <v>2962025.14</v>
      </c>
      <c r="U8" s="326">
        <f>697804.45+31865.85+21977</f>
        <v>751647.29999999993</v>
      </c>
      <c r="V8" s="326">
        <v>0</v>
      </c>
      <c r="W8" s="326">
        <f>27899+1364.67+60580.65</f>
        <v>89844.32</v>
      </c>
      <c r="X8" s="325">
        <f t="shared" si="1"/>
        <v>17935643.289999999</v>
      </c>
      <c r="Y8" s="329">
        <v>0</v>
      </c>
      <c r="Z8" s="329">
        <v>473938.01</v>
      </c>
      <c r="AA8" s="329">
        <v>0</v>
      </c>
      <c r="AB8" s="329">
        <v>0</v>
      </c>
      <c r="AC8" s="329">
        <v>0</v>
      </c>
      <c r="AD8" s="329">
        <v>0</v>
      </c>
      <c r="AE8" s="329">
        <v>30503839.289999999</v>
      </c>
      <c r="AF8" s="329">
        <v>7740693.4000000004</v>
      </c>
      <c r="AG8" s="329">
        <v>0</v>
      </c>
      <c r="AH8" s="329">
        <v>0</v>
      </c>
      <c r="AI8" s="329">
        <f>16402.5+153600.32</f>
        <v>170002.82</v>
      </c>
      <c r="AJ8" s="325">
        <f t="shared" si="2"/>
        <v>38888473.520000003</v>
      </c>
      <c r="AK8" s="325">
        <v>0</v>
      </c>
      <c r="AL8" s="325">
        <f>6403545.23+500+450000</f>
        <v>6854045.2300000004</v>
      </c>
      <c r="AM8" s="325">
        <v>0</v>
      </c>
      <c r="AN8" s="325">
        <v>0</v>
      </c>
      <c r="AO8" s="325">
        <v>0</v>
      </c>
      <c r="AP8" s="325">
        <v>0</v>
      </c>
      <c r="AQ8" s="325">
        <f>2141355.37+44234676.69</f>
        <v>46376032.059999995</v>
      </c>
      <c r="AR8" s="325">
        <v>11768441.430000003</v>
      </c>
      <c r="AS8" s="325">
        <v>0</v>
      </c>
      <c r="AT8" s="325">
        <v>0</v>
      </c>
      <c r="AU8" s="325">
        <v>0</v>
      </c>
      <c r="AV8" s="326">
        <f t="shared" si="3"/>
        <v>64998518.719999999</v>
      </c>
      <c r="AW8" s="329">
        <v>0</v>
      </c>
      <c r="AX8" s="325"/>
      <c r="AY8" s="329">
        <v>0</v>
      </c>
      <c r="AZ8" s="325">
        <v>0</v>
      </c>
      <c r="BA8" s="325">
        <v>0</v>
      </c>
      <c r="BB8" s="329">
        <v>0</v>
      </c>
      <c r="BC8" s="325">
        <v>342230.22000000003</v>
      </c>
      <c r="BD8" s="325">
        <v>86844.78</v>
      </c>
      <c r="BE8" s="329">
        <v>0</v>
      </c>
      <c r="BF8" s="329">
        <v>0</v>
      </c>
      <c r="BG8" s="329">
        <v>0</v>
      </c>
      <c r="BH8" s="326">
        <f t="shared" si="4"/>
        <v>429075</v>
      </c>
      <c r="BI8" s="329">
        <v>0</v>
      </c>
      <c r="BJ8" s="329">
        <v>0</v>
      </c>
      <c r="BK8" s="329">
        <v>0</v>
      </c>
      <c r="BL8" s="329">
        <v>0</v>
      </c>
      <c r="BM8" s="329">
        <v>0</v>
      </c>
      <c r="BN8" s="329">
        <v>0</v>
      </c>
      <c r="BO8" s="329">
        <v>0</v>
      </c>
      <c r="BP8" s="329">
        <v>0</v>
      </c>
      <c r="BQ8" s="329">
        <v>0</v>
      </c>
      <c r="BR8" s="329">
        <v>0</v>
      </c>
      <c r="BS8" s="329">
        <v>0</v>
      </c>
      <c r="BT8" s="326">
        <f t="shared" si="5"/>
        <v>0</v>
      </c>
      <c r="BU8" s="329">
        <v>0</v>
      </c>
      <c r="BV8" s="329">
        <v>0</v>
      </c>
      <c r="BW8" s="329">
        <v>0</v>
      </c>
      <c r="BX8" s="329">
        <v>0</v>
      </c>
      <c r="BY8" s="329">
        <v>0</v>
      </c>
      <c r="BZ8" s="329">
        <v>0</v>
      </c>
      <c r="CA8" s="329">
        <v>0</v>
      </c>
      <c r="CB8" s="329">
        <v>0</v>
      </c>
      <c r="CC8" s="329">
        <v>0</v>
      </c>
      <c r="CD8" s="329">
        <v>0</v>
      </c>
      <c r="CE8" s="329">
        <v>0</v>
      </c>
      <c r="CF8" s="325">
        <f t="shared" si="6"/>
        <v>0</v>
      </c>
      <c r="CG8" s="329">
        <v>0</v>
      </c>
      <c r="CH8" s="329">
        <v>0</v>
      </c>
      <c r="CI8" s="329">
        <v>0</v>
      </c>
      <c r="CJ8" s="329">
        <v>0</v>
      </c>
      <c r="CK8" s="329">
        <v>0</v>
      </c>
      <c r="CL8" s="329">
        <v>0</v>
      </c>
      <c r="CM8" s="329">
        <v>0</v>
      </c>
      <c r="CN8" s="329">
        <v>0</v>
      </c>
      <c r="CO8" s="329">
        <v>0</v>
      </c>
      <c r="CP8" s="329">
        <v>0</v>
      </c>
      <c r="CQ8" s="329">
        <v>0</v>
      </c>
      <c r="CR8" s="327">
        <f t="shared" si="7"/>
        <v>0</v>
      </c>
      <c r="CS8" s="329">
        <v>0</v>
      </c>
      <c r="CT8" s="329">
        <v>0</v>
      </c>
      <c r="CU8" s="329">
        <v>0</v>
      </c>
      <c r="CV8" s="329">
        <v>0</v>
      </c>
      <c r="CW8" s="329">
        <v>0</v>
      </c>
      <c r="CX8" s="329">
        <v>0</v>
      </c>
      <c r="CY8" s="329">
        <v>0</v>
      </c>
      <c r="CZ8" s="329">
        <v>0</v>
      </c>
      <c r="DA8" s="329">
        <v>0</v>
      </c>
      <c r="DB8" s="329">
        <v>0</v>
      </c>
      <c r="DC8" s="329">
        <v>0</v>
      </c>
      <c r="DD8" s="325">
        <f t="shared" si="8"/>
        <v>0</v>
      </c>
      <c r="DE8" s="329">
        <v>0</v>
      </c>
      <c r="DF8" s="329">
        <v>0</v>
      </c>
      <c r="DG8" s="329">
        <v>0</v>
      </c>
      <c r="DH8" s="329">
        <v>0</v>
      </c>
      <c r="DI8" s="329">
        <v>0</v>
      </c>
      <c r="DJ8" s="329">
        <v>0</v>
      </c>
      <c r="DK8" s="329">
        <v>0</v>
      </c>
      <c r="DL8" s="329">
        <v>0</v>
      </c>
      <c r="DM8" s="329">
        <v>0</v>
      </c>
      <c r="DN8" s="329">
        <v>0</v>
      </c>
      <c r="DO8" s="329">
        <v>0</v>
      </c>
      <c r="DP8" s="325">
        <f t="shared" si="9"/>
        <v>0</v>
      </c>
      <c r="DQ8" s="329">
        <v>0</v>
      </c>
      <c r="DR8" s="329">
        <v>0</v>
      </c>
      <c r="DS8" s="329">
        <v>0</v>
      </c>
      <c r="DT8" s="329">
        <v>0</v>
      </c>
      <c r="DU8" s="329">
        <v>0</v>
      </c>
      <c r="DV8" s="329">
        <v>0</v>
      </c>
      <c r="DW8" s="329">
        <v>0</v>
      </c>
      <c r="DX8" s="329">
        <v>0</v>
      </c>
      <c r="DY8" s="329">
        <v>0</v>
      </c>
      <c r="DZ8" s="329">
        <v>0</v>
      </c>
      <c r="EA8" s="329">
        <v>0</v>
      </c>
      <c r="EB8" s="325">
        <f t="shared" si="10"/>
        <v>0</v>
      </c>
      <c r="EC8" s="329">
        <v>0</v>
      </c>
      <c r="ED8" s="329">
        <v>0</v>
      </c>
      <c r="EE8" s="329">
        <v>0</v>
      </c>
      <c r="EF8" s="329">
        <v>0</v>
      </c>
      <c r="EG8" s="329">
        <v>0</v>
      </c>
      <c r="EH8" s="329">
        <v>0</v>
      </c>
      <c r="EI8" s="329">
        <v>0</v>
      </c>
      <c r="EJ8" s="329">
        <v>0</v>
      </c>
      <c r="EK8" s="329">
        <v>0</v>
      </c>
      <c r="EL8" s="329">
        <v>0</v>
      </c>
      <c r="EM8" s="329">
        <v>0</v>
      </c>
      <c r="EN8" s="330">
        <f t="shared" si="11"/>
        <v>0</v>
      </c>
      <c r="EO8" s="331">
        <v>12.868</v>
      </c>
    </row>
    <row r="9" spans="1:145" ht="72" x14ac:dyDescent="0.25">
      <c r="A9" s="301"/>
      <c r="B9" s="175" t="s">
        <v>1102</v>
      </c>
      <c r="C9" s="176"/>
      <c r="D9" s="176"/>
      <c r="E9" s="176" t="s">
        <v>1325</v>
      </c>
      <c r="F9" s="177" t="s">
        <v>983</v>
      </c>
      <c r="G9" s="269" t="s">
        <v>1400</v>
      </c>
      <c r="H9" s="272" t="s">
        <v>1401</v>
      </c>
      <c r="I9" s="271" t="s">
        <v>1496</v>
      </c>
      <c r="J9" s="296"/>
      <c r="K9" s="185"/>
      <c r="L9" s="176" t="s">
        <v>1193</v>
      </c>
      <c r="M9" s="325">
        <f t="shared" si="0"/>
        <v>32322094.570000004</v>
      </c>
      <c r="N9" s="326">
        <v>0</v>
      </c>
      <c r="O9" s="326">
        <v>0</v>
      </c>
      <c r="P9" s="326">
        <v>0</v>
      </c>
      <c r="Q9" s="326">
        <v>0</v>
      </c>
      <c r="R9" s="326">
        <v>0</v>
      </c>
      <c r="S9" s="326">
        <v>0</v>
      </c>
      <c r="T9" s="326">
        <v>909925</v>
      </c>
      <c r="U9" s="326">
        <v>160575</v>
      </c>
      <c r="V9" s="326">
        <v>0</v>
      </c>
      <c r="W9" s="326">
        <v>22259.279999999999</v>
      </c>
      <c r="X9" s="325">
        <f t="shared" si="1"/>
        <v>1092759.28</v>
      </c>
      <c r="Y9" s="326">
        <v>532.98</v>
      </c>
      <c r="Z9" s="329">
        <v>0</v>
      </c>
      <c r="AA9" s="329">
        <v>0</v>
      </c>
      <c r="AB9" s="329">
        <v>0</v>
      </c>
      <c r="AC9" s="329">
        <v>0</v>
      </c>
      <c r="AD9" s="329">
        <v>0</v>
      </c>
      <c r="AE9" s="329">
        <v>435200</v>
      </c>
      <c r="AF9" s="329">
        <v>76800</v>
      </c>
      <c r="AG9" s="329">
        <v>0</v>
      </c>
      <c r="AH9" s="329">
        <v>0</v>
      </c>
      <c r="AI9" s="329">
        <v>1681.8</v>
      </c>
      <c r="AJ9" s="325">
        <f t="shared" si="2"/>
        <v>514214.77999999997</v>
      </c>
      <c r="AK9" s="325">
        <v>0</v>
      </c>
      <c r="AL9" s="325">
        <f>50000+675</f>
        <v>50675</v>
      </c>
      <c r="AM9" s="325">
        <v>0</v>
      </c>
      <c r="AN9" s="325">
        <v>0</v>
      </c>
      <c r="AO9" s="325">
        <v>0</v>
      </c>
      <c r="AP9" s="325">
        <v>0</v>
      </c>
      <c r="AQ9" s="325">
        <f>3400+93636</f>
        <v>97036</v>
      </c>
      <c r="AR9" s="325">
        <v>17124</v>
      </c>
      <c r="AS9" s="325">
        <v>0</v>
      </c>
      <c r="AT9" s="325">
        <v>0</v>
      </c>
      <c r="AU9" s="325">
        <v>0</v>
      </c>
      <c r="AV9" s="326">
        <f t="shared" si="3"/>
        <v>164835</v>
      </c>
      <c r="AW9" s="329">
        <v>0</v>
      </c>
      <c r="AX9" s="325">
        <f>540+86577.5</f>
        <v>87117.5</v>
      </c>
      <c r="AY9" s="329">
        <v>0</v>
      </c>
      <c r="AZ9" s="325">
        <v>0</v>
      </c>
      <c r="BA9" s="325">
        <v>0</v>
      </c>
      <c r="BB9" s="329">
        <v>0</v>
      </c>
      <c r="BC9" s="325">
        <f>6030111.65+3117049.46</f>
        <v>9147161.1099999994</v>
      </c>
      <c r="BD9" s="325">
        <v>1614204.8999999997</v>
      </c>
      <c r="BE9" s="329">
        <v>0</v>
      </c>
      <c r="BF9" s="329">
        <v>0</v>
      </c>
      <c r="BG9" s="329">
        <v>0</v>
      </c>
      <c r="BH9" s="326">
        <f t="shared" si="4"/>
        <v>10848483.51</v>
      </c>
      <c r="BI9" s="325">
        <v>0</v>
      </c>
      <c r="BJ9" s="325">
        <v>3000000</v>
      </c>
      <c r="BK9" s="325">
        <v>0</v>
      </c>
      <c r="BL9" s="325">
        <v>0</v>
      </c>
      <c r="BM9" s="325">
        <v>0</v>
      </c>
      <c r="BN9" s="325">
        <v>0</v>
      </c>
      <c r="BO9" s="325">
        <v>11763869.100000001</v>
      </c>
      <c r="BP9" s="325">
        <v>2075976.9000000006</v>
      </c>
      <c r="BQ9" s="329">
        <v>0</v>
      </c>
      <c r="BR9" s="329">
        <v>0</v>
      </c>
      <c r="BS9" s="329">
        <v>0</v>
      </c>
      <c r="BT9" s="326">
        <f t="shared" si="5"/>
        <v>16839846.000000004</v>
      </c>
      <c r="BU9" s="329">
        <v>0</v>
      </c>
      <c r="BV9" s="329">
        <v>0</v>
      </c>
      <c r="BW9" s="329">
        <v>0</v>
      </c>
      <c r="BX9" s="329">
        <v>0</v>
      </c>
      <c r="BY9" s="329">
        <v>0</v>
      </c>
      <c r="BZ9" s="329">
        <v>0</v>
      </c>
      <c r="CA9" s="329">
        <v>0</v>
      </c>
      <c r="CB9" s="329">
        <v>2432662.6</v>
      </c>
      <c r="CC9" s="329">
        <v>429293.4</v>
      </c>
      <c r="CD9" s="329">
        <v>0</v>
      </c>
      <c r="CE9" s="329">
        <v>0</v>
      </c>
      <c r="CF9" s="326">
        <f t="shared" si="6"/>
        <v>2861956</v>
      </c>
      <c r="CG9" s="329">
        <v>0</v>
      </c>
      <c r="CH9" s="329">
        <v>0</v>
      </c>
      <c r="CI9" s="329">
        <v>0</v>
      </c>
      <c r="CJ9" s="329">
        <v>0</v>
      </c>
      <c r="CK9" s="329">
        <v>0</v>
      </c>
      <c r="CL9" s="329">
        <v>0</v>
      </c>
      <c r="CM9" s="329">
        <v>0</v>
      </c>
      <c r="CN9" s="329">
        <v>0</v>
      </c>
      <c r="CO9" s="329">
        <v>0</v>
      </c>
      <c r="CP9" s="329">
        <v>0</v>
      </c>
      <c r="CQ9" s="329">
        <v>0</v>
      </c>
      <c r="CR9" s="327">
        <f t="shared" si="7"/>
        <v>0</v>
      </c>
      <c r="CS9" s="329">
        <v>0</v>
      </c>
      <c r="CT9" s="329">
        <v>0</v>
      </c>
      <c r="CU9" s="329">
        <v>0</v>
      </c>
      <c r="CV9" s="329">
        <v>0</v>
      </c>
      <c r="CW9" s="329">
        <v>0</v>
      </c>
      <c r="CX9" s="329">
        <v>0</v>
      </c>
      <c r="CY9" s="329">
        <v>0</v>
      </c>
      <c r="CZ9" s="329">
        <v>0</v>
      </c>
      <c r="DA9" s="329">
        <v>0</v>
      </c>
      <c r="DB9" s="329">
        <v>0</v>
      </c>
      <c r="DC9" s="329">
        <v>0</v>
      </c>
      <c r="DD9" s="325">
        <f t="shared" si="8"/>
        <v>0</v>
      </c>
      <c r="DE9" s="329">
        <v>0</v>
      </c>
      <c r="DF9" s="329">
        <v>0</v>
      </c>
      <c r="DG9" s="329">
        <v>0</v>
      </c>
      <c r="DH9" s="329">
        <v>0</v>
      </c>
      <c r="DI9" s="329">
        <v>0</v>
      </c>
      <c r="DJ9" s="329">
        <v>0</v>
      </c>
      <c r="DK9" s="329">
        <v>0</v>
      </c>
      <c r="DL9" s="329">
        <v>0</v>
      </c>
      <c r="DM9" s="329">
        <v>0</v>
      </c>
      <c r="DN9" s="329">
        <v>0</v>
      </c>
      <c r="DO9" s="329">
        <v>0</v>
      </c>
      <c r="DP9" s="325">
        <f t="shared" si="9"/>
        <v>0</v>
      </c>
      <c r="DQ9" s="329">
        <v>0</v>
      </c>
      <c r="DR9" s="329">
        <v>0</v>
      </c>
      <c r="DS9" s="329">
        <v>0</v>
      </c>
      <c r="DT9" s="329">
        <v>0</v>
      </c>
      <c r="DU9" s="329">
        <v>0</v>
      </c>
      <c r="DV9" s="329">
        <v>0</v>
      </c>
      <c r="DW9" s="329">
        <v>0</v>
      </c>
      <c r="DX9" s="329">
        <v>0</v>
      </c>
      <c r="DY9" s="329">
        <v>0</v>
      </c>
      <c r="DZ9" s="329">
        <v>0</v>
      </c>
      <c r="EA9" s="329">
        <v>0</v>
      </c>
      <c r="EB9" s="325">
        <f t="shared" si="10"/>
        <v>0</v>
      </c>
      <c r="EC9" s="329">
        <v>0</v>
      </c>
      <c r="ED9" s="329">
        <v>0</v>
      </c>
      <c r="EE9" s="329">
        <v>0</v>
      </c>
      <c r="EF9" s="329">
        <v>0</v>
      </c>
      <c r="EG9" s="329">
        <v>0</v>
      </c>
      <c r="EH9" s="329">
        <v>0</v>
      </c>
      <c r="EI9" s="329">
        <v>0</v>
      </c>
      <c r="EJ9" s="329">
        <v>0</v>
      </c>
      <c r="EK9" s="329">
        <v>0</v>
      </c>
      <c r="EL9" s="329">
        <v>0</v>
      </c>
      <c r="EM9" s="329">
        <v>0</v>
      </c>
      <c r="EN9" s="330">
        <f t="shared" si="11"/>
        <v>0</v>
      </c>
      <c r="EO9" s="331">
        <v>329.37400000000002</v>
      </c>
    </row>
    <row r="10" spans="1:145" ht="96" x14ac:dyDescent="0.25">
      <c r="A10" s="301"/>
      <c r="B10" s="175" t="s">
        <v>1212</v>
      </c>
      <c r="C10" s="176" t="s">
        <v>262</v>
      </c>
      <c r="D10" s="176"/>
      <c r="E10" s="176" t="s">
        <v>1326</v>
      </c>
      <c r="F10" s="177" t="s">
        <v>992</v>
      </c>
      <c r="G10" s="269" t="s">
        <v>1402</v>
      </c>
      <c r="H10" s="272" t="s">
        <v>1403</v>
      </c>
      <c r="I10" s="273" t="s">
        <v>1479</v>
      </c>
      <c r="J10" s="296" t="s">
        <v>923</v>
      </c>
      <c r="K10" s="185"/>
      <c r="L10" s="176" t="s">
        <v>1097</v>
      </c>
      <c r="M10" s="325">
        <f t="shared" si="0"/>
        <v>6316450.5099999998</v>
      </c>
      <c r="N10" s="326">
        <v>0</v>
      </c>
      <c r="O10" s="326">
        <v>0</v>
      </c>
      <c r="P10" s="326">
        <v>0</v>
      </c>
      <c r="Q10" s="326">
        <v>0</v>
      </c>
      <c r="R10" s="326">
        <v>0</v>
      </c>
      <c r="S10" s="326">
        <v>0</v>
      </c>
      <c r="T10" s="326">
        <v>0</v>
      </c>
      <c r="U10" s="326">
        <v>0</v>
      </c>
      <c r="V10" s="326">
        <v>0</v>
      </c>
      <c r="W10" s="326">
        <v>111095</v>
      </c>
      <c r="X10" s="325">
        <f t="shared" si="1"/>
        <v>111095</v>
      </c>
      <c r="Y10" s="326">
        <v>0</v>
      </c>
      <c r="Z10" s="326">
        <v>0</v>
      </c>
      <c r="AA10" s="326">
        <v>0</v>
      </c>
      <c r="AB10" s="326">
        <v>0</v>
      </c>
      <c r="AC10" s="326">
        <v>0</v>
      </c>
      <c r="AD10" s="326">
        <v>0</v>
      </c>
      <c r="AE10" s="326">
        <v>0</v>
      </c>
      <c r="AF10" s="326">
        <v>0</v>
      </c>
      <c r="AG10" s="332">
        <v>0</v>
      </c>
      <c r="AH10" s="325">
        <v>0</v>
      </c>
      <c r="AI10" s="326">
        <v>0</v>
      </c>
      <c r="AJ10" s="325">
        <f t="shared" si="2"/>
        <v>0</v>
      </c>
      <c r="AK10" s="325">
        <v>0</v>
      </c>
      <c r="AL10" s="325">
        <v>0</v>
      </c>
      <c r="AM10" s="325">
        <v>0</v>
      </c>
      <c r="AN10" s="325">
        <v>0</v>
      </c>
      <c r="AO10" s="325">
        <v>0</v>
      </c>
      <c r="AP10" s="325">
        <v>0</v>
      </c>
      <c r="AQ10" s="325">
        <v>0</v>
      </c>
      <c r="AR10" s="325">
        <v>0</v>
      </c>
      <c r="AS10" s="325">
        <v>0</v>
      </c>
      <c r="AT10" s="325">
        <v>6205355.5099999998</v>
      </c>
      <c r="AU10" s="325">
        <v>0</v>
      </c>
      <c r="AV10" s="326">
        <f t="shared" si="3"/>
        <v>6205355.5099999998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>
        <v>0</v>
      </c>
      <c r="BC10" s="325">
        <v>0</v>
      </c>
      <c r="BD10" s="325">
        <v>0</v>
      </c>
      <c r="BE10" s="325">
        <v>0</v>
      </c>
      <c r="BF10" s="325">
        <v>0</v>
      </c>
      <c r="BG10" s="325">
        <v>0</v>
      </c>
      <c r="BH10" s="326">
        <f t="shared" si="4"/>
        <v>0</v>
      </c>
      <c r="BI10" s="325">
        <v>0</v>
      </c>
      <c r="BJ10" s="325">
        <v>0</v>
      </c>
      <c r="BK10" s="325">
        <v>0</v>
      </c>
      <c r="BL10" s="325">
        <v>0</v>
      </c>
      <c r="BM10" s="325">
        <v>0</v>
      </c>
      <c r="BN10" s="325">
        <v>0</v>
      </c>
      <c r="BO10" s="325">
        <v>0</v>
      </c>
      <c r="BP10" s="325">
        <v>0</v>
      </c>
      <c r="BQ10" s="325">
        <v>0</v>
      </c>
      <c r="BR10" s="325">
        <v>0</v>
      </c>
      <c r="BS10" s="325">
        <v>0</v>
      </c>
      <c r="BT10" s="326">
        <f t="shared" si="5"/>
        <v>0</v>
      </c>
      <c r="BU10" s="325">
        <v>0</v>
      </c>
      <c r="BV10" s="325">
        <v>0</v>
      </c>
      <c r="BW10" s="325">
        <v>0</v>
      </c>
      <c r="BX10" s="325">
        <v>0</v>
      </c>
      <c r="BY10" s="325">
        <v>0</v>
      </c>
      <c r="BZ10" s="325">
        <v>0</v>
      </c>
      <c r="CA10" s="325">
        <v>0</v>
      </c>
      <c r="CB10" s="325">
        <v>0</v>
      </c>
      <c r="CC10" s="325">
        <v>0</v>
      </c>
      <c r="CD10" s="325">
        <v>0</v>
      </c>
      <c r="CE10" s="325">
        <v>0</v>
      </c>
      <c r="CF10" s="325">
        <f t="shared" si="6"/>
        <v>0</v>
      </c>
      <c r="CG10" s="329">
        <v>0</v>
      </c>
      <c r="CH10" s="329">
        <v>0</v>
      </c>
      <c r="CI10" s="329">
        <v>0</v>
      </c>
      <c r="CJ10" s="329">
        <v>0</v>
      </c>
      <c r="CK10" s="329">
        <v>0</v>
      </c>
      <c r="CL10" s="329">
        <v>0</v>
      </c>
      <c r="CM10" s="329">
        <v>0</v>
      </c>
      <c r="CN10" s="329">
        <v>0</v>
      </c>
      <c r="CO10" s="329">
        <v>0</v>
      </c>
      <c r="CP10" s="329">
        <v>0</v>
      </c>
      <c r="CQ10" s="329">
        <v>0</v>
      </c>
      <c r="CR10" s="327">
        <f t="shared" si="7"/>
        <v>0</v>
      </c>
      <c r="CS10" s="329">
        <v>0</v>
      </c>
      <c r="CT10" s="329">
        <v>0</v>
      </c>
      <c r="CU10" s="329">
        <v>0</v>
      </c>
      <c r="CV10" s="329">
        <v>0</v>
      </c>
      <c r="CW10" s="329">
        <v>0</v>
      </c>
      <c r="CX10" s="329">
        <v>0</v>
      </c>
      <c r="CY10" s="329">
        <v>0</v>
      </c>
      <c r="CZ10" s="329">
        <v>0</v>
      </c>
      <c r="DA10" s="329">
        <v>0</v>
      </c>
      <c r="DB10" s="329">
        <v>0</v>
      </c>
      <c r="DC10" s="329">
        <v>0</v>
      </c>
      <c r="DD10" s="325">
        <f t="shared" si="8"/>
        <v>0</v>
      </c>
      <c r="DE10" s="329">
        <v>0</v>
      </c>
      <c r="DF10" s="329">
        <v>0</v>
      </c>
      <c r="DG10" s="329">
        <v>0</v>
      </c>
      <c r="DH10" s="329">
        <v>0</v>
      </c>
      <c r="DI10" s="329">
        <v>0</v>
      </c>
      <c r="DJ10" s="329">
        <v>0</v>
      </c>
      <c r="DK10" s="329">
        <v>0</v>
      </c>
      <c r="DL10" s="329">
        <v>0</v>
      </c>
      <c r="DM10" s="329">
        <v>0</v>
      </c>
      <c r="DN10" s="329">
        <v>0</v>
      </c>
      <c r="DO10" s="329">
        <v>0</v>
      </c>
      <c r="DP10" s="325">
        <f t="shared" si="9"/>
        <v>0</v>
      </c>
      <c r="DQ10" s="329">
        <v>0</v>
      </c>
      <c r="DR10" s="329">
        <v>0</v>
      </c>
      <c r="DS10" s="329">
        <v>0</v>
      </c>
      <c r="DT10" s="329">
        <v>0</v>
      </c>
      <c r="DU10" s="329">
        <v>0</v>
      </c>
      <c r="DV10" s="329">
        <v>0</v>
      </c>
      <c r="DW10" s="329">
        <v>0</v>
      </c>
      <c r="DX10" s="329">
        <v>0</v>
      </c>
      <c r="DY10" s="329">
        <v>0</v>
      </c>
      <c r="DZ10" s="329">
        <v>0</v>
      </c>
      <c r="EA10" s="329">
        <v>0</v>
      </c>
      <c r="EB10" s="325">
        <f t="shared" si="10"/>
        <v>0</v>
      </c>
      <c r="EC10" s="329">
        <v>0</v>
      </c>
      <c r="ED10" s="329">
        <v>0</v>
      </c>
      <c r="EE10" s="329">
        <v>0</v>
      </c>
      <c r="EF10" s="329">
        <v>0</v>
      </c>
      <c r="EG10" s="329">
        <v>0</v>
      </c>
      <c r="EH10" s="329">
        <v>0</v>
      </c>
      <c r="EI10" s="329">
        <v>0</v>
      </c>
      <c r="EJ10" s="329">
        <v>0</v>
      </c>
      <c r="EK10" s="329">
        <v>0</v>
      </c>
      <c r="EL10" s="329">
        <v>0</v>
      </c>
      <c r="EM10" s="329">
        <v>0</v>
      </c>
      <c r="EN10" s="330">
        <f t="shared" si="11"/>
        <v>0</v>
      </c>
      <c r="EO10" s="331" t="s">
        <v>1534</v>
      </c>
    </row>
    <row r="11" spans="1:145" ht="168" x14ac:dyDescent="0.25">
      <c r="A11" s="301"/>
      <c r="B11" s="175" t="s">
        <v>1213</v>
      </c>
      <c r="C11" s="176" t="s">
        <v>1145</v>
      </c>
      <c r="D11" s="176"/>
      <c r="E11" s="176" t="s">
        <v>1327</v>
      </c>
      <c r="F11" s="177" t="s">
        <v>988</v>
      </c>
      <c r="G11" s="269" t="s">
        <v>1404</v>
      </c>
      <c r="H11" s="270" t="s">
        <v>1565</v>
      </c>
      <c r="I11" s="271" t="s">
        <v>1497</v>
      </c>
      <c r="J11" s="185" t="s">
        <v>923</v>
      </c>
      <c r="K11" s="185"/>
      <c r="L11" s="176" t="s">
        <v>1154</v>
      </c>
      <c r="M11" s="332">
        <f t="shared" si="0"/>
        <v>14383240.460000001</v>
      </c>
      <c r="N11" s="329">
        <v>0</v>
      </c>
      <c r="O11" s="329">
        <v>0</v>
      </c>
      <c r="P11" s="329">
        <v>0</v>
      </c>
      <c r="Q11" s="329">
        <v>0</v>
      </c>
      <c r="R11" s="329">
        <v>0</v>
      </c>
      <c r="S11" s="329">
        <v>0</v>
      </c>
      <c r="T11" s="329">
        <v>0</v>
      </c>
      <c r="U11" s="329">
        <v>0</v>
      </c>
      <c r="V11" s="329">
        <v>0</v>
      </c>
      <c r="W11" s="326">
        <v>284937.15000000002</v>
      </c>
      <c r="X11" s="325">
        <f t="shared" si="1"/>
        <v>284937.15000000002</v>
      </c>
      <c r="Y11" s="329">
        <v>771449.15</v>
      </c>
      <c r="Z11" s="329">
        <v>0</v>
      </c>
      <c r="AA11" s="329">
        <v>0</v>
      </c>
      <c r="AB11" s="329">
        <v>0</v>
      </c>
      <c r="AC11" s="329">
        <v>0</v>
      </c>
      <c r="AD11" s="329">
        <v>0</v>
      </c>
      <c r="AE11" s="329">
        <v>0</v>
      </c>
      <c r="AF11" s="329">
        <v>0</v>
      </c>
      <c r="AG11" s="332">
        <v>0</v>
      </c>
      <c r="AH11" s="325">
        <v>0</v>
      </c>
      <c r="AI11" s="326">
        <v>626854.16</v>
      </c>
      <c r="AJ11" s="332">
        <f t="shared" si="2"/>
        <v>1398303.31</v>
      </c>
      <c r="AK11" s="332">
        <v>0</v>
      </c>
      <c r="AL11" s="332">
        <v>0</v>
      </c>
      <c r="AM11" s="332">
        <v>0</v>
      </c>
      <c r="AN11" s="332">
        <v>0</v>
      </c>
      <c r="AO11" s="332">
        <v>0</v>
      </c>
      <c r="AP11" s="332">
        <v>0</v>
      </c>
      <c r="AQ11" s="332">
        <v>0</v>
      </c>
      <c r="AR11" s="332">
        <v>0</v>
      </c>
      <c r="AS11" s="332">
        <v>0</v>
      </c>
      <c r="AT11" s="332">
        <v>7600000</v>
      </c>
      <c r="AU11" s="332">
        <v>0</v>
      </c>
      <c r="AV11" s="329">
        <f t="shared" si="3"/>
        <v>7600000</v>
      </c>
      <c r="AW11" s="332">
        <v>0</v>
      </c>
      <c r="AX11" s="332">
        <v>0</v>
      </c>
      <c r="AY11" s="332">
        <v>0</v>
      </c>
      <c r="AZ11" s="332">
        <v>0</v>
      </c>
      <c r="BA11" s="332">
        <v>0</v>
      </c>
      <c r="BB11" s="332">
        <v>0</v>
      </c>
      <c r="BC11" s="332">
        <v>0</v>
      </c>
      <c r="BD11" s="332">
        <v>0</v>
      </c>
      <c r="BE11" s="332">
        <v>0</v>
      </c>
      <c r="BF11" s="332">
        <v>5100000</v>
      </c>
      <c r="BG11" s="332">
        <v>0</v>
      </c>
      <c r="BH11" s="329">
        <f t="shared" si="4"/>
        <v>5100000</v>
      </c>
      <c r="BI11" s="332">
        <v>0</v>
      </c>
      <c r="BJ11" s="332">
        <v>0</v>
      </c>
      <c r="BK11" s="332">
        <v>0</v>
      </c>
      <c r="BL11" s="332">
        <v>0</v>
      </c>
      <c r="BM11" s="332">
        <v>0</v>
      </c>
      <c r="BN11" s="332">
        <v>0</v>
      </c>
      <c r="BO11" s="332">
        <v>0</v>
      </c>
      <c r="BP11" s="332">
        <v>0</v>
      </c>
      <c r="BQ11" s="332">
        <v>0</v>
      </c>
      <c r="BR11" s="332">
        <v>0</v>
      </c>
      <c r="BS11" s="332">
        <v>0</v>
      </c>
      <c r="BT11" s="329">
        <f t="shared" si="5"/>
        <v>0</v>
      </c>
      <c r="BU11" s="332">
        <v>0</v>
      </c>
      <c r="BV11" s="332">
        <v>0</v>
      </c>
      <c r="BW11" s="332">
        <v>0</v>
      </c>
      <c r="BX11" s="332">
        <v>0</v>
      </c>
      <c r="BY11" s="332">
        <v>0</v>
      </c>
      <c r="BZ11" s="332">
        <v>0</v>
      </c>
      <c r="CA11" s="332">
        <v>0</v>
      </c>
      <c r="CB11" s="332">
        <v>0</v>
      </c>
      <c r="CC11" s="332">
        <v>0</v>
      </c>
      <c r="CD11" s="332">
        <v>0</v>
      </c>
      <c r="CE11" s="332">
        <v>0</v>
      </c>
      <c r="CF11" s="332">
        <v>0</v>
      </c>
      <c r="CG11" s="329">
        <v>0</v>
      </c>
      <c r="CH11" s="329">
        <v>0</v>
      </c>
      <c r="CI11" s="329">
        <v>0</v>
      </c>
      <c r="CJ11" s="329">
        <v>0</v>
      </c>
      <c r="CK11" s="329">
        <v>0</v>
      </c>
      <c r="CL11" s="329">
        <v>0</v>
      </c>
      <c r="CM11" s="329">
        <v>0</v>
      </c>
      <c r="CN11" s="329">
        <v>0</v>
      </c>
      <c r="CO11" s="329">
        <v>0</v>
      </c>
      <c r="CP11" s="329">
        <v>0</v>
      </c>
      <c r="CQ11" s="329">
        <v>0</v>
      </c>
      <c r="CR11" s="329">
        <f t="shared" si="7"/>
        <v>0</v>
      </c>
      <c r="CS11" s="329">
        <v>0</v>
      </c>
      <c r="CT11" s="329">
        <v>0</v>
      </c>
      <c r="CU11" s="329">
        <v>0</v>
      </c>
      <c r="CV11" s="329">
        <v>0</v>
      </c>
      <c r="CW11" s="329">
        <v>0</v>
      </c>
      <c r="CX11" s="329">
        <v>0</v>
      </c>
      <c r="CY11" s="329">
        <v>0</v>
      </c>
      <c r="CZ11" s="329">
        <v>0</v>
      </c>
      <c r="DA11" s="329">
        <v>0</v>
      </c>
      <c r="DB11" s="329">
        <v>0</v>
      </c>
      <c r="DC11" s="329">
        <v>0</v>
      </c>
      <c r="DD11" s="333">
        <f t="shared" si="8"/>
        <v>0</v>
      </c>
      <c r="DE11" s="329">
        <v>0</v>
      </c>
      <c r="DF11" s="329">
        <v>0</v>
      </c>
      <c r="DG11" s="329">
        <v>0</v>
      </c>
      <c r="DH11" s="329">
        <v>0</v>
      </c>
      <c r="DI11" s="329">
        <v>0</v>
      </c>
      <c r="DJ11" s="329">
        <v>0</v>
      </c>
      <c r="DK11" s="329">
        <v>0</v>
      </c>
      <c r="DL11" s="329">
        <v>0</v>
      </c>
      <c r="DM11" s="329">
        <v>0</v>
      </c>
      <c r="DN11" s="329">
        <v>0</v>
      </c>
      <c r="DO11" s="329">
        <v>0</v>
      </c>
      <c r="DP11" s="333">
        <f t="shared" si="9"/>
        <v>0</v>
      </c>
      <c r="DQ11" s="329">
        <v>0</v>
      </c>
      <c r="DR11" s="329">
        <v>0</v>
      </c>
      <c r="DS11" s="329">
        <v>0</v>
      </c>
      <c r="DT11" s="329">
        <v>0</v>
      </c>
      <c r="DU11" s="329">
        <v>0</v>
      </c>
      <c r="DV11" s="329">
        <v>0</v>
      </c>
      <c r="DW11" s="329">
        <v>0</v>
      </c>
      <c r="DX11" s="329">
        <v>0</v>
      </c>
      <c r="DY11" s="329">
        <v>0</v>
      </c>
      <c r="DZ11" s="329">
        <v>0</v>
      </c>
      <c r="EA11" s="329">
        <v>0</v>
      </c>
      <c r="EB11" s="333">
        <f t="shared" si="10"/>
        <v>0</v>
      </c>
      <c r="EC11" s="329">
        <v>0</v>
      </c>
      <c r="ED11" s="329">
        <v>0</v>
      </c>
      <c r="EE11" s="329">
        <v>0</v>
      </c>
      <c r="EF11" s="329">
        <v>0</v>
      </c>
      <c r="EG11" s="329">
        <v>0</v>
      </c>
      <c r="EH11" s="329">
        <v>0</v>
      </c>
      <c r="EI11" s="329">
        <v>0</v>
      </c>
      <c r="EJ11" s="329">
        <v>0</v>
      </c>
      <c r="EK11" s="329">
        <v>0</v>
      </c>
      <c r="EL11" s="329">
        <v>0</v>
      </c>
      <c r="EM11" s="329">
        <v>0</v>
      </c>
      <c r="EN11" s="330">
        <f t="shared" si="11"/>
        <v>0</v>
      </c>
      <c r="EO11" s="331" t="s">
        <v>1548</v>
      </c>
    </row>
    <row r="12" spans="1:145" s="105" customFormat="1" ht="108" x14ac:dyDescent="0.25">
      <c r="A12" s="301"/>
      <c r="B12" s="176" t="s">
        <v>944</v>
      </c>
      <c r="C12" s="176" t="s">
        <v>144</v>
      </c>
      <c r="D12" s="176" t="s">
        <v>1159</v>
      </c>
      <c r="E12" s="176" t="s">
        <v>1328</v>
      </c>
      <c r="F12" s="177" t="s">
        <v>1172</v>
      </c>
      <c r="G12" s="269" t="s">
        <v>1405</v>
      </c>
      <c r="H12" s="270" t="s">
        <v>1406</v>
      </c>
      <c r="I12" s="273" t="s">
        <v>1523</v>
      </c>
      <c r="J12" s="296" t="s">
        <v>927</v>
      </c>
      <c r="K12" s="175">
        <v>1.2</v>
      </c>
      <c r="L12" s="176" t="s">
        <v>1154</v>
      </c>
      <c r="M12" s="332">
        <f t="shared" si="0"/>
        <v>70664605.169999987</v>
      </c>
      <c r="N12" s="329">
        <v>0</v>
      </c>
      <c r="O12" s="329">
        <v>305952.64000000001</v>
      </c>
      <c r="P12" s="329">
        <v>0</v>
      </c>
      <c r="Q12" s="329">
        <v>1224833.93</v>
      </c>
      <c r="R12" s="329">
        <v>216147.17</v>
      </c>
      <c r="S12" s="329">
        <v>0</v>
      </c>
      <c r="T12" s="329">
        <v>0</v>
      </c>
      <c r="U12" s="329">
        <v>0</v>
      </c>
      <c r="V12" s="329">
        <v>0</v>
      </c>
      <c r="W12" s="329">
        <v>526770.21</v>
      </c>
      <c r="X12" s="325">
        <f t="shared" si="1"/>
        <v>2273703.9499999997</v>
      </c>
      <c r="Y12" s="329">
        <v>5670</v>
      </c>
      <c r="Z12" s="329">
        <v>0</v>
      </c>
      <c r="AA12" s="329">
        <v>0</v>
      </c>
      <c r="AB12" s="329">
        <v>695537.97</v>
      </c>
      <c r="AC12" s="329">
        <v>122741.99</v>
      </c>
      <c r="AD12" s="329">
        <v>0</v>
      </c>
      <c r="AE12" s="329">
        <v>0</v>
      </c>
      <c r="AF12" s="329">
        <v>0</v>
      </c>
      <c r="AG12" s="332">
        <v>0</v>
      </c>
      <c r="AH12" s="332">
        <v>0</v>
      </c>
      <c r="AI12" s="329">
        <v>7317.4</v>
      </c>
      <c r="AJ12" s="332">
        <f t="shared" si="2"/>
        <v>831267.36</v>
      </c>
      <c r="AK12" s="332">
        <v>0</v>
      </c>
      <c r="AL12" s="332">
        <f>2000000+400000</f>
        <v>2400000</v>
      </c>
      <c r="AM12" s="332">
        <v>0</v>
      </c>
      <c r="AN12" s="332">
        <f>21794312.8935+829851.98*0.85</f>
        <v>22499687.076499999</v>
      </c>
      <c r="AO12" s="332">
        <f>3846055.2165+829851.98*0.15</f>
        <v>3970533.0134999999</v>
      </c>
      <c r="AP12" s="332">
        <v>0</v>
      </c>
      <c r="AQ12" s="332">
        <v>0</v>
      </c>
      <c r="AR12" s="332">
        <v>0</v>
      </c>
      <c r="AS12" s="332">
        <v>0</v>
      </c>
      <c r="AT12" s="332">
        <v>0</v>
      </c>
      <c r="AU12" s="332">
        <v>0</v>
      </c>
      <c r="AV12" s="329">
        <f t="shared" si="3"/>
        <v>28870220.09</v>
      </c>
      <c r="AW12" s="332">
        <v>0</v>
      </c>
      <c r="AX12" s="332">
        <f>49531.9+2800000+400000</f>
        <v>3249531.9</v>
      </c>
      <c r="AY12" s="332">
        <v>0</v>
      </c>
      <c r="AZ12" s="332">
        <v>29796484.103</v>
      </c>
      <c r="BA12" s="332">
        <v>5258203.0769999996</v>
      </c>
      <c r="BB12" s="332">
        <v>0</v>
      </c>
      <c r="BC12" s="332">
        <v>0</v>
      </c>
      <c r="BD12" s="332">
        <v>0</v>
      </c>
      <c r="BE12" s="332">
        <v>0</v>
      </c>
      <c r="BF12" s="332">
        <v>0</v>
      </c>
      <c r="BG12" s="332">
        <v>0</v>
      </c>
      <c r="BH12" s="329">
        <f t="shared" si="4"/>
        <v>38304219.079999998</v>
      </c>
      <c r="BI12" s="332">
        <v>0</v>
      </c>
      <c r="BJ12" s="332">
        <f>285194.69+100000</f>
        <v>385194.69</v>
      </c>
      <c r="BK12" s="332">
        <v>0</v>
      </c>
      <c r="BL12" s="332">
        <v>0</v>
      </c>
      <c r="BM12" s="332">
        <v>0</v>
      </c>
      <c r="BN12" s="332">
        <v>0</v>
      </c>
      <c r="BO12" s="332">
        <v>0</v>
      </c>
      <c r="BP12" s="332">
        <v>0</v>
      </c>
      <c r="BQ12" s="332">
        <v>0</v>
      </c>
      <c r="BR12" s="332">
        <v>0</v>
      </c>
      <c r="BS12" s="332">
        <v>0</v>
      </c>
      <c r="BT12" s="326">
        <f t="shared" si="5"/>
        <v>385194.69</v>
      </c>
      <c r="BU12" s="332">
        <v>0</v>
      </c>
      <c r="BV12" s="332">
        <v>0</v>
      </c>
      <c r="BW12" s="332">
        <v>0</v>
      </c>
      <c r="BX12" s="332">
        <v>0</v>
      </c>
      <c r="BY12" s="332">
        <v>0</v>
      </c>
      <c r="BZ12" s="332">
        <v>0</v>
      </c>
      <c r="CA12" s="332">
        <v>0</v>
      </c>
      <c r="CB12" s="332">
        <v>0</v>
      </c>
      <c r="CC12" s="332">
        <v>0</v>
      </c>
      <c r="CD12" s="332">
        <v>0</v>
      </c>
      <c r="CE12" s="332">
        <v>0</v>
      </c>
      <c r="CF12" s="332">
        <v>0</v>
      </c>
      <c r="CG12" s="329">
        <v>0</v>
      </c>
      <c r="CH12" s="329">
        <v>0</v>
      </c>
      <c r="CI12" s="329">
        <v>0</v>
      </c>
      <c r="CJ12" s="329">
        <v>0</v>
      </c>
      <c r="CK12" s="329">
        <v>0</v>
      </c>
      <c r="CL12" s="329">
        <v>0</v>
      </c>
      <c r="CM12" s="329">
        <v>0</v>
      </c>
      <c r="CN12" s="329">
        <v>0</v>
      </c>
      <c r="CO12" s="329">
        <v>0</v>
      </c>
      <c r="CP12" s="329">
        <v>0</v>
      </c>
      <c r="CQ12" s="329">
        <v>0</v>
      </c>
      <c r="CR12" s="329">
        <f t="shared" si="7"/>
        <v>0</v>
      </c>
      <c r="CS12" s="329">
        <v>0</v>
      </c>
      <c r="CT12" s="329">
        <v>0</v>
      </c>
      <c r="CU12" s="329">
        <v>0</v>
      </c>
      <c r="CV12" s="329">
        <v>0</v>
      </c>
      <c r="CW12" s="329">
        <v>0</v>
      </c>
      <c r="CX12" s="329">
        <v>0</v>
      </c>
      <c r="CY12" s="329">
        <v>0</v>
      </c>
      <c r="CZ12" s="329">
        <v>0</v>
      </c>
      <c r="DA12" s="329">
        <v>0</v>
      </c>
      <c r="DB12" s="329">
        <v>0</v>
      </c>
      <c r="DC12" s="329">
        <v>0</v>
      </c>
      <c r="DD12" s="333">
        <f t="shared" si="8"/>
        <v>0</v>
      </c>
      <c r="DE12" s="329">
        <v>0</v>
      </c>
      <c r="DF12" s="329">
        <v>0</v>
      </c>
      <c r="DG12" s="329">
        <v>0</v>
      </c>
      <c r="DH12" s="329">
        <v>0</v>
      </c>
      <c r="DI12" s="329">
        <v>0</v>
      </c>
      <c r="DJ12" s="329">
        <v>0</v>
      </c>
      <c r="DK12" s="329">
        <v>0</v>
      </c>
      <c r="DL12" s="329">
        <v>0</v>
      </c>
      <c r="DM12" s="329">
        <v>0</v>
      </c>
      <c r="DN12" s="329">
        <v>0</v>
      </c>
      <c r="DO12" s="329">
        <v>0</v>
      </c>
      <c r="DP12" s="333">
        <f t="shared" si="9"/>
        <v>0</v>
      </c>
      <c r="DQ12" s="329">
        <v>0</v>
      </c>
      <c r="DR12" s="329">
        <v>0</v>
      </c>
      <c r="DS12" s="329">
        <v>0</v>
      </c>
      <c r="DT12" s="329">
        <v>0</v>
      </c>
      <c r="DU12" s="329">
        <v>0</v>
      </c>
      <c r="DV12" s="329">
        <v>0</v>
      </c>
      <c r="DW12" s="329">
        <v>0</v>
      </c>
      <c r="DX12" s="329">
        <v>0</v>
      </c>
      <c r="DY12" s="329">
        <v>0</v>
      </c>
      <c r="DZ12" s="329">
        <v>0</v>
      </c>
      <c r="EA12" s="329">
        <v>0</v>
      </c>
      <c r="EB12" s="333">
        <f t="shared" si="10"/>
        <v>0</v>
      </c>
      <c r="EC12" s="329">
        <v>0</v>
      </c>
      <c r="ED12" s="329">
        <v>0</v>
      </c>
      <c r="EE12" s="329">
        <v>0</v>
      </c>
      <c r="EF12" s="329">
        <v>0</v>
      </c>
      <c r="EG12" s="329">
        <v>0</v>
      </c>
      <c r="EH12" s="329">
        <v>0</v>
      </c>
      <c r="EI12" s="329">
        <v>0</v>
      </c>
      <c r="EJ12" s="329">
        <v>0</v>
      </c>
      <c r="EK12" s="329">
        <v>0</v>
      </c>
      <c r="EL12" s="329">
        <v>0</v>
      </c>
      <c r="EM12" s="329">
        <v>0</v>
      </c>
      <c r="EN12" s="330">
        <f t="shared" si="11"/>
        <v>0</v>
      </c>
      <c r="EO12" s="331">
        <v>21.51</v>
      </c>
    </row>
    <row r="13" spans="1:145" ht="84" x14ac:dyDescent="0.25">
      <c r="A13" s="193"/>
      <c r="B13" s="175" t="s">
        <v>1170</v>
      </c>
      <c r="C13" s="176" t="s">
        <v>118</v>
      </c>
      <c r="D13" s="176"/>
      <c r="E13" s="176" t="s">
        <v>1329</v>
      </c>
      <c r="F13" s="177" t="s">
        <v>1032</v>
      </c>
      <c r="G13" s="269" t="s">
        <v>1407</v>
      </c>
      <c r="H13" s="270" t="s">
        <v>1459</v>
      </c>
      <c r="I13" s="273" t="s">
        <v>1524</v>
      </c>
      <c r="J13" s="296" t="s">
        <v>923</v>
      </c>
      <c r="K13" s="185"/>
      <c r="L13" s="176" t="s">
        <v>1005</v>
      </c>
      <c r="M13" s="325">
        <f>SUM(X13,AJ13,AV13,BH13,BT13,CF13)</f>
        <v>5549375.8500000006</v>
      </c>
      <c r="N13" s="326">
        <v>0</v>
      </c>
      <c r="O13" s="326">
        <v>0</v>
      </c>
      <c r="P13" s="326">
        <v>0</v>
      </c>
      <c r="Q13" s="326">
        <v>0</v>
      </c>
      <c r="R13" s="326">
        <v>0</v>
      </c>
      <c r="S13" s="326">
        <v>0</v>
      </c>
      <c r="T13" s="326">
        <v>0</v>
      </c>
      <c r="U13" s="326">
        <v>0</v>
      </c>
      <c r="V13" s="326">
        <v>0</v>
      </c>
      <c r="W13" s="326">
        <v>261845.51</v>
      </c>
      <c r="X13" s="325">
        <f t="shared" si="1"/>
        <v>261845.51</v>
      </c>
      <c r="Y13" s="326">
        <v>0</v>
      </c>
      <c r="Z13" s="326">
        <v>0</v>
      </c>
      <c r="AA13" s="326">
        <v>0</v>
      </c>
      <c r="AB13" s="326">
        <v>0</v>
      </c>
      <c r="AC13" s="326">
        <v>0</v>
      </c>
      <c r="AD13" s="326">
        <v>0</v>
      </c>
      <c r="AE13" s="326">
        <v>0</v>
      </c>
      <c r="AF13" s="326">
        <v>0</v>
      </c>
      <c r="AG13" s="332">
        <v>0</v>
      </c>
      <c r="AH13" s="325">
        <v>0</v>
      </c>
      <c r="AI13" s="326">
        <v>56375.85</v>
      </c>
      <c r="AJ13" s="325">
        <f t="shared" si="2"/>
        <v>56375.85</v>
      </c>
      <c r="AK13" s="325">
        <v>5231154.49</v>
      </c>
      <c r="AL13" s="325">
        <v>0</v>
      </c>
      <c r="AM13" s="325">
        <v>0</v>
      </c>
      <c r="AN13" s="325">
        <v>0</v>
      </c>
      <c r="AO13" s="325">
        <v>0</v>
      </c>
      <c r="AP13" s="325">
        <v>0</v>
      </c>
      <c r="AQ13" s="325">
        <v>0</v>
      </c>
      <c r="AR13" s="325">
        <v>0</v>
      </c>
      <c r="AS13" s="325">
        <v>0</v>
      </c>
      <c r="AT13" s="325">
        <v>0</v>
      </c>
      <c r="AU13" s="325">
        <v>0</v>
      </c>
      <c r="AV13" s="325">
        <f t="shared" si="3"/>
        <v>5231154.49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>
        <v>0</v>
      </c>
      <c r="BC13" s="325">
        <v>0</v>
      </c>
      <c r="BD13" s="325">
        <v>0</v>
      </c>
      <c r="BE13" s="325">
        <v>0</v>
      </c>
      <c r="BF13" s="325">
        <v>0</v>
      </c>
      <c r="BG13" s="325">
        <v>0</v>
      </c>
      <c r="BH13" s="325">
        <f t="shared" si="4"/>
        <v>0</v>
      </c>
      <c r="BI13" s="325">
        <v>0</v>
      </c>
      <c r="BJ13" s="325">
        <v>0</v>
      </c>
      <c r="BK13" s="325">
        <v>0</v>
      </c>
      <c r="BL13" s="325">
        <v>0</v>
      </c>
      <c r="BM13" s="325">
        <v>0</v>
      </c>
      <c r="BN13" s="325">
        <v>0</v>
      </c>
      <c r="BO13" s="325">
        <v>0</v>
      </c>
      <c r="BP13" s="325">
        <v>0</v>
      </c>
      <c r="BQ13" s="325">
        <v>0</v>
      </c>
      <c r="BR13" s="325">
        <v>0</v>
      </c>
      <c r="BS13" s="325">
        <v>0</v>
      </c>
      <c r="BT13" s="325">
        <f>SUM(BI13:BS13)</f>
        <v>0</v>
      </c>
      <c r="BU13" s="325">
        <v>0</v>
      </c>
      <c r="BV13" s="325">
        <v>0</v>
      </c>
      <c r="BW13" s="325">
        <v>0</v>
      </c>
      <c r="BX13" s="325">
        <v>0</v>
      </c>
      <c r="BY13" s="325">
        <v>0</v>
      </c>
      <c r="BZ13" s="325">
        <v>0</v>
      </c>
      <c r="CA13" s="325">
        <v>0</v>
      </c>
      <c r="CB13" s="325">
        <v>0</v>
      </c>
      <c r="CC13" s="325">
        <v>0</v>
      </c>
      <c r="CD13" s="325">
        <v>0</v>
      </c>
      <c r="CE13" s="325">
        <v>0</v>
      </c>
      <c r="CF13" s="325">
        <f>SUM(BU13:CE13)</f>
        <v>0</v>
      </c>
      <c r="CG13" s="329">
        <v>0</v>
      </c>
      <c r="CH13" s="329">
        <v>0</v>
      </c>
      <c r="CI13" s="329">
        <v>0</v>
      </c>
      <c r="CJ13" s="329">
        <v>0</v>
      </c>
      <c r="CK13" s="329">
        <v>0</v>
      </c>
      <c r="CL13" s="329">
        <v>0</v>
      </c>
      <c r="CM13" s="329">
        <v>0</v>
      </c>
      <c r="CN13" s="329">
        <v>0</v>
      </c>
      <c r="CO13" s="329">
        <v>0</v>
      </c>
      <c r="CP13" s="329">
        <v>0</v>
      </c>
      <c r="CQ13" s="329">
        <v>0</v>
      </c>
      <c r="CR13" s="329">
        <f t="shared" si="7"/>
        <v>0</v>
      </c>
      <c r="CS13" s="329">
        <v>0</v>
      </c>
      <c r="CT13" s="329">
        <v>0</v>
      </c>
      <c r="CU13" s="329">
        <v>0</v>
      </c>
      <c r="CV13" s="329">
        <v>0</v>
      </c>
      <c r="CW13" s="329">
        <v>0</v>
      </c>
      <c r="CX13" s="329">
        <v>0</v>
      </c>
      <c r="CY13" s="329">
        <v>0</v>
      </c>
      <c r="CZ13" s="329">
        <v>0</v>
      </c>
      <c r="DA13" s="329">
        <v>0</v>
      </c>
      <c r="DB13" s="329">
        <v>0</v>
      </c>
      <c r="DC13" s="329">
        <v>0</v>
      </c>
      <c r="DD13" s="333">
        <f t="shared" si="8"/>
        <v>0</v>
      </c>
      <c r="DE13" s="329">
        <v>0</v>
      </c>
      <c r="DF13" s="329">
        <v>0</v>
      </c>
      <c r="DG13" s="329">
        <v>0</v>
      </c>
      <c r="DH13" s="329">
        <v>0</v>
      </c>
      <c r="DI13" s="329">
        <v>0</v>
      </c>
      <c r="DJ13" s="329">
        <v>0</v>
      </c>
      <c r="DK13" s="329">
        <v>0</v>
      </c>
      <c r="DL13" s="329">
        <v>0</v>
      </c>
      <c r="DM13" s="329">
        <v>0</v>
      </c>
      <c r="DN13" s="329">
        <v>0</v>
      </c>
      <c r="DO13" s="329">
        <v>0</v>
      </c>
      <c r="DP13" s="333">
        <f t="shared" si="9"/>
        <v>0</v>
      </c>
      <c r="DQ13" s="329">
        <v>0</v>
      </c>
      <c r="DR13" s="329">
        <v>0</v>
      </c>
      <c r="DS13" s="329">
        <v>0</v>
      </c>
      <c r="DT13" s="329">
        <v>0</v>
      </c>
      <c r="DU13" s="329">
        <v>0</v>
      </c>
      <c r="DV13" s="329">
        <v>0</v>
      </c>
      <c r="DW13" s="329">
        <v>0</v>
      </c>
      <c r="DX13" s="329">
        <v>0</v>
      </c>
      <c r="DY13" s="329">
        <v>0</v>
      </c>
      <c r="DZ13" s="329">
        <v>0</v>
      </c>
      <c r="EA13" s="329">
        <v>0</v>
      </c>
      <c r="EB13" s="333">
        <f t="shared" si="10"/>
        <v>0</v>
      </c>
      <c r="EC13" s="329">
        <v>0</v>
      </c>
      <c r="ED13" s="329">
        <v>0</v>
      </c>
      <c r="EE13" s="329">
        <v>0</v>
      </c>
      <c r="EF13" s="329">
        <v>0</v>
      </c>
      <c r="EG13" s="329">
        <v>0</v>
      </c>
      <c r="EH13" s="329">
        <v>0</v>
      </c>
      <c r="EI13" s="329">
        <v>0</v>
      </c>
      <c r="EJ13" s="329">
        <v>0</v>
      </c>
      <c r="EK13" s="329">
        <v>0</v>
      </c>
      <c r="EL13" s="329">
        <v>0</v>
      </c>
      <c r="EM13" s="329">
        <v>0</v>
      </c>
      <c r="EN13" s="330">
        <f t="shared" si="11"/>
        <v>0</v>
      </c>
      <c r="EO13" s="331">
        <v>2.66</v>
      </c>
    </row>
    <row r="14" spans="1:145" ht="120.75" thickBot="1" x14ac:dyDescent="0.3">
      <c r="A14" s="302"/>
      <c r="B14" s="175" t="s">
        <v>1233</v>
      </c>
      <c r="C14" s="61" t="s">
        <v>42</v>
      </c>
      <c r="D14" s="176"/>
      <c r="E14" s="176" t="s">
        <v>1330</v>
      </c>
      <c r="F14" s="177" t="s">
        <v>1310</v>
      </c>
      <c r="G14" s="274" t="s">
        <v>1408</v>
      </c>
      <c r="H14" s="275" t="s">
        <v>1566</v>
      </c>
      <c r="I14" s="276" t="s">
        <v>1498</v>
      </c>
      <c r="J14" s="296" t="s">
        <v>923</v>
      </c>
      <c r="K14" s="334"/>
      <c r="L14" s="176" t="s">
        <v>1154</v>
      </c>
      <c r="M14" s="325">
        <f>SUM(X14,AJ14,AV14,BH14,BT14,CF14)</f>
        <v>32451365.350000001</v>
      </c>
      <c r="N14" s="326">
        <v>16699961.34</v>
      </c>
      <c r="O14" s="326">
        <v>0</v>
      </c>
      <c r="P14" s="326">
        <v>0</v>
      </c>
      <c r="Q14" s="326">
        <v>0</v>
      </c>
      <c r="R14" s="326">
        <v>0</v>
      </c>
      <c r="S14" s="326">
        <v>0</v>
      </c>
      <c r="T14" s="326">
        <v>0</v>
      </c>
      <c r="U14" s="326">
        <v>0</v>
      </c>
      <c r="V14" s="326">
        <v>0</v>
      </c>
      <c r="W14" s="326">
        <f>11538889.59+32056.56</f>
        <v>11570946.15</v>
      </c>
      <c r="X14" s="325">
        <f t="shared" si="1"/>
        <v>28270907.490000002</v>
      </c>
      <c r="Y14" s="326">
        <v>3023625.89</v>
      </c>
      <c r="Z14" s="326">
        <v>0</v>
      </c>
      <c r="AA14" s="326">
        <v>0</v>
      </c>
      <c r="AB14" s="326">
        <v>0</v>
      </c>
      <c r="AC14" s="326">
        <v>0</v>
      </c>
      <c r="AD14" s="326">
        <v>0</v>
      </c>
      <c r="AE14" s="326">
        <v>0</v>
      </c>
      <c r="AF14" s="326">
        <v>0</v>
      </c>
      <c r="AG14" s="325">
        <v>0</v>
      </c>
      <c r="AH14" s="325">
        <v>0</v>
      </c>
      <c r="AI14" s="326">
        <f>-642791.07+17933.78-1013310.74</f>
        <v>-1638168.0299999998</v>
      </c>
      <c r="AJ14" s="325">
        <f t="shared" si="2"/>
        <v>1385457.8600000003</v>
      </c>
      <c r="AK14" s="325">
        <v>2795000</v>
      </c>
      <c r="AL14" s="325">
        <v>0</v>
      </c>
      <c r="AM14" s="325">
        <v>0</v>
      </c>
      <c r="AN14" s="325">
        <v>0</v>
      </c>
      <c r="AO14" s="325">
        <v>0</v>
      </c>
      <c r="AP14" s="325">
        <v>0</v>
      </c>
      <c r="AQ14" s="325">
        <v>0</v>
      </c>
      <c r="AR14" s="325">
        <v>0</v>
      </c>
      <c r="AS14" s="325">
        <v>0</v>
      </c>
      <c r="AT14" s="325">
        <v>0</v>
      </c>
      <c r="AU14" s="325">
        <v>0</v>
      </c>
      <c r="AV14" s="325">
        <f>SUM(AK14:AU14)</f>
        <v>2795000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>
        <v>0</v>
      </c>
      <c r="BC14" s="325">
        <v>0</v>
      </c>
      <c r="BD14" s="325">
        <v>0</v>
      </c>
      <c r="BE14" s="325">
        <v>0</v>
      </c>
      <c r="BF14" s="325">
        <v>0</v>
      </c>
      <c r="BG14" s="325">
        <v>0</v>
      </c>
      <c r="BH14" s="325">
        <f>SUM(AW14:BG14)</f>
        <v>0</v>
      </c>
      <c r="BI14" s="325">
        <v>0</v>
      </c>
      <c r="BJ14" s="325">
        <v>0</v>
      </c>
      <c r="BK14" s="325">
        <v>0</v>
      </c>
      <c r="BL14" s="325">
        <v>0</v>
      </c>
      <c r="BM14" s="325">
        <v>0</v>
      </c>
      <c r="BN14" s="325">
        <v>0</v>
      </c>
      <c r="BO14" s="325">
        <v>0</v>
      </c>
      <c r="BP14" s="325">
        <v>0</v>
      </c>
      <c r="BQ14" s="325">
        <v>0</v>
      </c>
      <c r="BR14" s="325">
        <v>0</v>
      </c>
      <c r="BS14" s="325">
        <v>0</v>
      </c>
      <c r="BT14" s="325">
        <f>SUM(BI14:BS14)</f>
        <v>0</v>
      </c>
      <c r="BU14" s="325">
        <v>0</v>
      </c>
      <c r="BV14" s="325">
        <v>0</v>
      </c>
      <c r="BW14" s="325">
        <v>0</v>
      </c>
      <c r="BX14" s="325">
        <v>0</v>
      </c>
      <c r="BY14" s="325">
        <v>0</v>
      </c>
      <c r="BZ14" s="325">
        <v>0</v>
      </c>
      <c r="CA14" s="325">
        <v>0</v>
      </c>
      <c r="CB14" s="325">
        <v>0</v>
      </c>
      <c r="CC14" s="325">
        <v>0</v>
      </c>
      <c r="CD14" s="325">
        <v>0</v>
      </c>
      <c r="CE14" s="325">
        <v>0</v>
      </c>
      <c r="CF14" s="325">
        <f>SUM(BU14:CE14)</f>
        <v>0</v>
      </c>
      <c r="CG14" s="329">
        <v>0</v>
      </c>
      <c r="CH14" s="329">
        <v>0</v>
      </c>
      <c r="CI14" s="329">
        <v>0</v>
      </c>
      <c r="CJ14" s="329">
        <v>0</v>
      </c>
      <c r="CK14" s="329">
        <v>0</v>
      </c>
      <c r="CL14" s="329">
        <v>0</v>
      </c>
      <c r="CM14" s="329">
        <v>0</v>
      </c>
      <c r="CN14" s="329">
        <v>0</v>
      </c>
      <c r="CO14" s="329">
        <v>0</v>
      </c>
      <c r="CP14" s="329">
        <v>0</v>
      </c>
      <c r="CQ14" s="329">
        <v>0</v>
      </c>
      <c r="CR14" s="329">
        <f>SUM(CG14:CQ14)</f>
        <v>0</v>
      </c>
      <c r="CS14" s="329">
        <v>0</v>
      </c>
      <c r="CT14" s="329">
        <v>0</v>
      </c>
      <c r="CU14" s="329">
        <v>0</v>
      </c>
      <c r="CV14" s="329">
        <v>0</v>
      </c>
      <c r="CW14" s="329">
        <v>0</v>
      </c>
      <c r="CX14" s="329">
        <v>0</v>
      </c>
      <c r="CY14" s="329">
        <v>0</v>
      </c>
      <c r="CZ14" s="329">
        <v>0</v>
      </c>
      <c r="DA14" s="329">
        <v>0</v>
      </c>
      <c r="DB14" s="329">
        <v>0</v>
      </c>
      <c r="DC14" s="329">
        <v>0</v>
      </c>
      <c r="DD14" s="333">
        <f>SUM(CS14:DC14)</f>
        <v>0</v>
      </c>
      <c r="DE14" s="329">
        <v>0</v>
      </c>
      <c r="DF14" s="329">
        <v>0</v>
      </c>
      <c r="DG14" s="329">
        <v>0</v>
      </c>
      <c r="DH14" s="329">
        <v>0</v>
      </c>
      <c r="DI14" s="329">
        <v>0</v>
      </c>
      <c r="DJ14" s="329">
        <v>0</v>
      </c>
      <c r="DK14" s="329">
        <v>0</v>
      </c>
      <c r="DL14" s="329">
        <v>0</v>
      </c>
      <c r="DM14" s="329">
        <v>0</v>
      </c>
      <c r="DN14" s="329">
        <v>0</v>
      </c>
      <c r="DO14" s="329">
        <v>0</v>
      </c>
      <c r="DP14" s="333">
        <f>SUM(DE14:DO14)</f>
        <v>0</v>
      </c>
      <c r="DQ14" s="329">
        <v>0</v>
      </c>
      <c r="DR14" s="329">
        <v>0</v>
      </c>
      <c r="DS14" s="329">
        <v>0</v>
      </c>
      <c r="DT14" s="329">
        <v>0</v>
      </c>
      <c r="DU14" s="329">
        <v>0</v>
      </c>
      <c r="DV14" s="329">
        <v>0</v>
      </c>
      <c r="DW14" s="329">
        <v>0</v>
      </c>
      <c r="DX14" s="329">
        <v>0</v>
      </c>
      <c r="DY14" s="329">
        <v>0</v>
      </c>
      <c r="DZ14" s="329">
        <v>0</v>
      </c>
      <c r="EA14" s="329">
        <v>0</v>
      </c>
      <c r="EB14" s="333">
        <f>SUM(DQ14:EA14)</f>
        <v>0</v>
      </c>
      <c r="EC14" s="329">
        <v>0</v>
      </c>
      <c r="ED14" s="329">
        <v>0</v>
      </c>
      <c r="EE14" s="329">
        <v>0</v>
      </c>
      <c r="EF14" s="329">
        <v>0</v>
      </c>
      <c r="EG14" s="329">
        <v>0</v>
      </c>
      <c r="EH14" s="329">
        <v>0</v>
      </c>
      <c r="EI14" s="329">
        <v>0</v>
      </c>
      <c r="EJ14" s="329">
        <v>0</v>
      </c>
      <c r="EK14" s="329">
        <v>0</v>
      </c>
      <c r="EL14" s="329">
        <v>0</v>
      </c>
      <c r="EM14" s="329">
        <v>0</v>
      </c>
      <c r="EN14" s="330">
        <f>SUM(EC14:EM14)</f>
        <v>0</v>
      </c>
      <c r="EO14" s="331">
        <v>20.216000000000001</v>
      </c>
    </row>
    <row r="15" spans="1:145" s="11" customFormat="1" ht="15.75" thickBot="1" x14ac:dyDescent="0.3">
      <c r="A15" s="178" t="s">
        <v>1186</v>
      </c>
      <c r="B15" s="303"/>
      <c r="C15" s="303"/>
      <c r="D15" s="303"/>
      <c r="E15" s="303"/>
      <c r="F15" s="303"/>
      <c r="G15" s="304"/>
      <c r="H15" s="304"/>
      <c r="I15" s="305"/>
      <c r="J15" s="277"/>
      <c r="K15" s="277"/>
      <c r="L15" s="277"/>
      <c r="M15" s="335">
        <f>SUM(M3:M14)</f>
        <v>1389784023.2899997</v>
      </c>
      <c r="N15" s="335">
        <f t="shared" ref="N15:BY15" si="12">SUM(N3:N14)</f>
        <v>33366535.66</v>
      </c>
      <c r="O15" s="335">
        <f t="shared" si="12"/>
        <v>70596030.120000005</v>
      </c>
      <c r="P15" s="335">
        <f t="shared" si="12"/>
        <v>3640449.64</v>
      </c>
      <c r="Q15" s="335">
        <f t="shared" si="12"/>
        <v>236740443.78</v>
      </c>
      <c r="R15" s="335">
        <f t="shared" si="12"/>
        <v>42386156.820000008</v>
      </c>
      <c r="S15" s="335">
        <f t="shared" si="12"/>
        <v>0</v>
      </c>
      <c r="T15" s="335">
        <f t="shared" si="12"/>
        <v>3871950.14</v>
      </c>
      <c r="U15" s="335">
        <f t="shared" si="12"/>
        <v>912222.29999999993</v>
      </c>
      <c r="V15" s="335">
        <f t="shared" si="12"/>
        <v>0</v>
      </c>
      <c r="W15" s="335">
        <f t="shared" si="12"/>
        <v>25145097.48</v>
      </c>
      <c r="X15" s="335">
        <f t="shared" si="12"/>
        <v>416658885.93999994</v>
      </c>
      <c r="Y15" s="335">
        <f t="shared" si="12"/>
        <v>6591548.96</v>
      </c>
      <c r="Z15" s="335">
        <f t="shared" si="12"/>
        <v>15159946.459999999</v>
      </c>
      <c r="AA15" s="335">
        <f t="shared" si="12"/>
        <v>2046093.33</v>
      </c>
      <c r="AB15" s="335">
        <f t="shared" si="12"/>
        <v>61098442.569999993</v>
      </c>
      <c r="AC15" s="335">
        <f t="shared" si="12"/>
        <v>10795338.08</v>
      </c>
      <c r="AD15" s="335">
        <f t="shared" si="12"/>
        <v>0</v>
      </c>
      <c r="AE15" s="335">
        <f t="shared" si="12"/>
        <v>47592387.939999998</v>
      </c>
      <c r="AF15" s="335">
        <f t="shared" si="12"/>
        <v>12714574.51</v>
      </c>
      <c r="AG15" s="335">
        <f t="shared" si="12"/>
        <v>0</v>
      </c>
      <c r="AH15" s="335">
        <f t="shared" si="12"/>
        <v>0</v>
      </c>
      <c r="AI15" s="335">
        <f t="shared" si="12"/>
        <v>12438936.500000002</v>
      </c>
      <c r="AJ15" s="335">
        <f t="shared" si="12"/>
        <v>168437268.35000002</v>
      </c>
      <c r="AK15" s="335">
        <f t="shared" si="12"/>
        <v>8026154.4900000002</v>
      </c>
      <c r="AL15" s="335">
        <f t="shared" si="12"/>
        <v>51068554.790000007</v>
      </c>
      <c r="AM15" s="335">
        <f t="shared" si="12"/>
        <v>53437584</v>
      </c>
      <c r="AN15" s="335">
        <f t="shared" si="12"/>
        <v>85859277.893999994</v>
      </c>
      <c r="AO15" s="335">
        <f t="shared" si="12"/>
        <v>15151637.255999999</v>
      </c>
      <c r="AP15" s="335">
        <f t="shared" si="12"/>
        <v>0</v>
      </c>
      <c r="AQ15" s="335">
        <f t="shared" si="12"/>
        <v>106698722.05</v>
      </c>
      <c r="AR15" s="335">
        <f t="shared" si="12"/>
        <v>32423970.680000003</v>
      </c>
      <c r="AS15" s="335">
        <f t="shared" si="12"/>
        <v>0</v>
      </c>
      <c r="AT15" s="335">
        <f t="shared" si="12"/>
        <v>13805355.51</v>
      </c>
      <c r="AU15" s="335">
        <f t="shared" si="12"/>
        <v>0</v>
      </c>
      <c r="AV15" s="335">
        <f t="shared" si="12"/>
        <v>366471256.67000002</v>
      </c>
      <c r="AW15" s="335">
        <f t="shared" si="12"/>
        <v>0</v>
      </c>
      <c r="AX15" s="335">
        <f t="shared" si="12"/>
        <v>14812038.65</v>
      </c>
      <c r="AY15" s="335">
        <f t="shared" si="12"/>
        <v>0</v>
      </c>
      <c r="AZ15" s="335">
        <f t="shared" si="12"/>
        <v>103285589.63149999</v>
      </c>
      <c r="BA15" s="335">
        <f t="shared" si="12"/>
        <v>18226868.758499999</v>
      </c>
      <c r="BB15" s="335">
        <f t="shared" si="12"/>
        <v>0</v>
      </c>
      <c r="BC15" s="335">
        <f t="shared" si="12"/>
        <v>159787691.69999999</v>
      </c>
      <c r="BD15" s="335">
        <f t="shared" si="12"/>
        <v>53491011.259999998</v>
      </c>
      <c r="BE15" s="335">
        <f t="shared" si="12"/>
        <v>0</v>
      </c>
      <c r="BF15" s="335">
        <f t="shared" si="12"/>
        <v>5100000</v>
      </c>
      <c r="BG15" s="335">
        <f t="shared" si="12"/>
        <v>0</v>
      </c>
      <c r="BH15" s="335">
        <f t="shared" si="12"/>
        <v>354703199.99999994</v>
      </c>
      <c r="BI15" s="335">
        <f t="shared" si="12"/>
        <v>0</v>
      </c>
      <c r="BJ15" s="335">
        <f t="shared" si="12"/>
        <v>17124104.52</v>
      </c>
      <c r="BK15" s="335">
        <f t="shared" si="12"/>
        <v>0</v>
      </c>
      <c r="BL15" s="335">
        <f t="shared" si="12"/>
        <v>11476929.5595</v>
      </c>
      <c r="BM15" s="335">
        <f t="shared" si="12"/>
        <v>2025340.5104999999</v>
      </c>
      <c r="BN15" s="335">
        <f t="shared" si="12"/>
        <v>0</v>
      </c>
      <c r="BO15" s="335">
        <f t="shared" si="12"/>
        <v>38616501.590000004</v>
      </c>
      <c r="BP15" s="335">
        <f t="shared" si="12"/>
        <v>11408580.15</v>
      </c>
      <c r="BQ15" s="335">
        <f t="shared" si="12"/>
        <v>0</v>
      </c>
      <c r="BR15" s="335">
        <f t="shared" si="12"/>
        <v>0</v>
      </c>
      <c r="BS15" s="335">
        <f t="shared" si="12"/>
        <v>0</v>
      </c>
      <c r="BT15" s="335">
        <f t="shared" si="12"/>
        <v>80651456.329999998</v>
      </c>
      <c r="BU15" s="335">
        <f t="shared" si="12"/>
        <v>0</v>
      </c>
      <c r="BV15" s="335">
        <f t="shared" si="12"/>
        <v>0</v>
      </c>
      <c r="BW15" s="335">
        <f t="shared" si="12"/>
        <v>0</v>
      </c>
      <c r="BX15" s="335">
        <f t="shared" si="12"/>
        <v>0</v>
      </c>
      <c r="BY15" s="335">
        <f t="shared" si="12"/>
        <v>0</v>
      </c>
      <c r="BZ15" s="335">
        <f t="shared" ref="BZ15:EK15" si="13">SUM(BZ3:BZ14)</f>
        <v>0</v>
      </c>
      <c r="CA15" s="335">
        <f t="shared" si="13"/>
        <v>0</v>
      </c>
      <c r="CB15" s="335">
        <f t="shared" si="13"/>
        <v>2432662.6</v>
      </c>
      <c r="CC15" s="335">
        <f t="shared" si="13"/>
        <v>429293.4</v>
      </c>
      <c r="CD15" s="335">
        <f t="shared" si="13"/>
        <v>0</v>
      </c>
      <c r="CE15" s="335">
        <f t="shared" si="13"/>
        <v>0</v>
      </c>
      <c r="CF15" s="335">
        <f t="shared" si="13"/>
        <v>2861956</v>
      </c>
      <c r="CG15" s="335">
        <f t="shared" si="13"/>
        <v>0</v>
      </c>
      <c r="CH15" s="335">
        <f t="shared" si="13"/>
        <v>0</v>
      </c>
      <c r="CI15" s="335">
        <f t="shared" si="13"/>
        <v>0</v>
      </c>
      <c r="CJ15" s="335">
        <f t="shared" si="13"/>
        <v>0</v>
      </c>
      <c r="CK15" s="335">
        <f t="shared" si="13"/>
        <v>0</v>
      </c>
      <c r="CL15" s="335">
        <f t="shared" si="13"/>
        <v>0</v>
      </c>
      <c r="CM15" s="335">
        <f t="shared" si="13"/>
        <v>0</v>
      </c>
      <c r="CN15" s="335">
        <f t="shared" si="13"/>
        <v>0</v>
      </c>
      <c r="CO15" s="335">
        <f t="shared" si="13"/>
        <v>0</v>
      </c>
      <c r="CP15" s="335">
        <f t="shared" si="13"/>
        <v>0</v>
      </c>
      <c r="CQ15" s="335">
        <f t="shared" si="13"/>
        <v>0</v>
      </c>
      <c r="CR15" s="335">
        <f t="shared" si="13"/>
        <v>0</v>
      </c>
      <c r="CS15" s="335">
        <f t="shared" si="13"/>
        <v>0</v>
      </c>
      <c r="CT15" s="335">
        <f t="shared" si="13"/>
        <v>0</v>
      </c>
      <c r="CU15" s="335">
        <f t="shared" si="13"/>
        <v>0</v>
      </c>
      <c r="CV15" s="335">
        <f t="shared" si="13"/>
        <v>0</v>
      </c>
      <c r="CW15" s="335">
        <f t="shared" si="13"/>
        <v>0</v>
      </c>
      <c r="CX15" s="335">
        <f t="shared" si="13"/>
        <v>0</v>
      </c>
      <c r="CY15" s="335">
        <f t="shared" si="13"/>
        <v>0</v>
      </c>
      <c r="CZ15" s="335">
        <f t="shared" si="13"/>
        <v>0</v>
      </c>
      <c r="DA15" s="335">
        <f t="shared" si="13"/>
        <v>0</v>
      </c>
      <c r="DB15" s="335">
        <f t="shared" si="13"/>
        <v>0</v>
      </c>
      <c r="DC15" s="335">
        <f t="shared" si="13"/>
        <v>0</v>
      </c>
      <c r="DD15" s="335">
        <f t="shared" si="13"/>
        <v>0</v>
      </c>
      <c r="DE15" s="335">
        <f t="shared" si="13"/>
        <v>0</v>
      </c>
      <c r="DF15" s="335">
        <f t="shared" si="13"/>
        <v>0</v>
      </c>
      <c r="DG15" s="335">
        <f t="shared" si="13"/>
        <v>0</v>
      </c>
      <c r="DH15" s="335">
        <f t="shared" si="13"/>
        <v>0</v>
      </c>
      <c r="DI15" s="335">
        <f t="shared" si="13"/>
        <v>0</v>
      </c>
      <c r="DJ15" s="335">
        <f t="shared" si="13"/>
        <v>0</v>
      </c>
      <c r="DK15" s="335">
        <f t="shared" si="13"/>
        <v>0</v>
      </c>
      <c r="DL15" s="335">
        <f t="shared" si="13"/>
        <v>0</v>
      </c>
      <c r="DM15" s="335">
        <f t="shared" si="13"/>
        <v>0</v>
      </c>
      <c r="DN15" s="335">
        <f t="shared" si="13"/>
        <v>0</v>
      </c>
      <c r="DO15" s="335">
        <f t="shared" si="13"/>
        <v>0</v>
      </c>
      <c r="DP15" s="335">
        <f t="shared" si="13"/>
        <v>0</v>
      </c>
      <c r="DQ15" s="335">
        <f t="shared" si="13"/>
        <v>0</v>
      </c>
      <c r="DR15" s="335">
        <f t="shared" si="13"/>
        <v>0</v>
      </c>
      <c r="DS15" s="335">
        <f t="shared" si="13"/>
        <v>0</v>
      </c>
      <c r="DT15" s="335">
        <f t="shared" si="13"/>
        <v>0</v>
      </c>
      <c r="DU15" s="335">
        <f t="shared" si="13"/>
        <v>0</v>
      </c>
      <c r="DV15" s="335">
        <f t="shared" si="13"/>
        <v>0</v>
      </c>
      <c r="DW15" s="335">
        <f t="shared" si="13"/>
        <v>0</v>
      </c>
      <c r="DX15" s="335">
        <f t="shared" si="13"/>
        <v>0</v>
      </c>
      <c r="DY15" s="335">
        <f t="shared" si="13"/>
        <v>0</v>
      </c>
      <c r="DZ15" s="335">
        <f t="shared" si="13"/>
        <v>0</v>
      </c>
      <c r="EA15" s="335">
        <f t="shared" si="13"/>
        <v>0</v>
      </c>
      <c r="EB15" s="335">
        <f t="shared" si="13"/>
        <v>0</v>
      </c>
      <c r="EC15" s="335">
        <f t="shared" si="13"/>
        <v>0</v>
      </c>
      <c r="ED15" s="335">
        <f t="shared" si="13"/>
        <v>0</v>
      </c>
      <c r="EE15" s="335">
        <f t="shared" si="13"/>
        <v>0</v>
      </c>
      <c r="EF15" s="335">
        <f t="shared" si="13"/>
        <v>0</v>
      </c>
      <c r="EG15" s="335">
        <f t="shared" si="13"/>
        <v>0</v>
      </c>
      <c r="EH15" s="335">
        <f t="shared" si="13"/>
        <v>0</v>
      </c>
      <c r="EI15" s="335">
        <f t="shared" si="13"/>
        <v>0</v>
      </c>
      <c r="EJ15" s="335">
        <f t="shared" si="13"/>
        <v>0</v>
      </c>
      <c r="EK15" s="335">
        <f t="shared" si="13"/>
        <v>0</v>
      </c>
      <c r="EL15" s="335">
        <f>SUM(EL3:EL14)</f>
        <v>0</v>
      </c>
      <c r="EM15" s="335">
        <f>SUM(EM3:EM14)</f>
        <v>0</v>
      </c>
      <c r="EN15" s="336">
        <f>SUM(EN3:EN14)</f>
        <v>0</v>
      </c>
      <c r="EO15" s="372"/>
    </row>
    <row r="16" spans="1:145" s="11" customFormat="1" ht="15.75" thickBot="1" x14ac:dyDescent="0.3">
      <c r="A16" s="178" t="s">
        <v>1187</v>
      </c>
      <c r="B16" s="303"/>
      <c r="C16" s="303"/>
      <c r="D16" s="303"/>
      <c r="E16" s="303"/>
      <c r="F16" s="303"/>
      <c r="G16" s="306"/>
      <c r="H16" s="306"/>
      <c r="I16" s="307"/>
      <c r="J16" s="277"/>
      <c r="K16" s="277"/>
      <c r="L16" s="277"/>
      <c r="M16" s="335">
        <f>'Malé projekty vo výstavbe'!J16</f>
        <v>11895993.359999999</v>
      </c>
      <c r="N16" s="335">
        <f>'Malé projekty vo výstavbe'!K16</f>
        <v>994970.99</v>
      </c>
      <c r="O16" s="335">
        <f>'Malé projekty vo výstavbe'!L16</f>
        <v>0</v>
      </c>
      <c r="P16" s="335">
        <f>'Malé projekty vo výstavbe'!M16</f>
        <v>0</v>
      </c>
      <c r="Q16" s="335">
        <f>'Malé projekty vo výstavbe'!N16</f>
        <v>0</v>
      </c>
      <c r="R16" s="335">
        <f>'Malé projekty vo výstavbe'!O16</f>
        <v>0</v>
      </c>
      <c r="S16" s="335">
        <f>'Malé projekty vo výstavbe'!P16</f>
        <v>0</v>
      </c>
      <c r="T16" s="335">
        <f>'Malé projekty vo výstavbe'!Q16</f>
        <v>0</v>
      </c>
      <c r="U16" s="335">
        <f>'Malé projekty vo výstavbe'!R16</f>
        <v>0</v>
      </c>
      <c r="V16" s="335">
        <f>'Malé projekty vo výstavbe'!S16</f>
        <v>0</v>
      </c>
      <c r="W16" s="335">
        <f>'Malé projekty vo výstavbe'!T16</f>
        <v>1292107.5799999998</v>
      </c>
      <c r="X16" s="335">
        <f>'Malé projekty vo výstavbe'!U16</f>
        <v>2287078.5700000003</v>
      </c>
      <c r="Y16" s="335">
        <f>'Malé projekty vo výstavbe'!V16</f>
        <v>6569164.6999999993</v>
      </c>
      <c r="Z16" s="335">
        <f>'Malé projekty vo výstavbe'!W16</f>
        <v>0</v>
      </c>
      <c r="AA16" s="335">
        <f>'Malé projekty vo výstavbe'!X16</f>
        <v>0</v>
      </c>
      <c r="AB16" s="335">
        <f>'Malé projekty vo výstavbe'!Y16</f>
        <v>0</v>
      </c>
      <c r="AC16" s="335">
        <f>'Malé projekty vo výstavbe'!Z16</f>
        <v>0</v>
      </c>
      <c r="AD16" s="335">
        <f>'Malé projekty vo výstavbe'!AA16</f>
        <v>0</v>
      </c>
      <c r="AE16" s="335">
        <f>'Malé projekty vo výstavbe'!AB16</f>
        <v>0</v>
      </c>
      <c r="AF16" s="335">
        <f>'Malé projekty vo výstavbe'!AC16</f>
        <v>0</v>
      </c>
      <c r="AG16" s="335">
        <f>'Malé projekty vo výstavbe'!AD16</f>
        <v>0</v>
      </c>
      <c r="AH16" s="335">
        <f>'Malé projekty vo výstavbe'!AE16</f>
        <v>0</v>
      </c>
      <c r="AI16" s="335">
        <f>'Malé projekty vo výstavbe'!AF16</f>
        <v>603282.01</v>
      </c>
      <c r="AJ16" s="335">
        <f>'Malé projekty vo výstavbe'!AG16</f>
        <v>7172446.71</v>
      </c>
      <c r="AK16" s="335">
        <f>'Malé projekty vo výstavbe'!AH16</f>
        <v>180917.34</v>
      </c>
      <c r="AL16" s="335">
        <f>'Malé projekty vo výstavbe'!AI16</f>
        <v>0</v>
      </c>
      <c r="AM16" s="335">
        <f>'Malé projekty vo výstavbe'!AJ16</f>
        <v>0</v>
      </c>
      <c r="AN16" s="335">
        <f>'Malé projekty vo výstavbe'!AK16</f>
        <v>0</v>
      </c>
      <c r="AO16" s="335">
        <f>'Malé projekty vo výstavbe'!AL16</f>
        <v>0</v>
      </c>
      <c r="AP16" s="335">
        <f>'Malé projekty vo výstavbe'!AM16</f>
        <v>0</v>
      </c>
      <c r="AQ16" s="335">
        <f>'Malé projekty vo výstavbe'!AN16</f>
        <v>0</v>
      </c>
      <c r="AR16" s="335">
        <f>'Malé projekty vo výstavbe'!AO16</f>
        <v>0</v>
      </c>
      <c r="AS16" s="335">
        <f>'Malé projekty vo výstavbe'!AP16</f>
        <v>0</v>
      </c>
      <c r="AT16" s="335">
        <f>'Malé projekty vo výstavbe'!AQ16</f>
        <v>0</v>
      </c>
      <c r="AU16" s="335">
        <f>'Malé projekty vo výstavbe'!AR16</f>
        <v>2255550.7400000002</v>
      </c>
      <c r="AV16" s="335">
        <f>'Malé projekty vo výstavbe'!AS16</f>
        <v>2436468.08</v>
      </c>
      <c r="AW16" s="335">
        <f>'Malé projekty vo výstavbe'!AT16</f>
        <v>0</v>
      </c>
      <c r="AX16" s="335">
        <f>'Malé projekty vo výstavbe'!AU16</f>
        <v>0</v>
      </c>
      <c r="AY16" s="335">
        <f>'Malé projekty vo výstavbe'!AV16</f>
        <v>0</v>
      </c>
      <c r="AZ16" s="335">
        <f>'Malé projekty vo výstavbe'!AW16</f>
        <v>0</v>
      </c>
      <c r="BA16" s="335">
        <f>'Malé projekty vo výstavbe'!AX16</f>
        <v>0</v>
      </c>
      <c r="BB16" s="335">
        <f>'Malé projekty vo výstavbe'!AY16</f>
        <v>0</v>
      </c>
      <c r="BC16" s="335">
        <f>'Malé projekty vo výstavbe'!AZ16</f>
        <v>0</v>
      </c>
      <c r="BD16" s="335">
        <f>'Malé projekty vo výstavbe'!BA16</f>
        <v>0</v>
      </c>
      <c r="BE16" s="335">
        <f>'Malé projekty vo výstavbe'!BB16</f>
        <v>0</v>
      </c>
      <c r="BF16" s="335">
        <f>'Malé projekty vo výstavbe'!BC16</f>
        <v>0</v>
      </c>
      <c r="BG16" s="335">
        <f>'Malé projekty vo výstavbe'!BD16</f>
        <v>0</v>
      </c>
      <c r="BH16" s="335">
        <f>'Malé projekty vo výstavbe'!BE16</f>
        <v>0</v>
      </c>
      <c r="BI16" s="335">
        <f>'Malé projekty vo výstavbe'!BF16</f>
        <v>0</v>
      </c>
      <c r="BJ16" s="335">
        <f>'Malé projekty vo výstavbe'!BG16</f>
        <v>0</v>
      </c>
      <c r="BK16" s="335">
        <f>'Malé projekty vo výstavbe'!BH16</f>
        <v>0</v>
      </c>
      <c r="BL16" s="335">
        <f>'Malé projekty vo výstavbe'!BI16</f>
        <v>0</v>
      </c>
      <c r="BM16" s="335">
        <f>'Malé projekty vo výstavbe'!BJ16</f>
        <v>0</v>
      </c>
      <c r="BN16" s="335">
        <f>'Malé projekty vo výstavbe'!BK16</f>
        <v>0</v>
      </c>
      <c r="BO16" s="335">
        <f>'Malé projekty vo výstavbe'!BL16</f>
        <v>0</v>
      </c>
      <c r="BP16" s="335">
        <f>'Malé projekty vo výstavbe'!BM16</f>
        <v>0</v>
      </c>
      <c r="BQ16" s="335">
        <f>'Malé projekty vo výstavbe'!BN16</f>
        <v>0</v>
      </c>
      <c r="BR16" s="335">
        <f>'Malé projekty vo výstavbe'!BO16</f>
        <v>0</v>
      </c>
      <c r="BS16" s="335">
        <f>'Malé projekty vo výstavbe'!BP16</f>
        <v>0</v>
      </c>
      <c r="BT16" s="335">
        <f>'Malé projekty vo výstavbe'!BQ16</f>
        <v>0</v>
      </c>
      <c r="BU16" s="335">
        <f>'Malé projekty vo výstavbe'!BR16</f>
        <v>0</v>
      </c>
      <c r="BV16" s="335">
        <f>'Malé projekty vo výstavbe'!BS16</f>
        <v>0</v>
      </c>
      <c r="BW16" s="335">
        <f>'Malé projekty vo výstavbe'!BT16</f>
        <v>0</v>
      </c>
      <c r="BX16" s="335">
        <f>'Malé projekty vo výstavbe'!BU16</f>
        <v>0</v>
      </c>
      <c r="BY16" s="335">
        <f>'Malé projekty vo výstavbe'!BV16</f>
        <v>0</v>
      </c>
      <c r="BZ16" s="335">
        <f>'Malé projekty vo výstavbe'!BW16</f>
        <v>0</v>
      </c>
      <c r="CA16" s="335">
        <f>'Malé projekty vo výstavbe'!BX16</f>
        <v>0</v>
      </c>
      <c r="CB16" s="335">
        <f>'Malé projekty vo výstavbe'!BY16</f>
        <v>0</v>
      </c>
      <c r="CC16" s="335">
        <f>'Malé projekty vo výstavbe'!BZ16</f>
        <v>0</v>
      </c>
      <c r="CD16" s="335">
        <f>'Malé projekty vo výstavbe'!CA16</f>
        <v>0</v>
      </c>
      <c r="CE16" s="335">
        <f>'Malé projekty vo výstavbe'!CB16</f>
        <v>0</v>
      </c>
      <c r="CF16" s="335">
        <f>'Malé projekty vo výstavbe'!CC16</f>
        <v>0</v>
      </c>
      <c r="CG16" s="335">
        <f>'Malé projekty vo výstavbe'!CD16</f>
        <v>0</v>
      </c>
      <c r="CH16" s="335">
        <f>'Malé projekty vo výstavbe'!CE16</f>
        <v>0</v>
      </c>
      <c r="CI16" s="335">
        <f>'Malé projekty vo výstavbe'!CF16</f>
        <v>0</v>
      </c>
      <c r="CJ16" s="335">
        <f>'Malé projekty vo výstavbe'!CG16</f>
        <v>0</v>
      </c>
      <c r="CK16" s="335">
        <f>'Malé projekty vo výstavbe'!CH16</f>
        <v>0</v>
      </c>
      <c r="CL16" s="335">
        <f>'Malé projekty vo výstavbe'!CI16</f>
        <v>0</v>
      </c>
      <c r="CM16" s="335">
        <f>'Malé projekty vo výstavbe'!CJ16</f>
        <v>0</v>
      </c>
      <c r="CN16" s="335">
        <f>'Malé projekty vo výstavbe'!CK16</f>
        <v>0</v>
      </c>
      <c r="CO16" s="335">
        <f>'Malé projekty vo výstavbe'!CL16</f>
        <v>0</v>
      </c>
      <c r="CP16" s="335">
        <f>'Malé projekty vo výstavbe'!CM16</f>
        <v>0</v>
      </c>
      <c r="CQ16" s="335">
        <f>'Malé projekty vo výstavbe'!CN16</f>
        <v>0</v>
      </c>
      <c r="CR16" s="335">
        <f>'Malé projekty vo výstavbe'!CO16</f>
        <v>0</v>
      </c>
      <c r="CS16" s="335">
        <f>'Malé projekty vo výstavbe'!CP16</f>
        <v>0</v>
      </c>
      <c r="CT16" s="335">
        <f>'Malé projekty vo výstavbe'!CQ16</f>
        <v>0</v>
      </c>
      <c r="CU16" s="335">
        <f>'Malé projekty vo výstavbe'!CR16</f>
        <v>0</v>
      </c>
      <c r="CV16" s="335">
        <f>'Malé projekty vo výstavbe'!CS16</f>
        <v>0</v>
      </c>
      <c r="CW16" s="335">
        <f>'Malé projekty vo výstavbe'!CT16</f>
        <v>0</v>
      </c>
      <c r="CX16" s="335">
        <f>'Malé projekty vo výstavbe'!CU16</f>
        <v>0</v>
      </c>
      <c r="CY16" s="335">
        <f>'Malé projekty vo výstavbe'!CV16</f>
        <v>0</v>
      </c>
      <c r="CZ16" s="335">
        <f>'Malé projekty vo výstavbe'!CW16</f>
        <v>0</v>
      </c>
      <c r="DA16" s="335">
        <f>'Malé projekty vo výstavbe'!CX16</f>
        <v>0</v>
      </c>
      <c r="DB16" s="335">
        <f>'Malé projekty vo výstavbe'!CY16</f>
        <v>0</v>
      </c>
      <c r="DC16" s="335">
        <f>'Malé projekty vo výstavbe'!CZ16</f>
        <v>0</v>
      </c>
      <c r="DD16" s="335">
        <f>'Malé projekty vo výstavbe'!DA16</f>
        <v>0</v>
      </c>
      <c r="DE16" s="335">
        <f>'Malé projekty vo výstavbe'!DB16</f>
        <v>0</v>
      </c>
      <c r="DF16" s="335">
        <f>'Malé projekty vo výstavbe'!DC16</f>
        <v>0</v>
      </c>
      <c r="DG16" s="335">
        <f>'Malé projekty vo výstavbe'!DD16</f>
        <v>0</v>
      </c>
      <c r="DH16" s="335">
        <f>'Malé projekty vo výstavbe'!DE16</f>
        <v>0</v>
      </c>
      <c r="DI16" s="335">
        <f>'Malé projekty vo výstavbe'!DF16</f>
        <v>0</v>
      </c>
      <c r="DJ16" s="335">
        <f>'Malé projekty vo výstavbe'!DG16</f>
        <v>0</v>
      </c>
      <c r="DK16" s="335">
        <f>'Malé projekty vo výstavbe'!DH16</f>
        <v>0</v>
      </c>
      <c r="DL16" s="335">
        <f>'Malé projekty vo výstavbe'!DI16</f>
        <v>0</v>
      </c>
      <c r="DM16" s="335">
        <f>'Malé projekty vo výstavbe'!DJ16</f>
        <v>0</v>
      </c>
      <c r="DN16" s="335">
        <f>'Malé projekty vo výstavbe'!DK16</f>
        <v>0</v>
      </c>
      <c r="DO16" s="335">
        <f>'Malé projekty vo výstavbe'!DL16</f>
        <v>0</v>
      </c>
      <c r="DP16" s="335">
        <f>'Malé projekty vo výstavbe'!DM16</f>
        <v>0</v>
      </c>
      <c r="DQ16" s="335">
        <f>'Malé projekty vo výstavbe'!DN16</f>
        <v>0</v>
      </c>
      <c r="DR16" s="335">
        <f>'Malé projekty vo výstavbe'!DO16</f>
        <v>0</v>
      </c>
      <c r="DS16" s="335">
        <f>'Malé projekty vo výstavbe'!DP16</f>
        <v>0</v>
      </c>
      <c r="DT16" s="335">
        <f>'Malé projekty vo výstavbe'!DQ16</f>
        <v>0</v>
      </c>
      <c r="DU16" s="335">
        <f>'Malé projekty vo výstavbe'!DR16</f>
        <v>0</v>
      </c>
      <c r="DV16" s="335">
        <f>'Malé projekty vo výstavbe'!DS16</f>
        <v>0</v>
      </c>
      <c r="DW16" s="335">
        <f>'Malé projekty vo výstavbe'!DT16</f>
        <v>0</v>
      </c>
      <c r="DX16" s="335">
        <f>'Malé projekty vo výstavbe'!DU16</f>
        <v>0</v>
      </c>
      <c r="DY16" s="335">
        <f>'Malé projekty vo výstavbe'!DV16</f>
        <v>0</v>
      </c>
      <c r="DZ16" s="335">
        <f>'Malé projekty vo výstavbe'!DW16</f>
        <v>0</v>
      </c>
      <c r="EA16" s="335">
        <f>'Malé projekty vo výstavbe'!DX16</f>
        <v>0</v>
      </c>
      <c r="EB16" s="335">
        <f>'Malé projekty vo výstavbe'!DY16</f>
        <v>0</v>
      </c>
      <c r="EC16" s="335">
        <f>'Malé projekty vo výstavbe'!DZ16</f>
        <v>0</v>
      </c>
      <c r="ED16" s="335">
        <f>'Malé projekty vo výstavbe'!EA16</f>
        <v>0</v>
      </c>
      <c r="EE16" s="335">
        <f>'Malé projekty vo výstavbe'!EB16</f>
        <v>0</v>
      </c>
      <c r="EF16" s="335">
        <f>'Malé projekty vo výstavbe'!EC16</f>
        <v>0</v>
      </c>
      <c r="EG16" s="335">
        <f>'Malé projekty vo výstavbe'!ED16</f>
        <v>0</v>
      </c>
      <c r="EH16" s="335">
        <f>'Malé projekty vo výstavbe'!EE16</f>
        <v>0</v>
      </c>
      <c r="EI16" s="335">
        <f>'Malé projekty vo výstavbe'!EF16</f>
        <v>0</v>
      </c>
      <c r="EJ16" s="335">
        <f>'Malé projekty vo výstavbe'!EG16</f>
        <v>0</v>
      </c>
      <c r="EK16" s="335">
        <f>'Malé projekty vo výstavbe'!EH16</f>
        <v>0</v>
      </c>
      <c r="EL16" s="335">
        <f>'Malé projekty vo výstavbe'!EI16</f>
        <v>0</v>
      </c>
      <c r="EM16" s="335">
        <f>'Malé projekty vo výstavbe'!EJ16</f>
        <v>0</v>
      </c>
      <c r="EN16" s="336">
        <f>'Malé projekty vo výstavbe'!EK16</f>
        <v>0</v>
      </c>
      <c r="EO16" s="372"/>
    </row>
    <row r="17" spans="1:145" s="11" customFormat="1" ht="15.75" thickBot="1" x14ac:dyDescent="0.3">
      <c r="A17" s="180" t="s">
        <v>1129</v>
      </c>
      <c r="B17" s="308"/>
      <c r="C17" s="308"/>
      <c r="D17" s="308"/>
      <c r="E17" s="308"/>
      <c r="F17" s="308"/>
      <c r="G17" s="309"/>
      <c r="H17" s="309"/>
      <c r="I17" s="310"/>
      <c r="J17" s="281"/>
      <c r="K17" s="281"/>
      <c r="L17" s="281"/>
      <c r="M17" s="337">
        <f t="shared" ref="M17:AR17" si="14">M15+M16</f>
        <v>1401680016.6499996</v>
      </c>
      <c r="N17" s="338">
        <f t="shared" si="14"/>
        <v>34361506.649999999</v>
      </c>
      <c r="O17" s="338">
        <f t="shared" si="14"/>
        <v>70596030.120000005</v>
      </c>
      <c r="P17" s="338">
        <f t="shared" si="14"/>
        <v>3640449.64</v>
      </c>
      <c r="Q17" s="338">
        <f t="shared" si="14"/>
        <v>236740443.78</v>
      </c>
      <c r="R17" s="338">
        <f t="shared" si="14"/>
        <v>42386156.820000008</v>
      </c>
      <c r="S17" s="338">
        <f t="shared" si="14"/>
        <v>0</v>
      </c>
      <c r="T17" s="338">
        <f t="shared" si="14"/>
        <v>3871950.14</v>
      </c>
      <c r="U17" s="338">
        <f t="shared" si="14"/>
        <v>912222.29999999993</v>
      </c>
      <c r="V17" s="338">
        <f t="shared" si="14"/>
        <v>0</v>
      </c>
      <c r="W17" s="338">
        <f t="shared" si="14"/>
        <v>26437205.059999999</v>
      </c>
      <c r="X17" s="338">
        <f t="shared" si="14"/>
        <v>418945964.50999993</v>
      </c>
      <c r="Y17" s="338">
        <f t="shared" si="14"/>
        <v>13160713.66</v>
      </c>
      <c r="Z17" s="338">
        <f t="shared" si="14"/>
        <v>15159946.459999999</v>
      </c>
      <c r="AA17" s="338">
        <f t="shared" si="14"/>
        <v>2046093.33</v>
      </c>
      <c r="AB17" s="338">
        <f t="shared" si="14"/>
        <v>61098442.569999993</v>
      </c>
      <c r="AC17" s="338">
        <f t="shared" si="14"/>
        <v>10795338.08</v>
      </c>
      <c r="AD17" s="338">
        <f t="shared" si="14"/>
        <v>0</v>
      </c>
      <c r="AE17" s="338">
        <f t="shared" si="14"/>
        <v>47592387.939999998</v>
      </c>
      <c r="AF17" s="338">
        <f t="shared" si="14"/>
        <v>12714574.51</v>
      </c>
      <c r="AG17" s="338">
        <f t="shared" si="14"/>
        <v>0</v>
      </c>
      <c r="AH17" s="338">
        <f t="shared" si="14"/>
        <v>0</v>
      </c>
      <c r="AI17" s="338">
        <f t="shared" si="14"/>
        <v>13042218.510000002</v>
      </c>
      <c r="AJ17" s="338">
        <f t="shared" si="14"/>
        <v>175609715.06000003</v>
      </c>
      <c r="AK17" s="338">
        <f t="shared" si="14"/>
        <v>8207071.8300000001</v>
      </c>
      <c r="AL17" s="338">
        <f t="shared" si="14"/>
        <v>51068554.790000007</v>
      </c>
      <c r="AM17" s="338">
        <f t="shared" si="14"/>
        <v>53437584</v>
      </c>
      <c r="AN17" s="338">
        <f t="shared" si="14"/>
        <v>85859277.893999994</v>
      </c>
      <c r="AO17" s="338">
        <f t="shared" si="14"/>
        <v>15151637.255999999</v>
      </c>
      <c r="AP17" s="338">
        <f t="shared" si="14"/>
        <v>0</v>
      </c>
      <c r="AQ17" s="338">
        <f t="shared" si="14"/>
        <v>106698722.05</v>
      </c>
      <c r="AR17" s="338">
        <f t="shared" si="14"/>
        <v>32423970.680000003</v>
      </c>
      <c r="AS17" s="338">
        <f t="shared" ref="AS17:BX17" si="15">AS15+AS16</f>
        <v>0</v>
      </c>
      <c r="AT17" s="338">
        <f t="shared" si="15"/>
        <v>13805355.51</v>
      </c>
      <c r="AU17" s="338">
        <f t="shared" si="15"/>
        <v>2255550.7400000002</v>
      </c>
      <c r="AV17" s="338">
        <f t="shared" si="15"/>
        <v>368907724.75</v>
      </c>
      <c r="AW17" s="338">
        <f t="shared" si="15"/>
        <v>0</v>
      </c>
      <c r="AX17" s="338">
        <f t="shared" si="15"/>
        <v>14812038.65</v>
      </c>
      <c r="AY17" s="338">
        <f t="shared" si="15"/>
        <v>0</v>
      </c>
      <c r="AZ17" s="338">
        <f t="shared" si="15"/>
        <v>103285589.63149999</v>
      </c>
      <c r="BA17" s="338">
        <f t="shared" si="15"/>
        <v>18226868.758499999</v>
      </c>
      <c r="BB17" s="338">
        <f t="shared" si="15"/>
        <v>0</v>
      </c>
      <c r="BC17" s="338">
        <f t="shared" si="15"/>
        <v>159787691.69999999</v>
      </c>
      <c r="BD17" s="338">
        <f t="shared" si="15"/>
        <v>53491011.259999998</v>
      </c>
      <c r="BE17" s="338">
        <f t="shared" si="15"/>
        <v>0</v>
      </c>
      <c r="BF17" s="338">
        <f t="shared" si="15"/>
        <v>5100000</v>
      </c>
      <c r="BG17" s="338">
        <f t="shared" si="15"/>
        <v>0</v>
      </c>
      <c r="BH17" s="338">
        <f t="shared" si="15"/>
        <v>354703199.99999994</v>
      </c>
      <c r="BI17" s="338">
        <f t="shared" si="15"/>
        <v>0</v>
      </c>
      <c r="BJ17" s="338">
        <f t="shared" si="15"/>
        <v>17124104.52</v>
      </c>
      <c r="BK17" s="338">
        <f t="shared" si="15"/>
        <v>0</v>
      </c>
      <c r="BL17" s="338">
        <f t="shared" si="15"/>
        <v>11476929.5595</v>
      </c>
      <c r="BM17" s="338">
        <f t="shared" si="15"/>
        <v>2025340.5104999999</v>
      </c>
      <c r="BN17" s="338">
        <f t="shared" si="15"/>
        <v>0</v>
      </c>
      <c r="BO17" s="338">
        <f t="shared" si="15"/>
        <v>38616501.590000004</v>
      </c>
      <c r="BP17" s="338">
        <f t="shared" si="15"/>
        <v>11408580.15</v>
      </c>
      <c r="BQ17" s="338">
        <f t="shared" si="15"/>
        <v>0</v>
      </c>
      <c r="BR17" s="338">
        <f t="shared" si="15"/>
        <v>0</v>
      </c>
      <c r="BS17" s="338">
        <f t="shared" si="15"/>
        <v>0</v>
      </c>
      <c r="BT17" s="338">
        <f t="shared" si="15"/>
        <v>80651456.329999998</v>
      </c>
      <c r="BU17" s="338">
        <f t="shared" si="15"/>
        <v>0</v>
      </c>
      <c r="BV17" s="338">
        <f t="shared" si="15"/>
        <v>0</v>
      </c>
      <c r="BW17" s="338">
        <f t="shared" si="15"/>
        <v>0</v>
      </c>
      <c r="BX17" s="338">
        <f t="shared" si="15"/>
        <v>0</v>
      </c>
      <c r="BY17" s="338">
        <f t="shared" ref="BY17:DD17" si="16">BY15+BY16</f>
        <v>0</v>
      </c>
      <c r="BZ17" s="338">
        <f t="shared" si="16"/>
        <v>0</v>
      </c>
      <c r="CA17" s="338">
        <f t="shared" si="16"/>
        <v>0</v>
      </c>
      <c r="CB17" s="338">
        <f t="shared" si="16"/>
        <v>2432662.6</v>
      </c>
      <c r="CC17" s="338">
        <f t="shared" si="16"/>
        <v>429293.4</v>
      </c>
      <c r="CD17" s="338">
        <f t="shared" si="16"/>
        <v>0</v>
      </c>
      <c r="CE17" s="338">
        <f t="shared" si="16"/>
        <v>0</v>
      </c>
      <c r="CF17" s="338">
        <f t="shared" si="16"/>
        <v>2861956</v>
      </c>
      <c r="CG17" s="338">
        <f t="shared" si="16"/>
        <v>0</v>
      </c>
      <c r="CH17" s="338">
        <f t="shared" si="16"/>
        <v>0</v>
      </c>
      <c r="CI17" s="338">
        <f t="shared" si="16"/>
        <v>0</v>
      </c>
      <c r="CJ17" s="338">
        <f t="shared" si="16"/>
        <v>0</v>
      </c>
      <c r="CK17" s="338">
        <f t="shared" si="16"/>
        <v>0</v>
      </c>
      <c r="CL17" s="338">
        <f t="shared" si="16"/>
        <v>0</v>
      </c>
      <c r="CM17" s="338">
        <f t="shared" si="16"/>
        <v>0</v>
      </c>
      <c r="CN17" s="338">
        <f t="shared" si="16"/>
        <v>0</v>
      </c>
      <c r="CO17" s="338">
        <f t="shared" si="16"/>
        <v>0</v>
      </c>
      <c r="CP17" s="338">
        <f t="shared" si="16"/>
        <v>0</v>
      </c>
      <c r="CQ17" s="338">
        <f t="shared" si="16"/>
        <v>0</v>
      </c>
      <c r="CR17" s="338">
        <f t="shared" si="16"/>
        <v>0</v>
      </c>
      <c r="CS17" s="338">
        <f t="shared" si="16"/>
        <v>0</v>
      </c>
      <c r="CT17" s="338">
        <f t="shared" si="16"/>
        <v>0</v>
      </c>
      <c r="CU17" s="338">
        <f t="shared" si="16"/>
        <v>0</v>
      </c>
      <c r="CV17" s="338">
        <f t="shared" si="16"/>
        <v>0</v>
      </c>
      <c r="CW17" s="338">
        <f t="shared" si="16"/>
        <v>0</v>
      </c>
      <c r="CX17" s="338">
        <f t="shared" si="16"/>
        <v>0</v>
      </c>
      <c r="CY17" s="338">
        <f t="shared" si="16"/>
        <v>0</v>
      </c>
      <c r="CZ17" s="338">
        <f t="shared" si="16"/>
        <v>0</v>
      </c>
      <c r="DA17" s="338">
        <f t="shared" si="16"/>
        <v>0</v>
      </c>
      <c r="DB17" s="338">
        <f t="shared" si="16"/>
        <v>0</v>
      </c>
      <c r="DC17" s="338">
        <f t="shared" si="16"/>
        <v>0</v>
      </c>
      <c r="DD17" s="338">
        <f t="shared" si="16"/>
        <v>0</v>
      </c>
      <c r="DE17" s="338">
        <f t="shared" ref="DE17:EJ17" si="17">DE15+DE16</f>
        <v>0</v>
      </c>
      <c r="DF17" s="338">
        <f t="shared" si="17"/>
        <v>0</v>
      </c>
      <c r="DG17" s="338">
        <f t="shared" si="17"/>
        <v>0</v>
      </c>
      <c r="DH17" s="338">
        <f t="shared" si="17"/>
        <v>0</v>
      </c>
      <c r="DI17" s="338">
        <f t="shared" si="17"/>
        <v>0</v>
      </c>
      <c r="DJ17" s="338">
        <f t="shared" si="17"/>
        <v>0</v>
      </c>
      <c r="DK17" s="338">
        <f t="shared" si="17"/>
        <v>0</v>
      </c>
      <c r="DL17" s="338">
        <f t="shared" si="17"/>
        <v>0</v>
      </c>
      <c r="DM17" s="338">
        <f t="shared" si="17"/>
        <v>0</v>
      </c>
      <c r="DN17" s="338">
        <f t="shared" si="17"/>
        <v>0</v>
      </c>
      <c r="DO17" s="338">
        <f t="shared" si="17"/>
        <v>0</v>
      </c>
      <c r="DP17" s="338">
        <f t="shared" si="17"/>
        <v>0</v>
      </c>
      <c r="DQ17" s="338">
        <f t="shared" si="17"/>
        <v>0</v>
      </c>
      <c r="DR17" s="338">
        <f t="shared" si="17"/>
        <v>0</v>
      </c>
      <c r="DS17" s="338">
        <f t="shared" si="17"/>
        <v>0</v>
      </c>
      <c r="DT17" s="338">
        <f t="shared" si="17"/>
        <v>0</v>
      </c>
      <c r="DU17" s="338">
        <f t="shared" si="17"/>
        <v>0</v>
      </c>
      <c r="DV17" s="338">
        <f t="shared" si="17"/>
        <v>0</v>
      </c>
      <c r="DW17" s="338">
        <f t="shared" si="17"/>
        <v>0</v>
      </c>
      <c r="DX17" s="338">
        <f t="shared" si="17"/>
        <v>0</v>
      </c>
      <c r="DY17" s="338">
        <f t="shared" si="17"/>
        <v>0</v>
      </c>
      <c r="DZ17" s="338">
        <f t="shared" si="17"/>
        <v>0</v>
      </c>
      <c r="EA17" s="338">
        <f t="shared" si="17"/>
        <v>0</v>
      </c>
      <c r="EB17" s="338">
        <f t="shared" si="17"/>
        <v>0</v>
      </c>
      <c r="EC17" s="338">
        <f t="shared" si="17"/>
        <v>0</v>
      </c>
      <c r="ED17" s="338">
        <f t="shared" si="17"/>
        <v>0</v>
      </c>
      <c r="EE17" s="338">
        <f t="shared" si="17"/>
        <v>0</v>
      </c>
      <c r="EF17" s="338">
        <f t="shared" si="17"/>
        <v>0</v>
      </c>
      <c r="EG17" s="338">
        <f t="shared" si="17"/>
        <v>0</v>
      </c>
      <c r="EH17" s="338">
        <f t="shared" si="17"/>
        <v>0</v>
      </c>
      <c r="EI17" s="338">
        <f t="shared" si="17"/>
        <v>0</v>
      </c>
      <c r="EJ17" s="338">
        <f t="shared" si="17"/>
        <v>0</v>
      </c>
      <c r="EK17" s="338">
        <f>EK15+EK16</f>
        <v>0</v>
      </c>
      <c r="EL17" s="338">
        <f>EL15+EL16</f>
        <v>0</v>
      </c>
      <c r="EM17" s="338">
        <f>EM15+EM16</f>
        <v>0</v>
      </c>
      <c r="EN17" s="339">
        <f>EN15+EN16</f>
        <v>0</v>
      </c>
      <c r="EO17" s="372"/>
    </row>
    <row r="18" spans="1:145" ht="156" x14ac:dyDescent="0.25">
      <c r="A18" s="182" t="s">
        <v>1298</v>
      </c>
      <c r="B18" s="176" t="s">
        <v>1085</v>
      </c>
      <c r="C18" s="176" t="s">
        <v>46</v>
      </c>
      <c r="D18" s="176" t="s">
        <v>1084</v>
      </c>
      <c r="E18" s="176"/>
      <c r="F18" s="177" t="s">
        <v>1009</v>
      </c>
      <c r="G18" s="266" t="s">
        <v>1409</v>
      </c>
      <c r="H18" s="267" t="s">
        <v>1410</v>
      </c>
      <c r="I18" s="268" t="s">
        <v>1499</v>
      </c>
      <c r="J18" s="296" t="s">
        <v>937</v>
      </c>
      <c r="K18" s="185"/>
      <c r="L18" s="176" t="s">
        <v>1150</v>
      </c>
      <c r="M18" s="325">
        <f t="shared" ref="M18:M33" si="18">SUM(X18,AJ18,AV18,BH18,BT18,CF18,CR18,DD18,DP18,EB18,EN18)</f>
        <v>90064990.61999999</v>
      </c>
      <c r="N18" s="325">
        <v>0</v>
      </c>
      <c r="O18" s="325">
        <v>3810822.75</v>
      </c>
      <c r="P18" s="325">
        <v>0</v>
      </c>
      <c r="Q18" s="325">
        <v>1974742.63</v>
      </c>
      <c r="R18" s="325">
        <v>778907.67999999993</v>
      </c>
      <c r="S18" s="325">
        <v>0</v>
      </c>
      <c r="T18" s="325">
        <v>0</v>
      </c>
      <c r="U18" s="325">
        <v>0</v>
      </c>
      <c r="V18" s="325">
        <v>0</v>
      </c>
      <c r="W18" s="326">
        <v>1802359.29</v>
      </c>
      <c r="X18" s="325">
        <f t="shared" ref="X18:X55" si="19">SUM(N18:W18)</f>
        <v>8366832.3499999996</v>
      </c>
      <c r="Y18" s="325">
        <v>0</v>
      </c>
      <c r="Z18" s="325">
        <v>50000</v>
      </c>
      <c r="AA18" s="325">
        <v>0</v>
      </c>
      <c r="AB18" s="325">
        <v>0</v>
      </c>
      <c r="AC18" s="325">
        <v>0</v>
      </c>
      <c r="AD18" s="325">
        <v>0</v>
      </c>
      <c r="AE18" s="325">
        <v>0</v>
      </c>
      <c r="AF18" s="325">
        <v>0</v>
      </c>
      <c r="AG18" s="332">
        <v>0</v>
      </c>
      <c r="AH18" s="325">
        <v>0</v>
      </c>
      <c r="AI18" s="325">
        <v>0</v>
      </c>
      <c r="AJ18" s="325">
        <f t="shared" ref="AJ18:AJ52" si="20">SUM(Y18:AI18)</f>
        <v>50000</v>
      </c>
      <c r="AK18" s="325">
        <v>0</v>
      </c>
      <c r="AL18" s="325">
        <f>56000+150000</f>
        <v>206000</v>
      </c>
      <c r="AM18" s="325">
        <v>0</v>
      </c>
      <c r="AN18" s="325">
        <v>6324000</v>
      </c>
      <c r="AO18" s="325">
        <v>1116000</v>
      </c>
      <c r="AP18" s="325">
        <v>0</v>
      </c>
      <c r="AQ18" s="325">
        <f>5568915.89+3778321.61</f>
        <v>9347237.5</v>
      </c>
      <c r="AR18" s="325">
        <v>1649512.5</v>
      </c>
      <c r="AS18" s="325">
        <v>0</v>
      </c>
      <c r="AT18" s="325">
        <v>0</v>
      </c>
      <c r="AU18" s="325">
        <v>0</v>
      </c>
      <c r="AV18" s="326">
        <f t="shared" ref="AV18:AV51" si="21">SUM(AK18:AU18)</f>
        <v>18642750</v>
      </c>
      <c r="AW18" s="325">
        <v>0</v>
      </c>
      <c r="AX18" s="325">
        <f>1396000+300000</f>
        <v>1696000</v>
      </c>
      <c r="AY18" s="325">
        <v>0</v>
      </c>
      <c r="AZ18" s="325">
        <v>13892400.000000002</v>
      </c>
      <c r="BA18" s="325">
        <v>2451600</v>
      </c>
      <c r="BB18" s="325">
        <v>0</v>
      </c>
      <c r="BC18" s="325">
        <f>3395821.61+16789978.39</f>
        <v>20185800</v>
      </c>
      <c r="BD18" s="325">
        <v>3562200</v>
      </c>
      <c r="BE18" s="325">
        <v>0</v>
      </c>
      <c r="BF18" s="325">
        <v>0</v>
      </c>
      <c r="BG18" s="325">
        <v>0</v>
      </c>
      <c r="BH18" s="326">
        <f t="shared" ref="BH18:BH51" si="22">SUM(AW18:BG18)</f>
        <v>41788000</v>
      </c>
      <c r="BI18" s="325">
        <v>0</v>
      </c>
      <c r="BJ18" s="325">
        <f>648000+50000</f>
        <v>698000</v>
      </c>
      <c r="BK18" s="325">
        <v>0</v>
      </c>
      <c r="BL18" s="325">
        <v>7091297.7794999992</v>
      </c>
      <c r="BM18" s="325">
        <v>1251405.4904999998</v>
      </c>
      <c r="BN18" s="325">
        <v>0</v>
      </c>
      <c r="BO18" s="325">
        <v>10350199.25</v>
      </c>
      <c r="BP18" s="325">
        <v>1826505.75</v>
      </c>
      <c r="BQ18" s="325">
        <v>0</v>
      </c>
      <c r="BR18" s="325">
        <v>0</v>
      </c>
      <c r="BS18" s="325">
        <v>0</v>
      </c>
      <c r="BT18" s="326">
        <f t="shared" ref="BT18:BT55" si="23">SUM(BI18:BS18)</f>
        <v>21217408.27</v>
      </c>
      <c r="BU18" s="325">
        <v>0</v>
      </c>
      <c r="BV18" s="325">
        <v>0</v>
      </c>
      <c r="BW18" s="325">
        <v>0</v>
      </c>
      <c r="BX18" s="325">
        <v>0</v>
      </c>
      <c r="BY18" s="325">
        <v>0</v>
      </c>
      <c r="BZ18" s="325">
        <v>0</v>
      </c>
      <c r="CA18" s="325">
        <v>0</v>
      </c>
      <c r="CB18" s="325">
        <v>0</v>
      </c>
      <c r="CC18" s="325">
        <v>0</v>
      </c>
      <c r="CD18" s="325">
        <v>0</v>
      </c>
      <c r="CE18" s="325">
        <v>0</v>
      </c>
      <c r="CF18" s="325">
        <f t="shared" ref="CF18:CF55" si="24">SUM(BU18:CE18)</f>
        <v>0</v>
      </c>
      <c r="CG18" s="329">
        <v>0</v>
      </c>
      <c r="CH18" s="329">
        <v>0</v>
      </c>
      <c r="CI18" s="329">
        <v>0</v>
      </c>
      <c r="CJ18" s="329">
        <v>0</v>
      </c>
      <c r="CK18" s="329">
        <v>0</v>
      </c>
      <c r="CL18" s="329">
        <v>0</v>
      </c>
      <c r="CM18" s="329">
        <v>0</v>
      </c>
      <c r="CN18" s="329">
        <v>0</v>
      </c>
      <c r="CO18" s="329">
        <v>0</v>
      </c>
      <c r="CP18" s="329">
        <v>0</v>
      </c>
      <c r="CQ18" s="329">
        <v>0</v>
      </c>
      <c r="CR18" s="327">
        <f t="shared" ref="CR18:CR55" si="25">SUM(CG18:CQ18)</f>
        <v>0</v>
      </c>
      <c r="CS18" s="329">
        <v>0</v>
      </c>
      <c r="CT18" s="329">
        <v>0</v>
      </c>
      <c r="CU18" s="329">
        <v>0</v>
      </c>
      <c r="CV18" s="329">
        <v>0</v>
      </c>
      <c r="CW18" s="329">
        <v>0</v>
      </c>
      <c r="CX18" s="329">
        <v>0</v>
      </c>
      <c r="CY18" s="329">
        <v>0</v>
      </c>
      <c r="CZ18" s="329">
        <v>0</v>
      </c>
      <c r="DA18" s="329">
        <v>0</v>
      </c>
      <c r="DB18" s="329">
        <v>0</v>
      </c>
      <c r="DC18" s="329">
        <v>0</v>
      </c>
      <c r="DD18" s="325">
        <f t="shared" ref="DD18:DD55" si="26">SUM(CS18:DC18)</f>
        <v>0</v>
      </c>
      <c r="DE18" s="329">
        <v>0</v>
      </c>
      <c r="DF18" s="329">
        <v>0</v>
      </c>
      <c r="DG18" s="329">
        <v>0</v>
      </c>
      <c r="DH18" s="329">
        <v>0</v>
      </c>
      <c r="DI18" s="329">
        <v>0</v>
      </c>
      <c r="DJ18" s="329">
        <v>0</v>
      </c>
      <c r="DK18" s="329">
        <v>0</v>
      </c>
      <c r="DL18" s="329">
        <v>0</v>
      </c>
      <c r="DM18" s="329">
        <v>0</v>
      </c>
      <c r="DN18" s="329">
        <v>0</v>
      </c>
      <c r="DO18" s="329">
        <v>0</v>
      </c>
      <c r="DP18" s="325">
        <f t="shared" ref="DP18:DP55" si="27">SUM(DE18:DO18)</f>
        <v>0</v>
      </c>
      <c r="DQ18" s="329">
        <v>0</v>
      </c>
      <c r="DR18" s="329">
        <v>0</v>
      </c>
      <c r="DS18" s="329">
        <v>0</v>
      </c>
      <c r="DT18" s="329">
        <v>0</v>
      </c>
      <c r="DU18" s="329">
        <v>0</v>
      </c>
      <c r="DV18" s="329">
        <v>0</v>
      </c>
      <c r="DW18" s="329">
        <v>0</v>
      </c>
      <c r="DX18" s="329">
        <v>0</v>
      </c>
      <c r="DY18" s="329">
        <v>0</v>
      </c>
      <c r="DZ18" s="329">
        <v>0</v>
      </c>
      <c r="EA18" s="329">
        <v>0</v>
      </c>
      <c r="EB18" s="325">
        <f t="shared" ref="EB18:EB51" si="28">SUM(DQ18:EA18)</f>
        <v>0</v>
      </c>
      <c r="EC18" s="329">
        <v>0</v>
      </c>
      <c r="ED18" s="329">
        <v>0</v>
      </c>
      <c r="EE18" s="329">
        <v>0</v>
      </c>
      <c r="EF18" s="329">
        <v>0</v>
      </c>
      <c r="EG18" s="329">
        <v>0</v>
      </c>
      <c r="EH18" s="329">
        <v>0</v>
      </c>
      <c r="EI18" s="329">
        <v>0</v>
      </c>
      <c r="EJ18" s="329">
        <v>0</v>
      </c>
      <c r="EK18" s="329">
        <v>0</v>
      </c>
      <c r="EL18" s="329">
        <v>0</v>
      </c>
      <c r="EM18" s="329">
        <v>0</v>
      </c>
      <c r="EN18" s="330">
        <f t="shared" ref="EN18:EN51" si="29">SUM(EC18:EM18)</f>
        <v>0</v>
      </c>
      <c r="EO18" s="331">
        <v>4.9370000000000003</v>
      </c>
    </row>
    <row r="19" spans="1:145" ht="96" x14ac:dyDescent="0.25">
      <c r="A19" s="182"/>
      <c r="B19" s="176" t="s">
        <v>1095</v>
      </c>
      <c r="C19" s="176" t="s">
        <v>64</v>
      </c>
      <c r="D19" s="176" t="s">
        <v>1094</v>
      </c>
      <c r="E19" s="176" t="s">
        <v>1331</v>
      </c>
      <c r="F19" s="177" t="s">
        <v>1012</v>
      </c>
      <c r="G19" s="269" t="s">
        <v>1411</v>
      </c>
      <c r="H19" s="270" t="s">
        <v>1412</v>
      </c>
      <c r="I19" s="271" t="s">
        <v>1500</v>
      </c>
      <c r="J19" s="185" t="s">
        <v>923</v>
      </c>
      <c r="K19" s="185">
        <v>4.5</v>
      </c>
      <c r="L19" s="176" t="s">
        <v>1150</v>
      </c>
      <c r="M19" s="325">
        <f t="shared" si="18"/>
        <v>30301016.039999999</v>
      </c>
      <c r="N19" s="325">
        <v>0</v>
      </c>
      <c r="O19" s="325">
        <v>0</v>
      </c>
      <c r="P19" s="325">
        <v>0</v>
      </c>
      <c r="Q19" s="325">
        <v>0</v>
      </c>
      <c r="R19" s="325">
        <v>0</v>
      </c>
      <c r="S19" s="325">
        <v>0</v>
      </c>
      <c r="T19" s="325">
        <v>0</v>
      </c>
      <c r="U19" s="325">
        <v>0</v>
      </c>
      <c r="V19" s="325">
        <v>0</v>
      </c>
      <c r="W19" s="325">
        <v>258311.84</v>
      </c>
      <c r="X19" s="325">
        <f t="shared" si="19"/>
        <v>258311.84</v>
      </c>
      <c r="Y19" s="325">
        <v>0</v>
      </c>
      <c r="Z19" s="325">
        <v>0</v>
      </c>
      <c r="AA19" s="325">
        <v>0</v>
      </c>
      <c r="AB19" s="325">
        <v>0</v>
      </c>
      <c r="AC19" s="325">
        <v>0</v>
      </c>
      <c r="AD19" s="325">
        <v>0</v>
      </c>
      <c r="AE19" s="325">
        <v>0</v>
      </c>
      <c r="AF19" s="325">
        <v>0</v>
      </c>
      <c r="AG19" s="332">
        <v>0</v>
      </c>
      <c r="AH19" s="325">
        <v>0</v>
      </c>
      <c r="AI19" s="326">
        <v>61700</v>
      </c>
      <c r="AJ19" s="325">
        <f t="shared" si="20"/>
        <v>61700</v>
      </c>
      <c r="AK19" s="325">
        <v>0</v>
      </c>
      <c r="AL19" s="325">
        <v>0</v>
      </c>
      <c r="AM19" s="325">
        <v>0</v>
      </c>
      <c r="AN19" s="325">
        <v>850000</v>
      </c>
      <c r="AO19" s="325">
        <v>150000</v>
      </c>
      <c r="AP19" s="325">
        <v>0</v>
      </c>
      <c r="AQ19" s="325">
        <v>0</v>
      </c>
      <c r="AR19" s="325">
        <v>0</v>
      </c>
      <c r="AS19" s="325">
        <v>0</v>
      </c>
      <c r="AT19" s="325">
        <v>0</v>
      </c>
      <c r="AU19" s="325">
        <v>0</v>
      </c>
      <c r="AV19" s="326">
        <f t="shared" si="21"/>
        <v>1000000</v>
      </c>
      <c r="AW19" s="325">
        <v>0</v>
      </c>
      <c r="AX19" s="325">
        <v>2200000</v>
      </c>
      <c r="AY19" s="325">
        <v>0</v>
      </c>
      <c r="AZ19" s="325">
        <v>22763853.57</v>
      </c>
      <c r="BA19" s="325">
        <v>4017150.63</v>
      </c>
      <c r="BB19" s="325">
        <v>0</v>
      </c>
      <c r="BC19" s="325">
        <v>0</v>
      </c>
      <c r="BD19" s="325">
        <v>0</v>
      </c>
      <c r="BE19" s="325">
        <v>0</v>
      </c>
      <c r="BF19" s="325">
        <v>0</v>
      </c>
      <c r="BG19" s="325">
        <v>0</v>
      </c>
      <c r="BH19" s="326">
        <f t="shared" si="22"/>
        <v>28981004.199999999</v>
      </c>
      <c r="BI19" s="325">
        <v>0</v>
      </c>
      <c r="BJ19" s="325">
        <v>0</v>
      </c>
      <c r="BK19" s="325">
        <v>0</v>
      </c>
      <c r="BL19" s="325">
        <v>0</v>
      </c>
      <c r="BM19" s="325">
        <v>0</v>
      </c>
      <c r="BN19" s="325">
        <v>0</v>
      </c>
      <c r="BO19" s="325">
        <v>0</v>
      </c>
      <c r="BP19" s="325">
        <v>0</v>
      </c>
      <c r="BQ19" s="325">
        <v>0</v>
      </c>
      <c r="BR19" s="325">
        <v>0</v>
      </c>
      <c r="BS19" s="325">
        <v>0</v>
      </c>
      <c r="BT19" s="325">
        <f t="shared" si="23"/>
        <v>0</v>
      </c>
      <c r="BU19" s="325">
        <v>0</v>
      </c>
      <c r="BV19" s="325">
        <v>0</v>
      </c>
      <c r="BW19" s="325">
        <v>0</v>
      </c>
      <c r="BX19" s="325">
        <v>0</v>
      </c>
      <c r="BY19" s="325">
        <v>0</v>
      </c>
      <c r="BZ19" s="325">
        <v>0</v>
      </c>
      <c r="CA19" s="325">
        <v>0</v>
      </c>
      <c r="CB19" s="325">
        <v>0</v>
      </c>
      <c r="CC19" s="325">
        <v>0</v>
      </c>
      <c r="CD19" s="325">
        <v>0</v>
      </c>
      <c r="CE19" s="325">
        <v>0</v>
      </c>
      <c r="CF19" s="325">
        <f t="shared" si="24"/>
        <v>0</v>
      </c>
      <c r="CG19" s="325">
        <v>0</v>
      </c>
      <c r="CH19" s="325">
        <v>0</v>
      </c>
      <c r="CI19" s="325">
        <v>0</v>
      </c>
      <c r="CJ19" s="325">
        <v>0</v>
      </c>
      <c r="CK19" s="325">
        <v>0</v>
      </c>
      <c r="CL19" s="325">
        <v>0</v>
      </c>
      <c r="CM19" s="325">
        <v>0</v>
      </c>
      <c r="CN19" s="325">
        <v>0</v>
      </c>
      <c r="CO19" s="325">
        <v>0</v>
      </c>
      <c r="CP19" s="325">
        <v>0</v>
      </c>
      <c r="CQ19" s="325">
        <v>0</v>
      </c>
      <c r="CR19" s="325">
        <f t="shared" si="25"/>
        <v>0</v>
      </c>
      <c r="CS19" s="325">
        <v>0</v>
      </c>
      <c r="CT19" s="325">
        <v>0</v>
      </c>
      <c r="CU19" s="325">
        <v>0</v>
      </c>
      <c r="CV19" s="325">
        <v>0</v>
      </c>
      <c r="CW19" s="325">
        <v>0</v>
      </c>
      <c r="CX19" s="325">
        <v>0</v>
      </c>
      <c r="CY19" s="325">
        <v>0</v>
      </c>
      <c r="CZ19" s="325">
        <v>0</v>
      </c>
      <c r="DA19" s="325">
        <v>0</v>
      </c>
      <c r="DB19" s="325">
        <v>0</v>
      </c>
      <c r="DC19" s="325">
        <v>0</v>
      </c>
      <c r="DD19" s="325">
        <f t="shared" si="26"/>
        <v>0</v>
      </c>
      <c r="DE19" s="325">
        <f>SUM(CT19:DD19)</f>
        <v>0</v>
      </c>
      <c r="DF19" s="325">
        <v>0</v>
      </c>
      <c r="DG19" s="325">
        <v>0</v>
      </c>
      <c r="DH19" s="325">
        <v>0</v>
      </c>
      <c r="DI19" s="325">
        <v>0</v>
      </c>
      <c r="DJ19" s="325">
        <v>0</v>
      </c>
      <c r="DK19" s="325">
        <v>0</v>
      </c>
      <c r="DL19" s="325">
        <v>0</v>
      </c>
      <c r="DM19" s="325">
        <v>0</v>
      </c>
      <c r="DN19" s="325">
        <v>0</v>
      </c>
      <c r="DO19" s="325">
        <v>0</v>
      </c>
      <c r="DP19" s="325">
        <f t="shared" si="27"/>
        <v>0</v>
      </c>
      <c r="DQ19" s="325">
        <v>0</v>
      </c>
      <c r="DR19" s="325">
        <v>0</v>
      </c>
      <c r="DS19" s="325">
        <v>0</v>
      </c>
      <c r="DT19" s="325">
        <v>0</v>
      </c>
      <c r="DU19" s="325">
        <v>0</v>
      </c>
      <c r="DV19" s="325">
        <v>0</v>
      </c>
      <c r="DW19" s="325">
        <v>0</v>
      </c>
      <c r="DX19" s="325">
        <v>0</v>
      </c>
      <c r="DY19" s="325">
        <v>0</v>
      </c>
      <c r="DZ19" s="325">
        <v>0</v>
      </c>
      <c r="EA19" s="325">
        <v>0</v>
      </c>
      <c r="EB19" s="325">
        <f t="shared" si="28"/>
        <v>0</v>
      </c>
      <c r="EC19" s="329">
        <v>0</v>
      </c>
      <c r="ED19" s="329">
        <v>0</v>
      </c>
      <c r="EE19" s="329">
        <v>0</v>
      </c>
      <c r="EF19" s="329">
        <v>0</v>
      </c>
      <c r="EG19" s="329">
        <v>0</v>
      </c>
      <c r="EH19" s="329">
        <v>0</v>
      </c>
      <c r="EI19" s="329">
        <v>0</v>
      </c>
      <c r="EJ19" s="329">
        <v>0</v>
      </c>
      <c r="EK19" s="329">
        <v>0</v>
      </c>
      <c r="EL19" s="329">
        <v>0</v>
      </c>
      <c r="EM19" s="329">
        <v>0</v>
      </c>
      <c r="EN19" s="330">
        <f t="shared" si="29"/>
        <v>0</v>
      </c>
      <c r="EO19" s="331" t="s">
        <v>1542</v>
      </c>
    </row>
    <row r="20" spans="1:145" ht="108" x14ac:dyDescent="0.25">
      <c r="A20" s="193"/>
      <c r="B20" s="175" t="s">
        <v>1162</v>
      </c>
      <c r="C20" s="176" t="s">
        <v>66</v>
      </c>
      <c r="D20" s="175"/>
      <c r="E20" s="175" t="s">
        <v>1332</v>
      </c>
      <c r="F20" s="177" t="s">
        <v>1029</v>
      </c>
      <c r="G20" s="269" t="s">
        <v>1550</v>
      </c>
      <c r="H20" s="270" t="s">
        <v>1413</v>
      </c>
      <c r="I20" s="271" t="s">
        <v>1501</v>
      </c>
      <c r="J20" s="185" t="s">
        <v>923</v>
      </c>
      <c r="K20" s="185" t="s">
        <v>933</v>
      </c>
      <c r="L20" s="176" t="s">
        <v>1151</v>
      </c>
      <c r="M20" s="325">
        <f t="shared" si="18"/>
        <v>10461301.41</v>
      </c>
      <c r="N20" s="325">
        <v>0</v>
      </c>
      <c r="O20" s="325">
        <v>0</v>
      </c>
      <c r="P20" s="325">
        <v>0</v>
      </c>
      <c r="Q20" s="325">
        <v>0</v>
      </c>
      <c r="R20" s="325">
        <v>0</v>
      </c>
      <c r="S20" s="325">
        <v>0</v>
      </c>
      <c r="T20" s="325">
        <v>0</v>
      </c>
      <c r="U20" s="325">
        <v>0</v>
      </c>
      <c r="V20" s="325">
        <v>0</v>
      </c>
      <c r="W20" s="325">
        <v>112277.35</v>
      </c>
      <c r="X20" s="325">
        <f t="shared" si="19"/>
        <v>112277.35</v>
      </c>
      <c r="Y20" s="325">
        <v>0</v>
      </c>
      <c r="Z20" s="325">
        <v>0</v>
      </c>
      <c r="AA20" s="325">
        <v>0</v>
      </c>
      <c r="AB20" s="325">
        <v>0</v>
      </c>
      <c r="AC20" s="325">
        <v>0</v>
      </c>
      <c r="AD20" s="325">
        <v>0</v>
      </c>
      <c r="AE20" s="325">
        <v>0</v>
      </c>
      <c r="AF20" s="325">
        <v>0</v>
      </c>
      <c r="AG20" s="332">
        <v>0</v>
      </c>
      <c r="AH20" s="325">
        <v>0</v>
      </c>
      <c r="AI20" s="326">
        <v>37950</v>
      </c>
      <c r="AJ20" s="325">
        <f t="shared" si="20"/>
        <v>37950</v>
      </c>
      <c r="AK20" s="325">
        <v>0</v>
      </c>
      <c r="AL20" s="325">
        <v>0</v>
      </c>
      <c r="AM20" s="325">
        <v>0</v>
      </c>
      <c r="AN20" s="325">
        <v>425000</v>
      </c>
      <c r="AO20" s="325">
        <v>75000</v>
      </c>
      <c r="AP20" s="325">
        <v>0</v>
      </c>
      <c r="AQ20" s="325">
        <v>0</v>
      </c>
      <c r="AR20" s="325">
        <v>0</v>
      </c>
      <c r="AS20" s="325">
        <v>0</v>
      </c>
      <c r="AT20" s="325">
        <v>0</v>
      </c>
      <c r="AU20" s="325">
        <v>0</v>
      </c>
      <c r="AV20" s="326">
        <f t="shared" si="21"/>
        <v>500000</v>
      </c>
      <c r="AW20" s="325">
        <v>0</v>
      </c>
      <c r="AX20" s="325">
        <v>750000</v>
      </c>
      <c r="AY20" s="325">
        <v>0</v>
      </c>
      <c r="AZ20" s="325">
        <v>7701912.9510000004</v>
      </c>
      <c r="BA20" s="325">
        <v>1359161.1089999999</v>
      </c>
      <c r="BB20" s="325">
        <v>0</v>
      </c>
      <c r="BC20" s="325">
        <v>0</v>
      </c>
      <c r="BD20" s="325">
        <v>0</v>
      </c>
      <c r="BE20" s="325">
        <v>0</v>
      </c>
      <c r="BF20" s="325">
        <v>0</v>
      </c>
      <c r="BG20" s="325">
        <v>0</v>
      </c>
      <c r="BH20" s="326">
        <f t="shared" si="22"/>
        <v>9811074.0600000005</v>
      </c>
      <c r="BI20" s="325">
        <v>0</v>
      </c>
      <c r="BJ20" s="325">
        <v>0</v>
      </c>
      <c r="BK20" s="325">
        <v>0</v>
      </c>
      <c r="BL20" s="325">
        <v>0</v>
      </c>
      <c r="BM20" s="325">
        <v>0</v>
      </c>
      <c r="BN20" s="325">
        <v>0</v>
      </c>
      <c r="BO20" s="325">
        <v>0</v>
      </c>
      <c r="BP20" s="325">
        <v>0</v>
      </c>
      <c r="BQ20" s="325">
        <v>0</v>
      </c>
      <c r="BR20" s="325">
        <v>0</v>
      </c>
      <c r="BS20" s="325">
        <v>0</v>
      </c>
      <c r="BT20" s="325">
        <f t="shared" si="23"/>
        <v>0</v>
      </c>
      <c r="BU20" s="325">
        <v>0</v>
      </c>
      <c r="BV20" s="325">
        <v>0</v>
      </c>
      <c r="BW20" s="325">
        <v>0</v>
      </c>
      <c r="BX20" s="325">
        <v>0</v>
      </c>
      <c r="BY20" s="325">
        <v>0</v>
      </c>
      <c r="BZ20" s="325">
        <v>0</v>
      </c>
      <c r="CA20" s="325">
        <v>0</v>
      </c>
      <c r="CB20" s="325">
        <v>0</v>
      </c>
      <c r="CC20" s="325">
        <v>0</v>
      </c>
      <c r="CD20" s="325">
        <v>0</v>
      </c>
      <c r="CE20" s="325">
        <v>0</v>
      </c>
      <c r="CF20" s="325">
        <f t="shared" si="24"/>
        <v>0</v>
      </c>
      <c r="CG20" s="325">
        <v>0</v>
      </c>
      <c r="CH20" s="325">
        <v>0</v>
      </c>
      <c r="CI20" s="325">
        <v>0</v>
      </c>
      <c r="CJ20" s="325">
        <v>0</v>
      </c>
      <c r="CK20" s="325">
        <v>0</v>
      </c>
      <c r="CL20" s="325">
        <v>0</v>
      </c>
      <c r="CM20" s="325">
        <v>0</v>
      </c>
      <c r="CN20" s="325">
        <v>0</v>
      </c>
      <c r="CO20" s="325">
        <v>0</v>
      </c>
      <c r="CP20" s="325">
        <v>0</v>
      </c>
      <c r="CQ20" s="325">
        <v>0</v>
      </c>
      <c r="CR20" s="325">
        <f t="shared" si="25"/>
        <v>0</v>
      </c>
      <c r="CS20" s="325">
        <v>0</v>
      </c>
      <c r="CT20" s="325">
        <v>0</v>
      </c>
      <c r="CU20" s="325">
        <v>0</v>
      </c>
      <c r="CV20" s="325">
        <v>0</v>
      </c>
      <c r="CW20" s="325">
        <v>0</v>
      </c>
      <c r="CX20" s="325">
        <v>0</v>
      </c>
      <c r="CY20" s="325">
        <v>0</v>
      </c>
      <c r="CZ20" s="325">
        <v>0</v>
      </c>
      <c r="DA20" s="325">
        <v>0</v>
      </c>
      <c r="DB20" s="325">
        <v>0</v>
      </c>
      <c r="DC20" s="325">
        <v>0</v>
      </c>
      <c r="DD20" s="325">
        <f t="shared" si="26"/>
        <v>0</v>
      </c>
      <c r="DE20" s="325">
        <f>SUM(CT20:DD20)</f>
        <v>0</v>
      </c>
      <c r="DF20" s="325">
        <v>0</v>
      </c>
      <c r="DG20" s="325">
        <v>0</v>
      </c>
      <c r="DH20" s="325">
        <v>0</v>
      </c>
      <c r="DI20" s="325">
        <v>0</v>
      </c>
      <c r="DJ20" s="325">
        <v>0</v>
      </c>
      <c r="DK20" s="325">
        <v>0</v>
      </c>
      <c r="DL20" s="325">
        <v>0</v>
      </c>
      <c r="DM20" s="325">
        <v>0</v>
      </c>
      <c r="DN20" s="325">
        <v>0</v>
      </c>
      <c r="DO20" s="325">
        <v>0</v>
      </c>
      <c r="DP20" s="325">
        <f t="shared" si="27"/>
        <v>0</v>
      </c>
      <c r="DQ20" s="325">
        <v>0</v>
      </c>
      <c r="DR20" s="325">
        <v>0</v>
      </c>
      <c r="DS20" s="325">
        <v>0</v>
      </c>
      <c r="DT20" s="325">
        <v>0</v>
      </c>
      <c r="DU20" s="325">
        <v>0</v>
      </c>
      <c r="DV20" s="325">
        <v>0</v>
      </c>
      <c r="DW20" s="325">
        <v>0</v>
      </c>
      <c r="DX20" s="325">
        <v>0</v>
      </c>
      <c r="DY20" s="325">
        <v>0</v>
      </c>
      <c r="DZ20" s="325">
        <v>0</v>
      </c>
      <c r="EA20" s="325">
        <v>0</v>
      </c>
      <c r="EB20" s="325">
        <f t="shared" si="28"/>
        <v>0</v>
      </c>
      <c r="EC20" s="329">
        <v>0</v>
      </c>
      <c r="ED20" s="329">
        <v>0</v>
      </c>
      <c r="EE20" s="329">
        <v>0</v>
      </c>
      <c r="EF20" s="329">
        <v>0</v>
      </c>
      <c r="EG20" s="329">
        <v>0</v>
      </c>
      <c r="EH20" s="329">
        <v>0</v>
      </c>
      <c r="EI20" s="329">
        <v>0</v>
      </c>
      <c r="EJ20" s="329">
        <v>0</v>
      </c>
      <c r="EK20" s="329">
        <v>0</v>
      </c>
      <c r="EL20" s="329">
        <v>0</v>
      </c>
      <c r="EM20" s="329">
        <v>0</v>
      </c>
      <c r="EN20" s="330">
        <f t="shared" si="29"/>
        <v>0</v>
      </c>
      <c r="EO20" s="331" t="s">
        <v>1533</v>
      </c>
    </row>
    <row r="21" spans="1:145" ht="108" x14ac:dyDescent="0.25">
      <c r="A21" s="193"/>
      <c r="B21" s="175" t="s">
        <v>1153</v>
      </c>
      <c r="C21" s="176"/>
      <c r="D21" s="176"/>
      <c r="E21" s="176" t="s">
        <v>1333</v>
      </c>
      <c r="F21" s="177" t="s">
        <v>1038</v>
      </c>
      <c r="G21" s="269" t="s">
        <v>1414</v>
      </c>
      <c r="H21" s="270" t="s">
        <v>1415</v>
      </c>
      <c r="I21" s="271" t="s">
        <v>1502</v>
      </c>
      <c r="J21" s="185" t="s">
        <v>923</v>
      </c>
      <c r="K21" s="185" t="s">
        <v>933</v>
      </c>
      <c r="L21" s="176" t="s">
        <v>1151</v>
      </c>
      <c r="M21" s="325">
        <f t="shared" si="18"/>
        <v>5501093.7699999996</v>
      </c>
      <c r="N21" s="325">
        <v>0</v>
      </c>
      <c r="O21" s="325">
        <v>0</v>
      </c>
      <c r="P21" s="325">
        <v>0</v>
      </c>
      <c r="Q21" s="325">
        <v>0</v>
      </c>
      <c r="R21" s="325">
        <v>0</v>
      </c>
      <c r="S21" s="325">
        <v>0</v>
      </c>
      <c r="T21" s="325">
        <v>0</v>
      </c>
      <c r="U21" s="325">
        <v>0</v>
      </c>
      <c r="V21" s="325">
        <v>0</v>
      </c>
      <c r="W21" s="326">
        <v>241580</v>
      </c>
      <c r="X21" s="325">
        <f t="shared" si="19"/>
        <v>241580</v>
      </c>
      <c r="Y21" s="325">
        <v>0</v>
      </c>
      <c r="Z21" s="325">
        <v>0</v>
      </c>
      <c r="AA21" s="325">
        <v>0</v>
      </c>
      <c r="AB21" s="325">
        <v>0</v>
      </c>
      <c r="AC21" s="325">
        <v>0</v>
      </c>
      <c r="AD21" s="325">
        <v>0</v>
      </c>
      <c r="AE21" s="325">
        <v>0</v>
      </c>
      <c r="AF21" s="325">
        <v>0</v>
      </c>
      <c r="AG21" s="332">
        <v>0</v>
      </c>
      <c r="AH21" s="325">
        <v>0</v>
      </c>
      <c r="AI21" s="326">
        <v>11743.75</v>
      </c>
      <c r="AJ21" s="325">
        <f t="shared" si="20"/>
        <v>11743.75</v>
      </c>
      <c r="AK21" s="325">
        <v>0</v>
      </c>
      <c r="AL21" s="325">
        <v>0</v>
      </c>
      <c r="AM21" s="325">
        <v>0</v>
      </c>
      <c r="AN21" s="325">
        <v>2507500</v>
      </c>
      <c r="AO21" s="325">
        <v>442500</v>
      </c>
      <c r="AP21" s="325">
        <v>0</v>
      </c>
      <c r="AQ21" s="325">
        <v>0</v>
      </c>
      <c r="AR21" s="325">
        <v>0</v>
      </c>
      <c r="AS21" s="325">
        <v>0</v>
      </c>
      <c r="AT21" s="325">
        <v>0</v>
      </c>
      <c r="AU21" s="325">
        <v>0</v>
      </c>
      <c r="AV21" s="326">
        <f t="shared" si="21"/>
        <v>2950000</v>
      </c>
      <c r="AW21" s="325">
        <v>0</v>
      </c>
      <c r="AX21" s="325">
        <v>350000</v>
      </c>
      <c r="AY21" s="325">
        <v>0</v>
      </c>
      <c r="AZ21" s="325">
        <v>1655604.5169999995</v>
      </c>
      <c r="BA21" s="325">
        <v>292165.50299999991</v>
      </c>
      <c r="BB21" s="325">
        <v>0</v>
      </c>
      <c r="BC21" s="325">
        <v>0</v>
      </c>
      <c r="BD21" s="325">
        <v>0</v>
      </c>
      <c r="BE21" s="325">
        <v>0</v>
      </c>
      <c r="BF21" s="325">
        <v>0</v>
      </c>
      <c r="BG21" s="325">
        <v>0</v>
      </c>
      <c r="BH21" s="326">
        <f t="shared" si="22"/>
        <v>2297770.0199999996</v>
      </c>
      <c r="BI21" s="325">
        <v>0</v>
      </c>
      <c r="BJ21" s="325">
        <v>0</v>
      </c>
      <c r="BK21" s="325">
        <v>0</v>
      </c>
      <c r="BL21" s="325">
        <v>0</v>
      </c>
      <c r="BM21" s="325">
        <v>0</v>
      </c>
      <c r="BN21" s="325">
        <v>0</v>
      </c>
      <c r="BO21" s="325">
        <v>0</v>
      </c>
      <c r="BP21" s="325">
        <v>0</v>
      </c>
      <c r="BQ21" s="325">
        <v>0</v>
      </c>
      <c r="BR21" s="325">
        <v>0</v>
      </c>
      <c r="BS21" s="325">
        <v>0</v>
      </c>
      <c r="BT21" s="325">
        <f t="shared" si="23"/>
        <v>0</v>
      </c>
      <c r="BU21" s="325">
        <v>0</v>
      </c>
      <c r="BV21" s="325">
        <v>0</v>
      </c>
      <c r="BW21" s="325">
        <v>0</v>
      </c>
      <c r="BX21" s="325">
        <v>0</v>
      </c>
      <c r="BY21" s="325">
        <v>0</v>
      </c>
      <c r="BZ21" s="325">
        <v>0</v>
      </c>
      <c r="CA21" s="325">
        <v>0</v>
      </c>
      <c r="CB21" s="325">
        <v>0</v>
      </c>
      <c r="CC21" s="325">
        <v>0</v>
      </c>
      <c r="CD21" s="325">
        <v>0</v>
      </c>
      <c r="CE21" s="325">
        <v>0</v>
      </c>
      <c r="CF21" s="325">
        <f t="shared" si="24"/>
        <v>0</v>
      </c>
      <c r="CG21" s="325">
        <v>0</v>
      </c>
      <c r="CH21" s="325">
        <v>0</v>
      </c>
      <c r="CI21" s="325">
        <v>0</v>
      </c>
      <c r="CJ21" s="325">
        <v>0</v>
      </c>
      <c r="CK21" s="325">
        <v>0</v>
      </c>
      <c r="CL21" s="325">
        <v>0</v>
      </c>
      <c r="CM21" s="325">
        <v>0</v>
      </c>
      <c r="CN21" s="325">
        <v>0</v>
      </c>
      <c r="CO21" s="325">
        <v>0</v>
      </c>
      <c r="CP21" s="325">
        <v>0</v>
      </c>
      <c r="CQ21" s="325">
        <v>0</v>
      </c>
      <c r="CR21" s="325">
        <f t="shared" si="25"/>
        <v>0</v>
      </c>
      <c r="CS21" s="325">
        <v>0</v>
      </c>
      <c r="CT21" s="325">
        <v>0</v>
      </c>
      <c r="CU21" s="325">
        <v>0</v>
      </c>
      <c r="CV21" s="325">
        <v>0</v>
      </c>
      <c r="CW21" s="325">
        <v>0</v>
      </c>
      <c r="CX21" s="325">
        <v>0</v>
      </c>
      <c r="CY21" s="325">
        <v>0</v>
      </c>
      <c r="CZ21" s="325">
        <v>0</v>
      </c>
      <c r="DA21" s="325">
        <v>0</v>
      </c>
      <c r="DB21" s="325">
        <v>0</v>
      </c>
      <c r="DC21" s="325">
        <v>0</v>
      </c>
      <c r="DD21" s="325">
        <f t="shared" si="26"/>
        <v>0</v>
      </c>
      <c r="DE21" s="325">
        <f>SUM(CT21:DD21)</f>
        <v>0</v>
      </c>
      <c r="DF21" s="325">
        <v>0</v>
      </c>
      <c r="DG21" s="325">
        <v>0</v>
      </c>
      <c r="DH21" s="325">
        <v>0</v>
      </c>
      <c r="DI21" s="325">
        <v>0</v>
      </c>
      <c r="DJ21" s="325">
        <v>0</v>
      </c>
      <c r="DK21" s="325">
        <v>0</v>
      </c>
      <c r="DL21" s="325">
        <v>0</v>
      </c>
      <c r="DM21" s="325">
        <v>0</v>
      </c>
      <c r="DN21" s="325">
        <v>0</v>
      </c>
      <c r="DO21" s="325">
        <v>0</v>
      </c>
      <c r="DP21" s="325">
        <f t="shared" si="27"/>
        <v>0</v>
      </c>
      <c r="DQ21" s="325">
        <v>0</v>
      </c>
      <c r="DR21" s="325">
        <v>0</v>
      </c>
      <c r="DS21" s="325">
        <v>0</v>
      </c>
      <c r="DT21" s="325">
        <v>0</v>
      </c>
      <c r="DU21" s="325">
        <v>0</v>
      </c>
      <c r="DV21" s="325">
        <v>0</v>
      </c>
      <c r="DW21" s="325">
        <v>0</v>
      </c>
      <c r="DX21" s="325">
        <v>0</v>
      </c>
      <c r="DY21" s="325">
        <v>0</v>
      </c>
      <c r="DZ21" s="325">
        <v>0</v>
      </c>
      <c r="EA21" s="325">
        <v>0</v>
      </c>
      <c r="EB21" s="325">
        <f t="shared" si="28"/>
        <v>0</v>
      </c>
      <c r="EC21" s="329">
        <v>0</v>
      </c>
      <c r="ED21" s="329">
        <v>0</v>
      </c>
      <c r="EE21" s="329">
        <v>0</v>
      </c>
      <c r="EF21" s="329">
        <v>0</v>
      </c>
      <c r="EG21" s="329">
        <v>0</v>
      </c>
      <c r="EH21" s="329">
        <v>0</v>
      </c>
      <c r="EI21" s="329">
        <v>0</v>
      </c>
      <c r="EJ21" s="329">
        <v>0</v>
      </c>
      <c r="EK21" s="329">
        <v>0</v>
      </c>
      <c r="EL21" s="329">
        <v>0</v>
      </c>
      <c r="EM21" s="329">
        <v>0</v>
      </c>
      <c r="EN21" s="330">
        <f t="shared" si="29"/>
        <v>0</v>
      </c>
      <c r="EO21" s="331">
        <v>0.69599999999999995</v>
      </c>
    </row>
    <row r="22" spans="1:145" ht="144" x14ac:dyDescent="0.25">
      <c r="A22" s="193"/>
      <c r="B22" s="175" t="s">
        <v>1161</v>
      </c>
      <c r="C22" s="176" t="s">
        <v>62</v>
      </c>
      <c r="D22" s="176"/>
      <c r="E22" s="176" t="s">
        <v>1334</v>
      </c>
      <c r="F22" s="177" t="s">
        <v>1013</v>
      </c>
      <c r="G22" s="269" t="s">
        <v>1551</v>
      </c>
      <c r="H22" s="270" t="s">
        <v>1416</v>
      </c>
      <c r="I22" s="271" t="s">
        <v>1503</v>
      </c>
      <c r="J22" s="185" t="s">
        <v>923</v>
      </c>
      <c r="K22" s="185" t="s">
        <v>933</v>
      </c>
      <c r="L22" s="176" t="s">
        <v>1151</v>
      </c>
      <c r="M22" s="325">
        <f t="shared" si="18"/>
        <v>30648740.490000002</v>
      </c>
      <c r="N22" s="325">
        <v>0</v>
      </c>
      <c r="O22" s="325">
        <v>0</v>
      </c>
      <c r="P22" s="325">
        <v>0</v>
      </c>
      <c r="Q22" s="325">
        <v>0</v>
      </c>
      <c r="R22" s="325">
        <v>0</v>
      </c>
      <c r="S22" s="325">
        <v>0</v>
      </c>
      <c r="T22" s="325">
        <v>0</v>
      </c>
      <c r="U22" s="325">
        <v>0</v>
      </c>
      <c r="V22" s="325">
        <v>0</v>
      </c>
      <c r="W22" s="326">
        <f>242233.82+4125.23</f>
        <v>246359.05000000002</v>
      </c>
      <c r="X22" s="325">
        <f t="shared" si="19"/>
        <v>246359.05000000002</v>
      </c>
      <c r="Y22" s="325">
        <v>0</v>
      </c>
      <c r="Z22" s="325">
        <v>0</v>
      </c>
      <c r="AA22" s="325">
        <v>0</v>
      </c>
      <c r="AB22" s="325">
        <v>0</v>
      </c>
      <c r="AC22" s="325">
        <v>0</v>
      </c>
      <c r="AD22" s="325">
        <v>0</v>
      </c>
      <c r="AE22" s="325">
        <v>0</v>
      </c>
      <c r="AF22" s="325">
        <v>0</v>
      </c>
      <c r="AG22" s="332">
        <v>0</v>
      </c>
      <c r="AH22" s="325">
        <v>0</v>
      </c>
      <c r="AI22" s="326">
        <v>31405.55</v>
      </c>
      <c r="AJ22" s="325">
        <f t="shared" si="20"/>
        <v>31405.55</v>
      </c>
      <c r="AK22" s="325">
        <v>0</v>
      </c>
      <c r="AL22" s="325">
        <v>0</v>
      </c>
      <c r="AM22" s="325">
        <v>0</v>
      </c>
      <c r="AN22" s="325">
        <v>850000</v>
      </c>
      <c r="AO22" s="325">
        <v>150000</v>
      </c>
      <c r="AP22" s="325">
        <v>0</v>
      </c>
      <c r="AQ22" s="325">
        <v>0</v>
      </c>
      <c r="AR22" s="325">
        <v>0</v>
      </c>
      <c r="AS22" s="325">
        <v>0</v>
      </c>
      <c r="AT22" s="325">
        <v>0</v>
      </c>
      <c r="AU22" s="325">
        <v>0</v>
      </c>
      <c r="AV22" s="326">
        <f t="shared" si="21"/>
        <v>1000000</v>
      </c>
      <c r="AW22" s="325">
        <v>0</v>
      </c>
      <c r="AX22" s="325">
        <v>2200000</v>
      </c>
      <c r="AY22" s="325">
        <v>0</v>
      </c>
      <c r="AZ22" s="325">
        <v>20524568.14842857</v>
      </c>
      <c r="BA22" s="325">
        <v>3621982.6144285714</v>
      </c>
      <c r="BB22" s="325">
        <v>0</v>
      </c>
      <c r="BC22" s="325">
        <v>0</v>
      </c>
      <c r="BD22" s="325">
        <v>0</v>
      </c>
      <c r="BE22" s="325">
        <v>0</v>
      </c>
      <c r="BF22" s="325">
        <v>0</v>
      </c>
      <c r="BG22" s="325">
        <v>0</v>
      </c>
      <c r="BH22" s="326">
        <f t="shared" si="22"/>
        <v>26346550.762857143</v>
      </c>
      <c r="BI22" s="325">
        <v>0</v>
      </c>
      <c r="BJ22" s="325">
        <v>0</v>
      </c>
      <c r="BK22" s="325">
        <v>0</v>
      </c>
      <c r="BL22" s="325">
        <v>2570761.3580714287</v>
      </c>
      <c r="BM22" s="325">
        <v>453663.76907142857</v>
      </c>
      <c r="BN22" s="325">
        <v>0</v>
      </c>
      <c r="BO22" s="325">
        <v>0</v>
      </c>
      <c r="BP22" s="325">
        <v>0</v>
      </c>
      <c r="BQ22" s="325">
        <v>0</v>
      </c>
      <c r="BR22" s="325">
        <v>0</v>
      </c>
      <c r="BS22" s="325">
        <v>0</v>
      </c>
      <c r="BT22" s="326">
        <f t="shared" si="23"/>
        <v>3024425.1271428573</v>
      </c>
      <c r="BU22" s="325">
        <v>0</v>
      </c>
      <c r="BV22" s="325">
        <v>0</v>
      </c>
      <c r="BW22" s="325">
        <v>0</v>
      </c>
      <c r="BX22" s="325">
        <v>0</v>
      </c>
      <c r="BY22" s="325">
        <v>0</v>
      </c>
      <c r="BZ22" s="325">
        <v>0</v>
      </c>
      <c r="CA22" s="325">
        <v>0</v>
      </c>
      <c r="CB22" s="325">
        <v>0</v>
      </c>
      <c r="CC22" s="325">
        <v>0</v>
      </c>
      <c r="CD22" s="325">
        <v>0</v>
      </c>
      <c r="CE22" s="325">
        <v>0</v>
      </c>
      <c r="CF22" s="325">
        <f t="shared" si="24"/>
        <v>0</v>
      </c>
      <c r="CG22" s="325">
        <v>0</v>
      </c>
      <c r="CH22" s="325">
        <v>0</v>
      </c>
      <c r="CI22" s="325">
        <v>0</v>
      </c>
      <c r="CJ22" s="325">
        <v>0</v>
      </c>
      <c r="CK22" s="325">
        <v>0</v>
      </c>
      <c r="CL22" s="325">
        <v>0</v>
      </c>
      <c r="CM22" s="325">
        <v>0</v>
      </c>
      <c r="CN22" s="325">
        <v>0</v>
      </c>
      <c r="CO22" s="325">
        <v>0</v>
      </c>
      <c r="CP22" s="325">
        <v>0</v>
      </c>
      <c r="CQ22" s="325">
        <v>0</v>
      </c>
      <c r="CR22" s="325">
        <f t="shared" si="25"/>
        <v>0</v>
      </c>
      <c r="CS22" s="325">
        <v>0</v>
      </c>
      <c r="CT22" s="325">
        <v>0</v>
      </c>
      <c r="CU22" s="325">
        <v>0</v>
      </c>
      <c r="CV22" s="325">
        <v>0</v>
      </c>
      <c r="CW22" s="325">
        <v>0</v>
      </c>
      <c r="CX22" s="325">
        <v>0</v>
      </c>
      <c r="CY22" s="325">
        <v>0</v>
      </c>
      <c r="CZ22" s="325">
        <v>0</v>
      </c>
      <c r="DA22" s="325">
        <v>0</v>
      </c>
      <c r="DB22" s="325">
        <v>0</v>
      </c>
      <c r="DC22" s="325">
        <v>0</v>
      </c>
      <c r="DD22" s="325">
        <f t="shared" si="26"/>
        <v>0</v>
      </c>
      <c r="DE22" s="325">
        <f>SUM(CT22:DD22)</f>
        <v>0</v>
      </c>
      <c r="DF22" s="325">
        <v>0</v>
      </c>
      <c r="DG22" s="325">
        <v>0</v>
      </c>
      <c r="DH22" s="325">
        <v>0</v>
      </c>
      <c r="DI22" s="325">
        <v>0</v>
      </c>
      <c r="DJ22" s="325">
        <v>0</v>
      </c>
      <c r="DK22" s="325">
        <v>0</v>
      </c>
      <c r="DL22" s="325">
        <v>0</v>
      </c>
      <c r="DM22" s="325">
        <v>0</v>
      </c>
      <c r="DN22" s="325">
        <v>0</v>
      </c>
      <c r="DO22" s="325">
        <v>0</v>
      </c>
      <c r="DP22" s="325">
        <f t="shared" si="27"/>
        <v>0</v>
      </c>
      <c r="DQ22" s="325">
        <v>0</v>
      </c>
      <c r="DR22" s="325">
        <v>0</v>
      </c>
      <c r="DS22" s="325">
        <v>0</v>
      </c>
      <c r="DT22" s="325">
        <v>0</v>
      </c>
      <c r="DU22" s="325">
        <v>0</v>
      </c>
      <c r="DV22" s="325">
        <v>0</v>
      </c>
      <c r="DW22" s="325">
        <v>0</v>
      </c>
      <c r="DX22" s="325">
        <v>0</v>
      </c>
      <c r="DY22" s="325">
        <v>0</v>
      </c>
      <c r="DZ22" s="325">
        <v>0</v>
      </c>
      <c r="EA22" s="325">
        <v>0</v>
      </c>
      <c r="EB22" s="325">
        <f t="shared" si="28"/>
        <v>0</v>
      </c>
      <c r="EC22" s="329">
        <v>0</v>
      </c>
      <c r="ED22" s="329">
        <v>0</v>
      </c>
      <c r="EE22" s="329">
        <v>0</v>
      </c>
      <c r="EF22" s="329">
        <v>0</v>
      </c>
      <c r="EG22" s="329">
        <v>0</v>
      </c>
      <c r="EH22" s="329">
        <v>0</v>
      </c>
      <c r="EI22" s="329">
        <v>0</v>
      </c>
      <c r="EJ22" s="329">
        <v>0</v>
      </c>
      <c r="EK22" s="329">
        <v>0</v>
      </c>
      <c r="EL22" s="329">
        <v>0</v>
      </c>
      <c r="EM22" s="329">
        <v>0</v>
      </c>
      <c r="EN22" s="330">
        <f t="shared" si="29"/>
        <v>0</v>
      </c>
      <c r="EO22" s="331">
        <v>9.5719999999999992</v>
      </c>
    </row>
    <row r="23" spans="1:145" ht="132" x14ac:dyDescent="0.25">
      <c r="A23" s="193"/>
      <c r="B23" s="175" t="s">
        <v>613</v>
      </c>
      <c r="C23" s="176" t="s">
        <v>136</v>
      </c>
      <c r="D23" s="176">
        <v>2</v>
      </c>
      <c r="E23" s="176" t="s">
        <v>1335</v>
      </c>
      <c r="F23" s="177" t="s">
        <v>1015</v>
      </c>
      <c r="G23" s="269" t="s">
        <v>1417</v>
      </c>
      <c r="H23" s="270" t="s">
        <v>1418</v>
      </c>
      <c r="I23" s="273" t="s">
        <v>1525</v>
      </c>
      <c r="J23" s="185" t="s">
        <v>922</v>
      </c>
      <c r="K23" s="185" t="s">
        <v>933</v>
      </c>
      <c r="L23" s="176" t="s">
        <v>1150</v>
      </c>
      <c r="M23" s="325">
        <f t="shared" si="18"/>
        <v>16274442</v>
      </c>
      <c r="N23" s="325">
        <v>0</v>
      </c>
      <c r="O23" s="325">
        <v>0</v>
      </c>
      <c r="P23" s="325">
        <v>0</v>
      </c>
      <c r="Q23" s="325">
        <v>0</v>
      </c>
      <c r="R23" s="325">
        <v>0</v>
      </c>
      <c r="S23" s="325">
        <v>0</v>
      </c>
      <c r="T23" s="325">
        <v>0</v>
      </c>
      <c r="U23" s="325">
        <v>0</v>
      </c>
      <c r="V23" s="325">
        <v>0</v>
      </c>
      <c r="W23" s="326">
        <v>346109.27</v>
      </c>
      <c r="X23" s="325">
        <f t="shared" si="19"/>
        <v>346109.27</v>
      </c>
      <c r="Y23" s="325">
        <v>0</v>
      </c>
      <c r="Z23" s="325">
        <v>0</v>
      </c>
      <c r="AA23" s="325">
        <v>0</v>
      </c>
      <c r="AB23" s="325">
        <v>0</v>
      </c>
      <c r="AC23" s="325">
        <v>0</v>
      </c>
      <c r="AD23" s="325">
        <v>0</v>
      </c>
      <c r="AE23" s="325">
        <v>0</v>
      </c>
      <c r="AF23" s="325">
        <v>0</v>
      </c>
      <c r="AG23" s="332">
        <v>0</v>
      </c>
      <c r="AH23" s="325">
        <v>0</v>
      </c>
      <c r="AI23" s="326">
        <v>32840</v>
      </c>
      <c r="AJ23" s="325">
        <f t="shared" si="20"/>
        <v>32840</v>
      </c>
      <c r="AK23" s="325">
        <v>0</v>
      </c>
      <c r="AL23" s="325">
        <v>934774.63650000002</v>
      </c>
      <c r="AM23" s="325">
        <v>0</v>
      </c>
      <c r="AN23" s="325">
        <v>7671172.0717874998</v>
      </c>
      <c r="AO23" s="325">
        <v>1353736.2479625</v>
      </c>
      <c r="AP23" s="325">
        <v>0</v>
      </c>
      <c r="AQ23" s="325">
        <v>0</v>
      </c>
      <c r="AR23" s="325">
        <v>0</v>
      </c>
      <c r="AS23" s="325">
        <v>0</v>
      </c>
      <c r="AT23" s="325">
        <v>0</v>
      </c>
      <c r="AU23" s="325">
        <v>0</v>
      </c>
      <c r="AV23" s="326">
        <f t="shared" si="21"/>
        <v>9959682.9562500007</v>
      </c>
      <c r="AW23" s="325">
        <v>0</v>
      </c>
      <c r="AX23" s="325">
        <v>677819.70920000004</v>
      </c>
      <c r="AY23" s="325">
        <v>0</v>
      </c>
      <c r="AZ23" s="325">
        <v>4469291.5548675004</v>
      </c>
      <c r="BA23" s="325">
        <v>788698.50968250004</v>
      </c>
      <c r="BB23" s="325">
        <v>0</v>
      </c>
      <c r="BC23" s="325">
        <v>0</v>
      </c>
      <c r="BD23" s="325">
        <v>0</v>
      </c>
      <c r="BE23" s="325">
        <v>0</v>
      </c>
      <c r="BF23" s="325">
        <v>0</v>
      </c>
      <c r="BG23" s="325">
        <v>0</v>
      </c>
      <c r="BH23" s="326">
        <f t="shared" si="22"/>
        <v>5935809.7737500006</v>
      </c>
      <c r="BI23" s="325">
        <v>0</v>
      </c>
      <c r="BJ23" s="325">
        <v>0</v>
      </c>
      <c r="BK23" s="325">
        <v>0</v>
      </c>
      <c r="BL23" s="325">
        <v>0</v>
      </c>
      <c r="BM23" s="325">
        <v>0</v>
      </c>
      <c r="BN23" s="325">
        <v>0</v>
      </c>
      <c r="BO23" s="325">
        <v>0</v>
      </c>
      <c r="BP23" s="325">
        <v>0</v>
      </c>
      <c r="BQ23" s="325">
        <v>0</v>
      </c>
      <c r="BR23" s="325">
        <v>0</v>
      </c>
      <c r="BS23" s="325">
        <v>0</v>
      </c>
      <c r="BT23" s="325">
        <f t="shared" si="23"/>
        <v>0</v>
      </c>
      <c r="BU23" s="325">
        <v>0</v>
      </c>
      <c r="BV23" s="325">
        <v>0</v>
      </c>
      <c r="BW23" s="325">
        <v>0</v>
      </c>
      <c r="BX23" s="325">
        <v>0</v>
      </c>
      <c r="BY23" s="325">
        <v>0</v>
      </c>
      <c r="BZ23" s="325">
        <v>0</v>
      </c>
      <c r="CA23" s="325">
        <v>0</v>
      </c>
      <c r="CB23" s="325">
        <v>0</v>
      </c>
      <c r="CC23" s="325">
        <v>0</v>
      </c>
      <c r="CD23" s="325">
        <v>0</v>
      </c>
      <c r="CE23" s="325">
        <v>0</v>
      </c>
      <c r="CF23" s="325">
        <f t="shared" si="24"/>
        <v>0</v>
      </c>
      <c r="CG23" s="325">
        <v>0</v>
      </c>
      <c r="CH23" s="325">
        <v>0</v>
      </c>
      <c r="CI23" s="325">
        <v>0</v>
      </c>
      <c r="CJ23" s="325">
        <v>0</v>
      </c>
      <c r="CK23" s="325">
        <v>0</v>
      </c>
      <c r="CL23" s="325">
        <v>0</v>
      </c>
      <c r="CM23" s="325">
        <v>0</v>
      </c>
      <c r="CN23" s="325">
        <v>0</v>
      </c>
      <c r="CO23" s="325">
        <v>0</v>
      </c>
      <c r="CP23" s="325">
        <v>0</v>
      </c>
      <c r="CQ23" s="325">
        <v>0</v>
      </c>
      <c r="CR23" s="325">
        <f t="shared" si="25"/>
        <v>0</v>
      </c>
      <c r="CS23" s="325">
        <v>0</v>
      </c>
      <c r="CT23" s="325">
        <v>0</v>
      </c>
      <c r="CU23" s="325">
        <v>0</v>
      </c>
      <c r="CV23" s="325">
        <v>0</v>
      </c>
      <c r="CW23" s="325">
        <v>0</v>
      </c>
      <c r="CX23" s="325">
        <v>0</v>
      </c>
      <c r="CY23" s="325">
        <v>0</v>
      </c>
      <c r="CZ23" s="325">
        <v>0</v>
      </c>
      <c r="DA23" s="325">
        <v>0</v>
      </c>
      <c r="DB23" s="325">
        <v>0</v>
      </c>
      <c r="DC23" s="325">
        <v>0</v>
      </c>
      <c r="DD23" s="325">
        <f t="shared" si="26"/>
        <v>0</v>
      </c>
      <c r="DE23" s="325">
        <f>SUM(CT23:DD23)</f>
        <v>0</v>
      </c>
      <c r="DF23" s="325">
        <v>0</v>
      </c>
      <c r="DG23" s="325">
        <v>0</v>
      </c>
      <c r="DH23" s="325">
        <v>0</v>
      </c>
      <c r="DI23" s="325">
        <v>0</v>
      </c>
      <c r="DJ23" s="325">
        <v>0</v>
      </c>
      <c r="DK23" s="325">
        <v>0</v>
      </c>
      <c r="DL23" s="325">
        <v>0</v>
      </c>
      <c r="DM23" s="325">
        <v>0</v>
      </c>
      <c r="DN23" s="325">
        <v>0</v>
      </c>
      <c r="DO23" s="325">
        <v>0</v>
      </c>
      <c r="DP23" s="325">
        <f t="shared" si="27"/>
        <v>0</v>
      </c>
      <c r="DQ23" s="325">
        <v>0</v>
      </c>
      <c r="DR23" s="325">
        <v>0</v>
      </c>
      <c r="DS23" s="325">
        <v>0</v>
      </c>
      <c r="DT23" s="325">
        <v>0</v>
      </c>
      <c r="DU23" s="325">
        <v>0</v>
      </c>
      <c r="DV23" s="325">
        <v>0</v>
      </c>
      <c r="DW23" s="325">
        <v>0</v>
      </c>
      <c r="DX23" s="325">
        <v>0</v>
      </c>
      <c r="DY23" s="325">
        <v>0</v>
      </c>
      <c r="DZ23" s="325">
        <v>0</v>
      </c>
      <c r="EA23" s="325">
        <v>0</v>
      </c>
      <c r="EB23" s="325">
        <f t="shared" si="28"/>
        <v>0</v>
      </c>
      <c r="EC23" s="329">
        <v>0</v>
      </c>
      <c r="ED23" s="329">
        <v>0</v>
      </c>
      <c r="EE23" s="329">
        <v>0</v>
      </c>
      <c r="EF23" s="329">
        <v>0</v>
      </c>
      <c r="EG23" s="329">
        <v>0</v>
      </c>
      <c r="EH23" s="329">
        <v>0</v>
      </c>
      <c r="EI23" s="329">
        <v>0</v>
      </c>
      <c r="EJ23" s="329">
        <v>0</v>
      </c>
      <c r="EK23" s="329">
        <v>0</v>
      </c>
      <c r="EL23" s="329">
        <v>0</v>
      </c>
      <c r="EM23" s="329">
        <v>0</v>
      </c>
      <c r="EN23" s="330">
        <f t="shared" si="29"/>
        <v>0</v>
      </c>
      <c r="EO23" s="331">
        <v>8.4269999999999996</v>
      </c>
    </row>
    <row r="24" spans="1:145" ht="108" x14ac:dyDescent="0.25">
      <c r="A24" s="193"/>
      <c r="B24" s="175" t="s">
        <v>1166</v>
      </c>
      <c r="C24" s="175" t="s">
        <v>16</v>
      </c>
      <c r="D24" s="175">
        <v>40</v>
      </c>
      <c r="E24" s="175" t="s">
        <v>1336</v>
      </c>
      <c r="F24" s="183" t="s">
        <v>1020</v>
      </c>
      <c r="G24" s="269" t="s">
        <v>1552</v>
      </c>
      <c r="H24" s="270" t="s">
        <v>1419</v>
      </c>
      <c r="I24" s="271" t="s">
        <v>1480</v>
      </c>
      <c r="J24" s="175" t="s">
        <v>923</v>
      </c>
      <c r="K24" s="296" t="s">
        <v>1167</v>
      </c>
      <c r="L24" s="176" t="s">
        <v>1165</v>
      </c>
      <c r="M24" s="325">
        <f t="shared" si="18"/>
        <v>12841225.529999997</v>
      </c>
      <c r="N24" s="325">
        <v>0</v>
      </c>
      <c r="O24" s="325">
        <v>0</v>
      </c>
      <c r="P24" s="325">
        <v>0</v>
      </c>
      <c r="Q24" s="325">
        <v>0</v>
      </c>
      <c r="R24" s="325">
        <v>0</v>
      </c>
      <c r="S24" s="325">
        <v>0</v>
      </c>
      <c r="T24" s="325">
        <v>0</v>
      </c>
      <c r="U24" s="325">
        <v>0</v>
      </c>
      <c r="V24" s="325">
        <v>0</v>
      </c>
      <c r="W24" s="326">
        <v>313639.86</v>
      </c>
      <c r="X24" s="325">
        <f t="shared" si="19"/>
        <v>313639.86</v>
      </c>
      <c r="Y24" s="325">
        <v>0</v>
      </c>
      <c r="Z24" s="325">
        <v>0</v>
      </c>
      <c r="AA24" s="325">
        <v>0</v>
      </c>
      <c r="AB24" s="325">
        <v>0</v>
      </c>
      <c r="AC24" s="325">
        <v>0</v>
      </c>
      <c r="AD24" s="325">
        <v>0</v>
      </c>
      <c r="AE24" s="325">
        <v>0</v>
      </c>
      <c r="AF24" s="325">
        <v>0</v>
      </c>
      <c r="AG24" s="332">
        <v>0</v>
      </c>
      <c r="AH24" s="325">
        <v>0</v>
      </c>
      <c r="AI24" s="326">
        <v>49000</v>
      </c>
      <c r="AJ24" s="325">
        <f t="shared" si="20"/>
        <v>49000</v>
      </c>
      <c r="AK24" s="325">
        <v>0</v>
      </c>
      <c r="AL24" s="325">
        <v>914000.88613333332</v>
      </c>
      <c r="AM24" s="325">
        <v>0</v>
      </c>
      <c r="AN24" s="325">
        <v>7468108.6619533328</v>
      </c>
      <c r="AO24" s="325">
        <v>1317901.5285799999</v>
      </c>
      <c r="AP24" s="325">
        <v>0</v>
      </c>
      <c r="AQ24" s="325">
        <v>0</v>
      </c>
      <c r="AR24" s="325">
        <v>0</v>
      </c>
      <c r="AS24" s="325">
        <v>0</v>
      </c>
      <c r="AT24" s="325">
        <v>0</v>
      </c>
      <c r="AU24" s="325">
        <v>0</v>
      </c>
      <c r="AV24" s="326">
        <f t="shared" si="21"/>
        <v>9700011.0766666662</v>
      </c>
      <c r="AW24" s="325">
        <v>0</v>
      </c>
      <c r="AX24" s="325">
        <v>391071.82416666666</v>
      </c>
      <c r="AY24" s="325">
        <v>0</v>
      </c>
      <c r="AZ24" s="325">
        <v>2029377.3537916664</v>
      </c>
      <c r="BA24" s="325">
        <v>358125.41537499998</v>
      </c>
      <c r="BB24" s="325">
        <v>0</v>
      </c>
      <c r="BC24" s="325">
        <v>0</v>
      </c>
      <c r="BD24" s="325">
        <v>0</v>
      </c>
      <c r="BE24" s="325">
        <v>0</v>
      </c>
      <c r="BF24" s="325">
        <v>0</v>
      </c>
      <c r="BG24" s="325">
        <v>0</v>
      </c>
      <c r="BH24" s="326">
        <f t="shared" si="22"/>
        <v>2778574.5933333328</v>
      </c>
      <c r="BI24" s="325">
        <v>0</v>
      </c>
      <c r="BJ24" s="325">
        <v>0</v>
      </c>
      <c r="BK24" s="325">
        <v>0</v>
      </c>
      <c r="BL24" s="325">
        <v>0</v>
      </c>
      <c r="BM24" s="325">
        <v>0</v>
      </c>
      <c r="BN24" s="325">
        <v>0</v>
      </c>
      <c r="BO24" s="325">
        <v>0</v>
      </c>
      <c r="BP24" s="325">
        <v>0</v>
      </c>
      <c r="BQ24" s="325">
        <v>0</v>
      </c>
      <c r="BR24" s="325">
        <v>0</v>
      </c>
      <c r="BS24" s="325">
        <v>0</v>
      </c>
      <c r="BT24" s="325">
        <f t="shared" si="23"/>
        <v>0</v>
      </c>
      <c r="BU24" s="325">
        <v>0</v>
      </c>
      <c r="BV24" s="325">
        <v>0</v>
      </c>
      <c r="BW24" s="325">
        <v>0</v>
      </c>
      <c r="BX24" s="325">
        <v>0</v>
      </c>
      <c r="BY24" s="325">
        <v>0</v>
      </c>
      <c r="BZ24" s="325">
        <v>0</v>
      </c>
      <c r="CA24" s="325">
        <v>0</v>
      </c>
      <c r="CB24" s="325">
        <v>0</v>
      </c>
      <c r="CC24" s="325">
        <v>0</v>
      </c>
      <c r="CD24" s="325">
        <v>0</v>
      </c>
      <c r="CE24" s="325">
        <v>0</v>
      </c>
      <c r="CF24" s="325">
        <f t="shared" si="24"/>
        <v>0</v>
      </c>
      <c r="CG24" s="329">
        <v>0</v>
      </c>
      <c r="CH24" s="329">
        <v>0</v>
      </c>
      <c r="CI24" s="329">
        <v>0</v>
      </c>
      <c r="CJ24" s="329">
        <v>0</v>
      </c>
      <c r="CK24" s="329">
        <v>0</v>
      </c>
      <c r="CL24" s="329">
        <v>0</v>
      </c>
      <c r="CM24" s="329">
        <v>0</v>
      </c>
      <c r="CN24" s="329">
        <v>0</v>
      </c>
      <c r="CO24" s="329">
        <v>0</v>
      </c>
      <c r="CP24" s="329">
        <v>0</v>
      </c>
      <c r="CQ24" s="329">
        <v>0</v>
      </c>
      <c r="CR24" s="333">
        <f t="shared" si="25"/>
        <v>0</v>
      </c>
      <c r="CS24" s="329">
        <v>0</v>
      </c>
      <c r="CT24" s="329">
        <v>0</v>
      </c>
      <c r="CU24" s="329">
        <v>0</v>
      </c>
      <c r="CV24" s="329">
        <v>0</v>
      </c>
      <c r="CW24" s="329">
        <v>0</v>
      </c>
      <c r="CX24" s="329">
        <v>0</v>
      </c>
      <c r="CY24" s="329">
        <v>0</v>
      </c>
      <c r="CZ24" s="329">
        <v>0</v>
      </c>
      <c r="DA24" s="329">
        <v>0</v>
      </c>
      <c r="DB24" s="329">
        <v>0</v>
      </c>
      <c r="DC24" s="329">
        <v>0</v>
      </c>
      <c r="DD24" s="333">
        <f t="shared" si="26"/>
        <v>0</v>
      </c>
      <c r="DE24" s="329">
        <v>0</v>
      </c>
      <c r="DF24" s="329">
        <v>0</v>
      </c>
      <c r="DG24" s="329">
        <v>0</v>
      </c>
      <c r="DH24" s="329">
        <v>0</v>
      </c>
      <c r="DI24" s="329">
        <v>0</v>
      </c>
      <c r="DJ24" s="329">
        <v>0</v>
      </c>
      <c r="DK24" s="329">
        <v>0</v>
      </c>
      <c r="DL24" s="329">
        <v>0</v>
      </c>
      <c r="DM24" s="329">
        <v>0</v>
      </c>
      <c r="DN24" s="329">
        <v>0</v>
      </c>
      <c r="DO24" s="329">
        <v>0</v>
      </c>
      <c r="DP24" s="333">
        <f t="shared" si="27"/>
        <v>0</v>
      </c>
      <c r="DQ24" s="329">
        <v>0</v>
      </c>
      <c r="DR24" s="329">
        <v>0</v>
      </c>
      <c r="DS24" s="329">
        <v>0</v>
      </c>
      <c r="DT24" s="329">
        <v>0</v>
      </c>
      <c r="DU24" s="329">
        <v>0</v>
      </c>
      <c r="DV24" s="329">
        <v>0</v>
      </c>
      <c r="DW24" s="329">
        <v>0</v>
      </c>
      <c r="DX24" s="329">
        <v>0</v>
      </c>
      <c r="DY24" s="329">
        <v>0</v>
      </c>
      <c r="DZ24" s="329">
        <v>0</v>
      </c>
      <c r="EA24" s="329">
        <v>0</v>
      </c>
      <c r="EB24" s="333">
        <f t="shared" si="28"/>
        <v>0</v>
      </c>
      <c r="EC24" s="329">
        <v>0</v>
      </c>
      <c r="ED24" s="329">
        <v>0</v>
      </c>
      <c r="EE24" s="329">
        <v>0</v>
      </c>
      <c r="EF24" s="329">
        <v>0</v>
      </c>
      <c r="EG24" s="329">
        <v>0</v>
      </c>
      <c r="EH24" s="329">
        <v>0</v>
      </c>
      <c r="EI24" s="329">
        <v>0</v>
      </c>
      <c r="EJ24" s="329">
        <v>0</v>
      </c>
      <c r="EK24" s="329">
        <v>0</v>
      </c>
      <c r="EL24" s="329">
        <v>0</v>
      </c>
      <c r="EM24" s="329">
        <v>0</v>
      </c>
      <c r="EN24" s="330">
        <f t="shared" si="29"/>
        <v>0</v>
      </c>
      <c r="EO24" s="331">
        <v>7.5730000000000004</v>
      </c>
    </row>
    <row r="25" spans="1:145" ht="72" x14ac:dyDescent="0.25">
      <c r="A25" s="193"/>
      <c r="B25" s="175" t="s">
        <v>1168</v>
      </c>
      <c r="C25" s="175" t="s">
        <v>281</v>
      </c>
      <c r="D25" s="175">
        <v>33</v>
      </c>
      <c r="E25" s="175" t="s">
        <v>1337</v>
      </c>
      <c r="F25" s="177" t="s">
        <v>1021</v>
      </c>
      <c r="G25" s="269" t="s">
        <v>1420</v>
      </c>
      <c r="H25" s="272" t="s">
        <v>1421</v>
      </c>
      <c r="I25" s="273" t="s">
        <v>1481</v>
      </c>
      <c r="J25" s="175" t="s">
        <v>923</v>
      </c>
      <c r="K25" s="175">
        <v>2.6</v>
      </c>
      <c r="L25" s="176" t="s">
        <v>1150</v>
      </c>
      <c r="M25" s="325">
        <f t="shared" si="18"/>
        <v>11984239.999999998</v>
      </c>
      <c r="N25" s="325">
        <v>0</v>
      </c>
      <c r="O25" s="325">
        <v>0</v>
      </c>
      <c r="P25" s="325">
        <v>0</v>
      </c>
      <c r="Q25" s="325">
        <v>0</v>
      </c>
      <c r="R25" s="325">
        <v>0</v>
      </c>
      <c r="S25" s="325">
        <v>0</v>
      </c>
      <c r="T25" s="325">
        <v>0</v>
      </c>
      <c r="U25" s="325">
        <v>0</v>
      </c>
      <c r="V25" s="325">
        <v>0</v>
      </c>
      <c r="W25" s="326">
        <v>0</v>
      </c>
      <c r="X25" s="325">
        <f t="shared" si="19"/>
        <v>0</v>
      </c>
      <c r="Y25" s="325">
        <v>0</v>
      </c>
      <c r="Z25" s="325">
        <v>0</v>
      </c>
      <c r="AA25" s="325">
        <v>0</v>
      </c>
      <c r="AB25" s="325">
        <v>0</v>
      </c>
      <c r="AC25" s="325">
        <v>0</v>
      </c>
      <c r="AD25" s="325">
        <v>0</v>
      </c>
      <c r="AE25" s="325">
        <v>0</v>
      </c>
      <c r="AF25" s="325">
        <v>0</v>
      </c>
      <c r="AG25" s="332">
        <v>0</v>
      </c>
      <c r="AH25" s="325">
        <v>0</v>
      </c>
      <c r="AI25" s="326">
        <v>12500</v>
      </c>
      <c r="AJ25" s="325">
        <f t="shared" si="20"/>
        <v>12500</v>
      </c>
      <c r="AK25" s="325">
        <v>0</v>
      </c>
      <c r="AL25" s="325">
        <v>536127.90588235296</v>
      </c>
      <c r="AM25" s="325">
        <v>0</v>
      </c>
      <c r="AN25" s="325">
        <v>3774400.2799999993</v>
      </c>
      <c r="AO25" s="325">
        <v>666070.6376470587</v>
      </c>
      <c r="AP25" s="325">
        <v>0</v>
      </c>
      <c r="AQ25" s="325">
        <v>0</v>
      </c>
      <c r="AR25" s="325">
        <v>0</v>
      </c>
      <c r="AS25" s="325">
        <v>0</v>
      </c>
      <c r="AT25" s="325">
        <v>0</v>
      </c>
      <c r="AU25" s="325">
        <v>0</v>
      </c>
      <c r="AV25" s="326">
        <f t="shared" si="21"/>
        <v>4976598.8235294111</v>
      </c>
      <c r="AW25" s="325">
        <v>0</v>
      </c>
      <c r="AX25" s="325">
        <v>768828.69411764701</v>
      </c>
      <c r="AY25" s="325">
        <v>0</v>
      </c>
      <c r="AZ25" s="325">
        <v>5292365.6099999994</v>
      </c>
      <c r="BA25" s="325">
        <v>933946.87235294108</v>
      </c>
      <c r="BB25" s="325">
        <v>0</v>
      </c>
      <c r="BC25" s="325">
        <v>0</v>
      </c>
      <c r="BD25" s="325">
        <v>0</v>
      </c>
      <c r="BE25" s="325">
        <v>0</v>
      </c>
      <c r="BF25" s="325">
        <v>0</v>
      </c>
      <c r="BG25" s="325">
        <v>0</v>
      </c>
      <c r="BH25" s="326">
        <f t="shared" si="22"/>
        <v>6995141.176470587</v>
      </c>
      <c r="BI25" s="325">
        <v>0</v>
      </c>
      <c r="BJ25" s="325">
        <v>0</v>
      </c>
      <c r="BK25" s="325">
        <v>0</v>
      </c>
      <c r="BL25" s="325">
        <v>0</v>
      </c>
      <c r="BM25" s="325">
        <v>0</v>
      </c>
      <c r="BN25" s="325">
        <v>0</v>
      </c>
      <c r="BO25" s="325">
        <v>0</v>
      </c>
      <c r="BP25" s="325">
        <v>0</v>
      </c>
      <c r="BQ25" s="325">
        <v>0</v>
      </c>
      <c r="BR25" s="325">
        <v>0</v>
      </c>
      <c r="BS25" s="325">
        <v>0</v>
      </c>
      <c r="BT25" s="325">
        <f t="shared" si="23"/>
        <v>0</v>
      </c>
      <c r="BU25" s="325">
        <v>0</v>
      </c>
      <c r="BV25" s="325">
        <v>0</v>
      </c>
      <c r="BW25" s="325">
        <v>0</v>
      </c>
      <c r="BX25" s="325">
        <v>0</v>
      </c>
      <c r="BY25" s="325">
        <v>0</v>
      </c>
      <c r="BZ25" s="325">
        <v>0</v>
      </c>
      <c r="CA25" s="325">
        <v>0</v>
      </c>
      <c r="CB25" s="325">
        <v>0</v>
      </c>
      <c r="CC25" s="325">
        <v>0</v>
      </c>
      <c r="CD25" s="325">
        <v>0</v>
      </c>
      <c r="CE25" s="325">
        <v>0</v>
      </c>
      <c r="CF25" s="325">
        <f t="shared" si="24"/>
        <v>0</v>
      </c>
      <c r="CG25" s="329">
        <v>0</v>
      </c>
      <c r="CH25" s="329">
        <v>0</v>
      </c>
      <c r="CI25" s="329">
        <v>0</v>
      </c>
      <c r="CJ25" s="329">
        <v>0</v>
      </c>
      <c r="CK25" s="329">
        <v>0</v>
      </c>
      <c r="CL25" s="329">
        <v>0</v>
      </c>
      <c r="CM25" s="329">
        <v>0</v>
      </c>
      <c r="CN25" s="329">
        <v>0</v>
      </c>
      <c r="CO25" s="329">
        <v>0</v>
      </c>
      <c r="CP25" s="329">
        <v>0</v>
      </c>
      <c r="CQ25" s="329">
        <v>0</v>
      </c>
      <c r="CR25" s="333">
        <f t="shared" si="25"/>
        <v>0</v>
      </c>
      <c r="CS25" s="329">
        <v>0</v>
      </c>
      <c r="CT25" s="329">
        <v>0</v>
      </c>
      <c r="CU25" s="329">
        <v>0</v>
      </c>
      <c r="CV25" s="329">
        <v>0</v>
      </c>
      <c r="CW25" s="329">
        <v>0</v>
      </c>
      <c r="CX25" s="329">
        <v>0</v>
      </c>
      <c r="CY25" s="329">
        <v>0</v>
      </c>
      <c r="CZ25" s="329">
        <v>0</v>
      </c>
      <c r="DA25" s="329">
        <v>0</v>
      </c>
      <c r="DB25" s="329">
        <v>0</v>
      </c>
      <c r="DC25" s="329">
        <v>0</v>
      </c>
      <c r="DD25" s="333">
        <f t="shared" si="26"/>
        <v>0</v>
      </c>
      <c r="DE25" s="329">
        <v>0</v>
      </c>
      <c r="DF25" s="329">
        <v>0</v>
      </c>
      <c r="DG25" s="329">
        <v>0</v>
      </c>
      <c r="DH25" s="329">
        <v>0</v>
      </c>
      <c r="DI25" s="329">
        <v>0</v>
      </c>
      <c r="DJ25" s="329">
        <v>0</v>
      </c>
      <c r="DK25" s="329">
        <v>0</v>
      </c>
      <c r="DL25" s="329">
        <v>0</v>
      </c>
      <c r="DM25" s="329">
        <v>0</v>
      </c>
      <c r="DN25" s="329">
        <v>0</v>
      </c>
      <c r="DO25" s="329">
        <v>0</v>
      </c>
      <c r="DP25" s="333">
        <f t="shared" si="27"/>
        <v>0</v>
      </c>
      <c r="DQ25" s="329">
        <v>0</v>
      </c>
      <c r="DR25" s="329">
        <v>0</v>
      </c>
      <c r="DS25" s="329">
        <v>0</v>
      </c>
      <c r="DT25" s="329">
        <v>0</v>
      </c>
      <c r="DU25" s="329">
        <v>0</v>
      </c>
      <c r="DV25" s="329">
        <v>0</v>
      </c>
      <c r="DW25" s="329">
        <v>0</v>
      </c>
      <c r="DX25" s="329">
        <v>0</v>
      </c>
      <c r="DY25" s="329">
        <v>0</v>
      </c>
      <c r="DZ25" s="329">
        <v>0</v>
      </c>
      <c r="EA25" s="329">
        <v>0</v>
      </c>
      <c r="EB25" s="333">
        <f t="shared" si="28"/>
        <v>0</v>
      </c>
      <c r="EC25" s="329">
        <v>0</v>
      </c>
      <c r="ED25" s="329">
        <v>0</v>
      </c>
      <c r="EE25" s="329">
        <v>0</v>
      </c>
      <c r="EF25" s="329">
        <v>0</v>
      </c>
      <c r="EG25" s="329">
        <v>0</v>
      </c>
      <c r="EH25" s="329">
        <v>0</v>
      </c>
      <c r="EI25" s="329">
        <v>0</v>
      </c>
      <c r="EJ25" s="329">
        <v>0</v>
      </c>
      <c r="EK25" s="329">
        <v>0</v>
      </c>
      <c r="EL25" s="329">
        <v>0</v>
      </c>
      <c r="EM25" s="329">
        <v>0</v>
      </c>
      <c r="EN25" s="330">
        <f t="shared" si="29"/>
        <v>0</v>
      </c>
      <c r="EO25" s="331">
        <v>10.382</v>
      </c>
    </row>
    <row r="26" spans="1:145" ht="96" x14ac:dyDescent="0.25">
      <c r="A26" s="193"/>
      <c r="B26" s="175" t="s">
        <v>1166</v>
      </c>
      <c r="C26" s="175" t="s">
        <v>16</v>
      </c>
      <c r="D26" s="175">
        <v>40</v>
      </c>
      <c r="E26" s="175" t="s">
        <v>1338</v>
      </c>
      <c r="F26" s="177" t="s">
        <v>1022</v>
      </c>
      <c r="G26" s="269" t="s">
        <v>1553</v>
      </c>
      <c r="H26" s="272" t="s">
        <v>1422</v>
      </c>
      <c r="I26" s="271" t="s">
        <v>1480</v>
      </c>
      <c r="J26" s="296" t="s">
        <v>923</v>
      </c>
      <c r="K26" s="296" t="s">
        <v>1167</v>
      </c>
      <c r="L26" s="176" t="s">
        <v>1150</v>
      </c>
      <c r="M26" s="325">
        <f t="shared" si="18"/>
        <v>10117275.48</v>
      </c>
      <c r="N26" s="325">
        <v>0</v>
      </c>
      <c r="O26" s="325">
        <v>0</v>
      </c>
      <c r="P26" s="325">
        <v>0</v>
      </c>
      <c r="Q26" s="325">
        <v>0</v>
      </c>
      <c r="R26" s="325">
        <v>0</v>
      </c>
      <c r="S26" s="325">
        <v>0</v>
      </c>
      <c r="T26" s="325">
        <v>0</v>
      </c>
      <c r="U26" s="325">
        <v>0</v>
      </c>
      <c r="V26" s="325">
        <v>0</v>
      </c>
      <c r="W26" s="326">
        <f>299240+4712.16</f>
        <v>303952.15999999997</v>
      </c>
      <c r="X26" s="325">
        <f t="shared" si="19"/>
        <v>303952.15999999997</v>
      </c>
      <c r="Y26" s="325">
        <v>0</v>
      </c>
      <c r="Z26" s="325">
        <v>0</v>
      </c>
      <c r="AA26" s="325">
        <v>0</v>
      </c>
      <c r="AB26" s="325">
        <v>0</v>
      </c>
      <c r="AC26" s="325">
        <v>0</v>
      </c>
      <c r="AD26" s="325">
        <v>0</v>
      </c>
      <c r="AE26" s="325">
        <v>0</v>
      </c>
      <c r="AF26" s="325">
        <v>0</v>
      </c>
      <c r="AG26" s="332">
        <v>0</v>
      </c>
      <c r="AH26" s="325">
        <v>0</v>
      </c>
      <c r="AI26" s="326">
        <v>30298.17</v>
      </c>
      <c r="AJ26" s="325">
        <f t="shared" si="20"/>
        <v>30298.17</v>
      </c>
      <c r="AK26" s="325">
        <v>0</v>
      </c>
      <c r="AL26" s="325">
        <v>0</v>
      </c>
      <c r="AM26" s="325">
        <v>0</v>
      </c>
      <c r="AN26" s="325">
        <v>425000</v>
      </c>
      <c r="AO26" s="325">
        <v>75000</v>
      </c>
      <c r="AP26" s="325">
        <v>0</v>
      </c>
      <c r="AQ26" s="325">
        <v>0</v>
      </c>
      <c r="AR26" s="325">
        <v>0</v>
      </c>
      <c r="AS26" s="325">
        <v>0</v>
      </c>
      <c r="AT26" s="325">
        <v>0</v>
      </c>
      <c r="AU26" s="325">
        <v>0</v>
      </c>
      <c r="AV26" s="326">
        <f t="shared" si="21"/>
        <v>500000</v>
      </c>
      <c r="AW26" s="325">
        <v>0</v>
      </c>
      <c r="AX26" s="325">
        <v>725000</v>
      </c>
      <c r="AY26" s="325">
        <v>0</v>
      </c>
      <c r="AZ26" s="325">
        <v>7274321.3775000004</v>
      </c>
      <c r="BA26" s="325">
        <v>1283703.7725</v>
      </c>
      <c r="BB26" s="325">
        <v>0</v>
      </c>
      <c r="BC26" s="325">
        <v>0</v>
      </c>
      <c r="BD26" s="325">
        <v>0</v>
      </c>
      <c r="BE26" s="325">
        <v>0</v>
      </c>
      <c r="BF26" s="325">
        <v>0</v>
      </c>
      <c r="BG26" s="325">
        <v>0</v>
      </c>
      <c r="BH26" s="326">
        <f t="shared" si="22"/>
        <v>9283025.1500000004</v>
      </c>
      <c r="BI26" s="325">
        <v>0</v>
      </c>
      <c r="BJ26" s="325">
        <v>0</v>
      </c>
      <c r="BK26" s="325">
        <v>0</v>
      </c>
      <c r="BL26" s="325">
        <v>0</v>
      </c>
      <c r="BM26" s="325">
        <v>0</v>
      </c>
      <c r="BN26" s="325">
        <v>0</v>
      </c>
      <c r="BO26" s="325">
        <v>0</v>
      </c>
      <c r="BP26" s="325">
        <v>0</v>
      </c>
      <c r="BQ26" s="325">
        <v>0</v>
      </c>
      <c r="BR26" s="325">
        <v>0</v>
      </c>
      <c r="BS26" s="325">
        <v>0</v>
      </c>
      <c r="BT26" s="325">
        <f t="shared" si="23"/>
        <v>0</v>
      </c>
      <c r="BU26" s="325">
        <v>0</v>
      </c>
      <c r="BV26" s="325">
        <v>0</v>
      </c>
      <c r="BW26" s="325">
        <v>0</v>
      </c>
      <c r="BX26" s="325">
        <v>0</v>
      </c>
      <c r="BY26" s="325">
        <v>0</v>
      </c>
      <c r="BZ26" s="325">
        <v>0</v>
      </c>
      <c r="CA26" s="325">
        <v>0</v>
      </c>
      <c r="CB26" s="325">
        <v>0</v>
      </c>
      <c r="CC26" s="325">
        <v>0</v>
      </c>
      <c r="CD26" s="325">
        <v>0</v>
      </c>
      <c r="CE26" s="325">
        <v>0</v>
      </c>
      <c r="CF26" s="325">
        <f t="shared" si="24"/>
        <v>0</v>
      </c>
      <c r="CG26" s="329">
        <v>0</v>
      </c>
      <c r="CH26" s="329">
        <v>0</v>
      </c>
      <c r="CI26" s="329">
        <v>0</v>
      </c>
      <c r="CJ26" s="329">
        <v>0</v>
      </c>
      <c r="CK26" s="329">
        <v>0</v>
      </c>
      <c r="CL26" s="329">
        <v>0</v>
      </c>
      <c r="CM26" s="329">
        <v>0</v>
      </c>
      <c r="CN26" s="329">
        <v>0</v>
      </c>
      <c r="CO26" s="329">
        <v>0</v>
      </c>
      <c r="CP26" s="329">
        <v>0</v>
      </c>
      <c r="CQ26" s="329">
        <v>0</v>
      </c>
      <c r="CR26" s="333">
        <f t="shared" si="25"/>
        <v>0</v>
      </c>
      <c r="CS26" s="329">
        <v>0</v>
      </c>
      <c r="CT26" s="329">
        <v>0</v>
      </c>
      <c r="CU26" s="329">
        <v>0</v>
      </c>
      <c r="CV26" s="329">
        <v>0</v>
      </c>
      <c r="CW26" s="329">
        <v>0</v>
      </c>
      <c r="CX26" s="329">
        <v>0</v>
      </c>
      <c r="CY26" s="329">
        <v>0</v>
      </c>
      <c r="CZ26" s="329">
        <v>0</v>
      </c>
      <c r="DA26" s="329">
        <v>0</v>
      </c>
      <c r="DB26" s="329">
        <v>0</v>
      </c>
      <c r="DC26" s="329">
        <v>0</v>
      </c>
      <c r="DD26" s="333">
        <f t="shared" si="26"/>
        <v>0</v>
      </c>
      <c r="DE26" s="329">
        <v>0</v>
      </c>
      <c r="DF26" s="329">
        <v>0</v>
      </c>
      <c r="DG26" s="329">
        <v>0</v>
      </c>
      <c r="DH26" s="329">
        <v>0</v>
      </c>
      <c r="DI26" s="329">
        <v>0</v>
      </c>
      <c r="DJ26" s="329">
        <v>0</v>
      </c>
      <c r="DK26" s="329">
        <v>0</v>
      </c>
      <c r="DL26" s="329">
        <v>0</v>
      </c>
      <c r="DM26" s="329">
        <v>0</v>
      </c>
      <c r="DN26" s="329">
        <v>0</v>
      </c>
      <c r="DO26" s="329">
        <v>0</v>
      </c>
      <c r="DP26" s="333">
        <f t="shared" si="27"/>
        <v>0</v>
      </c>
      <c r="DQ26" s="329">
        <v>0</v>
      </c>
      <c r="DR26" s="329">
        <v>0</v>
      </c>
      <c r="DS26" s="329">
        <v>0</v>
      </c>
      <c r="DT26" s="329">
        <v>0</v>
      </c>
      <c r="DU26" s="329">
        <v>0</v>
      </c>
      <c r="DV26" s="329">
        <v>0</v>
      </c>
      <c r="DW26" s="329">
        <v>0</v>
      </c>
      <c r="DX26" s="329">
        <v>0</v>
      </c>
      <c r="DY26" s="329">
        <v>0</v>
      </c>
      <c r="DZ26" s="329">
        <v>0</v>
      </c>
      <c r="EA26" s="329">
        <v>0</v>
      </c>
      <c r="EB26" s="333">
        <f t="shared" si="28"/>
        <v>0</v>
      </c>
      <c r="EC26" s="329">
        <v>0</v>
      </c>
      <c r="ED26" s="329">
        <v>0</v>
      </c>
      <c r="EE26" s="329">
        <v>0</v>
      </c>
      <c r="EF26" s="329">
        <v>0</v>
      </c>
      <c r="EG26" s="329">
        <v>0</v>
      </c>
      <c r="EH26" s="329">
        <v>0</v>
      </c>
      <c r="EI26" s="329">
        <v>0</v>
      </c>
      <c r="EJ26" s="329">
        <v>0</v>
      </c>
      <c r="EK26" s="329">
        <v>0</v>
      </c>
      <c r="EL26" s="329">
        <v>0</v>
      </c>
      <c r="EM26" s="329">
        <v>0</v>
      </c>
      <c r="EN26" s="330">
        <f t="shared" si="29"/>
        <v>0</v>
      </c>
      <c r="EO26" s="331">
        <v>4.95</v>
      </c>
    </row>
    <row r="27" spans="1:145" ht="96" x14ac:dyDescent="0.25">
      <c r="A27" s="193"/>
      <c r="B27" s="176" t="s">
        <v>1205</v>
      </c>
      <c r="C27" s="176" t="s">
        <v>276</v>
      </c>
      <c r="D27" s="176" t="s">
        <v>1204</v>
      </c>
      <c r="E27" s="176" t="s">
        <v>1339</v>
      </c>
      <c r="F27" s="177" t="s">
        <v>1024</v>
      </c>
      <c r="G27" s="269" t="s">
        <v>1554</v>
      </c>
      <c r="H27" s="272" t="s">
        <v>1423</v>
      </c>
      <c r="I27" s="271" t="s">
        <v>1504</v>
      </c>
      <c r="J27" s="175" t="s">
        <v>923</v>
      </c>
      <c r="K27" s="175" t="s">
        <v>1215</v>
      </c>
      <c r="L27" s="176" t="s">
        <v>1050</v>
      </c>
      <c r="M27" s="325">
        <f t="shared" si="18"/>
        <v>10462003.030000001</v>
      </c>
      <c r="N27" s="325">
        <v>0</v>
      </c>
      <c r="O27" s="325">
        <v>0</v>
      </c>
      <c r="P27" s="325">
        <v>0</v>
      </c>
      <c r="Q27" s="325">
        <v>0</v>
      </c>
      <c r="R27" s="325">
        <v>0</v>
      </c>
      <c r="S27" s="325">
        <v>0</v>
      </c>
      <c r="T27" s="325">
        <v>0</v>
      </c>
      <c r="U27" s="325">
        <v>0</v>
      </c>
      <c r="V27" s="325">
        <v>0</v>
      </c>
      <c r="W27" s="326">
        <v>205938.3</v>
      </c>
      <c r="X27" s="325">
        <f t="shared" si="19"/>
        <v>205938.3</v>
      </c>
      <c r="Y27" s="325">
        <v>0</v>
      </c>
      <c r="Z27" s="325">
        <v>0</v>
      </c>
      <c r="AA27" s="325">
        <v>0</v>
      </c>
      <c r="AB27" s="325">
        <v>0</v>
      </c>
      <c r="AC27" s="325">
        <v>0</v>
      </c>
      <c r="AD27" s="325">
        <v>0</v>
      </c>
      <c r="AE27" s="325">
        <v>0</v>
      </c>
      <c r="AF27" s="325">
        <v>0</v>
      </c>
      <c r="AG27" s="332">
        <v>0</v>
      </c>
      <c r="AH27" s="325">
        <v>0</v>
      </c>
      <c r="AI27" s="326">
        <v>49692.18</v>
      </c>
      <c r="AJ27" s="325">
        <f t="shared" si="20"/>
        <v>49692.18</v>
      </c>
      <c r="AK27" s="325">
        <v>0</v>
      </c>
      <c r="AL27" s="325">
        <v>750000</v>
      </c>
      <c r="AM27" s="325">
        <v>0</v>
      </c>
      <c r="AN27" s="325">
        <v>8037916.6675000004</v>
      </c>
      <c r="AO27" s="325">
        <v>1418455.8825000001</v>
      </c>
      <c r="AP27" s="325">
        <v>0</v>
      </c>
      <c r="AQ27" s="325">
        <v>0</v>
      </c>
      <c r="AR27" s="325">
        <v>0</v>
      </c>
      <c r="AS27" s="325">
        <v>0</v>
      </c>
      <c r="AT27" s="325">
        <v>0</v>
      </c>
      <c r="AU27" s="325">
        <v>0</v>
      </c>
      <c r="AV27" s="326">
        <f t="shared" si="21"/>
        <v>10206372.550000001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>
        <v>0</v>
      </c>
      <c r="BC27" s="325">
        <v>0</v>
      </c>
      <c r="BD27" s="325">
        <v>0</v>
      </c>
      <c r="BE27" s="325">
        <v>0</v>
      </c>
      <c r="BF27" s="325">
        <v>0</v>
      </c>
      <c r="BG27" s="325">
        <v>0</v>
      </c>
      <c r="BH27" s="326">
        <f t="shared" si="22"/>
        <v>0</v>
      </c>
      <c r="BI27" s="325">
        <v>0</v>
      </c>
      <c r="BJ27" s="325">
        <v>0</v>
      </c>
      <c r="BK27" s="325">
        <v>0</v>
      </c>
      <c r="BL27" s="325">
        <v>0</v>
      </c>
      <c r="BM27" s="325">
        <v>0</v>
      </c>
      <c r="BN27" s="325">
        <v>0</v>
      </c>
      <c r="BO27" s="325">
        <v>0</v>
      </c>
      <c r="BP27" s="325">
        <v>0</v>
      </c>
      <c r="BQ27" s="325">
        <v>0</v>
      </c>
      <c r="BR27" s="325">
        <v>0</v>
      </c>
      <c r="BS27" s="325">
        <v>0</v>
      </c>
      <c r="BT27" s="325">
        <f t="shared" si="23"/>
        <v>0</v>
      </c>
      <c r="BU27" s="325">
        <v>0</v>
      </c>
      <c r="BV27" s="325">
        <v>0</v>
      </c>
      <c r="BW27" s="325">
        <v>0</v>
      </c>
      <c r="BX27" s="325">
        <v>0</v>
      </c>
      <c r="BY27" s="325">
        <v>0</v>
      </c>
      <c r="BZ27" s="325">
        <v>0</v>
      </c>
      <c r="CA27" s="325">
        <v>0</v>
      </c>
      <c r="CB27" s="325">
        <v>0</v>
      </c>
      <c r="CC27" s="325">
        <v>0</v>
      </c>
      <c r="CD27" s="325">
        <v>0</v>
      </c>
      <c r="CE27" s="325">
        <v>0</v>
      </c>
      <c r="CF27" s="325">
        <f t="shared" si="24"/>
        <v>0</v>
      </c>
      <c r="CG27" s="329">
        <v>0</v>
      </c>
      <c r="CH27" s="329">
        <v>0</v>
      </c>
      <c r="CI27" s="329">
        <v>0</v>
      </c>
      <c r="CJ27" s="329">
        <v>0</v>
      </c>
      <c r="CK27" s="329">
        <v>0</v>
      </c>
      <c r="CL27" s="329">
        <v>0</v>
      </c>
      <c r="CM27" s="329">
        <v>0</v>
      </c>
      <c r="CN27" s="329">
        <v>0</v>
      </c>
      <c r="CO27" s="329">
        <v>0</v>
      </c>
      <c r="CP27" s="329">
        <v>0</v>
      </c>
      <c r="CQ27" s="329">
        <v>0</v>
      </c>
      <c r="CR27" s="333">
        <f t="shared" si="25"/>
        <v>0</v>
      </c>
      <c r="CS27" s="329">
        <v>0</v>
      </c>
      <c r="CT27" s="329">
        <v>0</v>
      </c>
      <c r="CU27" s="329">
        <v>0</v>
      </c>
      <c r="CV27" s="329">
        <v>0</v>
      </c>
      <c r="CW27" s="329">
        <v>0</v>
      </c>
      <c r="CX27" s="329">
        <v>0</v>
      </c>
      <c r="CY27" s="329">
        <v>0</v>
      </c>
      <c r="CZ27" s="329">
        <v>0</v>
      </c>
      <c r="DA27" s="329">
        <v>0</v>
      </c>
      <c r="DB27" s="329">
        <v>0</v>
      </c>
      <c r="DC27" s="329">
        <v>0</v>
      </c>
      <c r="DD27" s="333">
        <f t="shared" si="26"/>
        <v>0</v>
      </c>
      <c r="DE27" s="329">
        <v>0</v>
      </c>
      <c r="DF27" s="329">
        <v>0</v>
      </c>
      <c r="DG27" s="329">
        <v>0</v>
      </c>
      <c r="DH27" s="329">
        <v>0</v>
      </c>
      <c r="DI27" s="329">
        <v>0</v>
      </c>
      <c r="DJ27" s="329">
        <v>0</v>
      </c>
      <c r="DK27" s="329">
        <v>0</v>
      </c>
      <c r="DL27" s="329">
        <v>0</v>
      </c>
      <c r="DM27" s="329">
        <v>0</v>
      </c>
      <c r="DN27" s="329">
        <v>0</v>
      </c>
      <c r="DO27" s="329">
        <v>0</v>
      </c>
      <c r="DP27" s="333">
        <f t="shared" si="27"/>
        <v>0</v>
      </c>
      <c r="DQ27" s="329">
        <v>0</v>
      </c>
      <c r="DR27" s="329">
        <v>0</v>
      </c>
      <c r="DS27" s="329">
        <v>0</v>
      </c>
      <c r="DT27" s="329">
        <v>0</v>
      </c>
      <c r="DU27" s="329">
        <v>0</v>
      </c>
      <c r="DV27" s="329">
        <v>0</v>
      </c>
      <c r="DW27" s="329">
        <v>0</v>
      </c>
      <c r="DX27" s="329">
        <v>0</v>
      </c>
      <c r="DY27" s="329">
        <v>0</v>
      </c>
      <c r="DZ27" s="329">
        <v>0</v>
      </c>
      <c r="EA27" s="329">
        <v>0</v>
      </c>
      <c r="EB27" s="333">
        <f t="shared" si="28"/>
        <v>0</v>
      </c>
      <c r="EC27" s="329">
        <v>0</v>
      </c>
      <c r="ED27" s="329">
        <v>0</v>
      </c>
      <c r="EE27" s="329">
        <v>0</v>
      </c>
      <c r="EF27" s="329">
        <v>0</v>
      </c>
      <c r="EG27" s="329">
        <v>0</v>
      </c>
      <c r="EH27" s="329">
        <v>0</v>
      </c>
      <c r="EI27" s="329">
        <v>0</v>
      </c>
      <c r="EJ27" s="329">
        <v>0</v>
      </c>
      <c r="EK27" s="329">
        <v>0</v>
      </c>
      <c r="EL27" s="329">
        <v>0</v>
      </c>
      <c r="EM27" s="329">
        <v>0</v>
      </c>
      <c r="EN27" s="330">
        <f t="shared" si="29"/>
        <v>0</v>
      </c>
      <c r="EO27" s="331" t="s">
        <v>1535</v>
      </c>
    </row>
    <row r="28" spans="1:145" ht="108" x14ac:dyDescent="0.25">
      <c r="A28" s="193"/>
      <c r="B28" s="176" t="s">
        <v>1234</v>
      </c>
      <c r="C28" s="176" t="s">
        <v>234</v>
      </c>
      <c r="D28" s="176"/>
      <c r="E28" s="176" t="s">
        <v>1340</v>
      </c>
      <c r="F28" s="177" t="s">
        <v>1030</v>
      </c>
      <c r="G28" s="269" t="s">
        <v>1424</v>
      </c>
      <c r="H28" s="272" t="s">
        <v>1425</v>
      </c>
      <c r="I28" s="271" t="s">
        <v>1505</v>
      </c>
      <c r="J28" s="175" t="s">
        <v>923</v>
      </c>
      <c r="K28" s="185"/>
      <c r="L28" s="176" t="s">
        <v>1050</v>
      </c>
      <c r="M28" s="325">
        <f t="shared" si="18"/>
        <v>6916559.8100000005</v>
      </c>
      <c r="N28" s="325">
        <v>0</v>
      </c>
      <c r="O28" s="325">
        <v>0</v>
      </c>
      <c r="P28" s="325">
        <v>0</v>
      </c>
      <c r="Q28" s="325">
        <v>0</v>
      </c>
      <c r="R28" s="325">
        <v>0</v>
      </c>
      <c r="S28" s="325">
        <v>0</v>
      </c>
      <c r="T28" s="325">
        <v>0</v>
      </c>
      <c r="U28" s="325">
        <v>0</v>
      </c>
      <c r="V28" s="325">
        <v>0</v>
      </c>
      <c r="W28" s="326">
        <v>14995.81</v>
      </c>
      <c r="X28" s="325">
        <f t="shared" si="19"/>
        <v>14995.81</v>
      </c>
      <c r="Y28" s="325">
        <v>0</v>
      </c>
      <c r="Z28" s="325">
        <v>0</v>
      </c>
      <c r="AA28" s="325">
        <v>0</v>
      </c>
      <c r="AB28" s="325">
        <v>0</v>
      </c>
      <c r="AC28" s="325">
        <v>0</v>
      </c>
      <c r="AD28" s="325">
        <v>0</v>
      </c>
      <c r="AE28" s="325">
        <v>0</v>
      </c>
      <c r="AF28" s="325">
        <v>0</v>
      </c>
      <c r="AG28" s="332">
        <v>0</v>
      </c>
      <c r="AH28" s="325">
        <v>0</v>
      </c>
      <c r="AI28" s="326">
        <v>284814</v>
      </c>
      <c r="AJ28" s="325">
        <f t="shared" si="20"/>
        <v>284814</v>
      </c>
      <c r="AK28" s="325">
        <v>0</v>
      </c>
      <c r="AL28" s="325">
        <v>0</v>
      </c>
      <c r="AM28" s="325">
        <v>0</v>
      </c>
      <c r="AN28" s="325">
        <v>545423.75</v>
      </c>
      <c r="AO28" s="325">
        <v>96251.25</v>
      </c>
      <c r="AP28" s="325">
        <v>0</v>
      </c>
      <c r="AQ28" s="325">
        <v>0</v>
      </c>
      <c r="AR28" s="325">
        <v>0</v>
      </c>
      <c r="AS28" s="325">
        <v>0</v>
      </c>
      <c r="AT28" s="325">
        <v>0</v>
      </c>
      <c r="AU28" s="325">
        <v>0</v>
      </c>
      <c r="AV28" s="326">
        <f t="shared" si="21"/>
        <v>641675</v>
      </c>
      <c r="AW28" s="325">
        <v>0</v>
      </c>
      <c r="AX28" s="325">
        <v>777507.5</v>
      </c>
      <c r="AY28" s="325">
        <v>0</v>
      </c>
      <c r="AZ28" s="325">
        <v>4417932.375</v>
      </c>
      <c r="BA28" s="325">
        <v>779635.125</v>
      </c>
      <c r="BB28" s="325">
        <v>0</v>
      </c>
      <c r="BC28" s="325">
        <v>0</v>
      </c>
      <c r="BD28" s="325">
        <v>0</v>
      </c>
      <c r="BE28" s="325">
        <v>0</v>
      </c>
      <c r="BF28" s="325">
        <v>0</v>
      </c>
      <c r="BG28" s="325">
        <v>0</v>
      </c>
      <c r="BH28" s="325">
        <f t="shared" si="22"/>
        <v>5975075</v>
      </c>
      <c r="BI28" s="325">
        <v>0</v>
      </c>
      <c r="BJ28" s="325">
        <v>0</v>
      </c>
      <c r="BK28" s="325">
        <v>0</v>
      </c>
      <c r="BL28" s="325">
        <v>0</v>
      </c>
      <c r="BM28" s="325">
        <v>0</v>
      </c>
      <c r="BN28" s="325">
        <v>0</v>
      </c>
      <c r="BO28" s="325">
        <v>0</v>
      </c>
      <c r="BP28" s="325">
        <v>0</v>
      </c>
      <c r="BQ28" s="325">
        <v>0</v>
      </c>
      <c r="BR28" s="325">
        <v>0</v>
      </c>
      <c r="BS28" s="325">
        <v>0</v>
      </c>
      <c r="BT28" s="325">
        <f t="shared" si="23"/>
        <v>0</v>
      </c>
      <c r="BU28" s="325">
        <v>0</v>
      </c>
      <c r="BV28" s="325">
        <v>0</v>
      </c>
      <c r="BW28" s="325">
        <v>0</v>
      </c>
      <c r="BX28" s="325">
        <v>0</v>
      </c>
      <c r="BY28" s="325">
        <v>0</v>
      </c>
      <c r="BZ28" s="325">
        <v>0</v>
      </c>
      <c r="CA28" s="325">
        <v>0</v>
      </c>
      <c r="CB28" s="325">
        <v>0</v>
      </c>
      <c r="CC28" s="325">
        <v>0</v>
      </c>
      <c r="CD28" s="325">
        <v>0</v>
      </c>
      <c r="CE28" s="325">
        <v>0</v>
      </c>
      <c r="CF28" s="325">
        <f t="shared" si="24"/>
        <v>0</v>
      </c>
      <c r="CG28" s="329">
        <v>0</v>
      </c>
      <c r="CH28" s="329">
        <v>0</v>
      </c>
      <c r="CI28" s="329">
        <v>0</v>
      </c>
      <c r="CJ28" s="329">
        <v>0</v>
      </c>
      <c r="CK28" s="329">
        <v>0</v>
      </c>
      <c r="CL28" s="329">
        <v>0</v>
      </c>
      <c r="CM28" s="329">
        <v>0</v>
      </c>
      <c r="CN28" s="329">
        <v>0</v>
      </c>
      <c r="CO28" s="329">
        <v>0</v>
      </c>
      <c r="CP28" s="329">
        <v>0</v>
      </c>
      <c r="CQ28" s="329">
        <v>0</v>
      </c>
      <c r="CR28" s="333">
        <f t="shared" si="25"/>
        <v>0</v>
      </c>
      <c r="CS28" s="329">
        <v>0</v>
      </c>
      <c r="CT28" s="329">
        <v>0</v>
      </c>
      <c r="CU28" s="329">
        <v>0</v>
      </c>
      <c r="CV28" s="329">
        <v>0</v>
      </c>
      <c r="CW28" s="329">
        <v>0</v>
      </c>
      <c r="CX28" s="329">
        <v>0</v>
      </c>
      <c r="CY28" s="329">
        <v>0</v>
      </c>
      <c r="CZ28" s="329">
        <v>0</v>
      </c>
      <c r="DA28" s="329">
        <v>0</v>
      </c>
      <c r="DB28" s="329">
        <v>0</v>
      </c>
      <c r="DC28" s="329">
        <v>0</v>
      </c>
      <c r="DD28" s="333">
        <f t="shared" si="26"/>
        <v>0</v>
      </c>
      <c r="DE28" s="329">
        <v>0</v>
      </c>
      <c r="DF28" s="329">
        <v>0</v>
      </c>
      <c r="DG28" s="329">
        <v>0</v>
      </c>
      <c r="DH28" s="329">
        <v>0</v>
      </c>
      <c r="DI28" s="329">
        <v>0</v>
      </c>
      <c r="DJ28" s="329">
        <v>0</v>
      </c>
      <c r="DK28" s="329">
        <v>0</v>
      </c>
      <c r="DL28" s="329">
        <v>0</v>
      </c>
      <c r="DM28" s="329">
        <v>0</v>
      </c>
      <c r="DN28" s="329">
        <v>0</v>
      </c>
      <c r="DO28" s="329">
        <v>0</v>
      </c>
      <c r="DP28" s="333">
        <f t="shared" si="27"/>
        <v>0</v>
      </c>
      <c r="DQ28" s="329">
        <v>0</v>
      </c>
      <c r="DR28" s="329">
        <v>0</v>
      </c>
      <c r="DS28" s="329">
        <v>0</v>
      </c>
      <c r="DT28" s="329">
        <v>0</v>
      </c>
      <c r="DU28" s="329">
        <v>0</v>
      </c>
      <c r="DV28" s="329">
        <v>0</v>
      </c>
      <c r="DW28" s="329">
        <v>0</v>
      </c>
      <c r="DX28" s="329">
        <v>0</v>
      </c>
      <c r="DY28" s="329">
        <v>0</v>
      </c>
      <c r="DZ28" s="329">
        <v>0</v>
      </c>
      <c r="EA28" s="329">
        <v>0</v>
      </c>
      <c r="EB28" s="333">
        <f t="shared" si="28"/>
        <v>0</v>
      </c>
      <c r="EC28" s="329">
        <v>0</v>
      </c>
      <c r="ED28" s="329">
        <v>0</v>
      </c>
      <c r="EE28" s="329">
        <v>0</v>
      </c>
      <c r="EF28" s="329">
        <v>0</v>
      </c>
      <c r="EG28" s="329">
        <v>0</v>
      </c>
      <c r="EH28" s="329">
        <v>0</v>
      </c>
      <c r="EI28" s="329">
        <v>0</v>
      </c>
      <c r="EJ28" s="329">
        <v>0</v>
      </c>
      <c r="EK28" s="329">
        <v>0</v>
      </c>
      <c r="EL28" s="329">
        <v>0</v>
      </c>
      <c r="EM28" s="329">
        <v>0</v>
      </c>
      <c r="EN28" s="330">
        <f t="shared" si="29"/>
        <v>0</v>
      </c>
      <c r="EO28" s="331">
        <v>6.5960000000000001</v>
      </c>
    </row>
    <row r="29" spans="1:145" ht="48" x14ac:dyDescent="0.25">
      <c r="A29" s="193"/>
      <c r="B29" s="176" t="s">
        <v>1223</v>
      </c>
      <c r="C29" s="176" t="s">
        <v>206</v>
      </c>
      <c r="D29" s="176"/>
      <c r="E29" s="176" t="s">
        <v>1341</v>
      </c>
      <c r="F29" s="177" t="s">
        <v>1173</v>
      </c>
      <c r="G29" s="269" t="s">
        <v>1426</v>
      </c>
      <c r="H29" s="272" t="s">
        <v>1427</v>
      </c>
      <c r="I29" s="271" t="s">
        <v>1506</v>
      </c>
      <c r="J29" s="175" t="s">
        <v>923</v>
      </c>
      <c r="K29" s="185"/>
      <c r="L29" s="176" t="s">
        <v>1050</v>
      </c>
      <c r="M29" s="325">
        <f t="shared" si="18"/>
        <v>6332462.9800000004</v>
      </c>
      <c r="N29" s="325">
        <v>0</v>
      </c>
      <c r="O29" s="325">
        <v>0</v>
      </c>
      <c r="P29" s="325">
        <v>0</v>
      </c>
      <c r="Q29" s="325">
        <v>0</v>
      </c>
      <c r="R29" s="325">
        <v>0</v>
      </c>
      <c r="S29" s="325">
        <v>0</v>
      </c>
      <c r="T29" s="325">
        <v>0</v>
      </c>
      <c r="U29" s="325">
        <v>0</v>
      </c>
      <c r="V29" s="325">
        <v>0</v>
      </c>
      <c r="W29" s="326">
        <v>167500</v>
      </c>
      <c r="X29" s="325">
        <f t="shared" si="19"/>
        <v>167500</v>
      </c>
      <c r="Y29" s="325">
        <v>0</v>
      </c>
      <c r="Z29" s="325">
        <v>0</v>
      </c>
      <c r="AA29" s="325">
        <v>0</v>
      </c>
      <c r="AB29" s="325">
        <v>0</v>
      </c>
      <c r="AC29" s="325">
        <v>0</v>
      </c>
      <c r="AD29" s="325">
        <v>0</v>
      </c>
      <c r="AE29" s="325">
        <v>0</v>
      </c>
      <c r="AF29" s="325">
        <v>0</v>
      </c>
      <c r="AG29" s="332">
        <v>0</v>
      </c>
      <c r="AH29" s="325">
        <v>0</v>
      </c>
      <c r="AI29" s="326">
        <v>44350</v>
      </c>
      <c r="AJ29" s="325">
        <f t="shared" si="20"/>
        <v>44350</v>
      </c>
      <c r="AK29" s="325">
        <v>0</v>
      </c>
      <c r="AL29" s="325">
        <v>446030.64900000003</v>
      </c>
      <c r="AM29" s="325">
        <v>0</v>
      </c>
      <c r="AN29" s="325">
        <v>2893699.5939750001</v>
      </c>
      <c r="AO29" s="325">
        <v>510652.86952499999</v>
      </c>
      <c r="AP29" s="325">
        <v>0</v>
      </c>
      <c r="AQ29" s="325">
        <v>0</v>
      </c>
      <c r="AR29" s="325">
        <v>0</v>
      </c>
      <c r="AS29" s="325">
        <v>0</v>
      </c>
      <c r="AT29" s="325">
        <v>0</v>
      </c>
      <c r="AU29" s="325">
        <v>0</v>
      </c>
      <c r="AV29" s="326">
        <f t="shared" si="21"/>
        <v>3850383.1125000003</v>
      </c>
      <c r="AW29" s="325">
        <v>0</v>
      </c>
      <c r="AX29" s="325">
        <v>286824.51919999998</v>
      </c>
      <c r="AY29" s="325">
        <v>0</v>
      </c>
      <c r="AZ29" s="325">
        <v>1685894.5460549998</v>
      </c>
      <c r="BA29" s="325">
        <v>297510.80224499997</v>
      </c>
      <c r="BB29" s="325">
        <v>0</v>
      </c>
      <c r="BC29" s="325">
        <v>0</v>
      </c>
      <c r="BD29" s="325">
        <v>0</v>
      </c>
      <c r="BE29" s="325">
        <v>0</v>
      </c>
      <c r="BF29" s="325">
        <v>0</v>
      </c>
      <c r="BG29" s="325">
        <v>0</v>
      </c>
      <c r="BH29" s="325">
        <f t="shared" si="22"/>
        <v>2270229.8674999997</v>
      </c>
      <c r="BI29" s="325">
        <v>0</v>
      </c>
      <c r="BJ29" s="325">
        <v>0</v>
      </c>
      <c r="BK29" s="325">
        <v>0</v>
      </c>
      <c r="BL29" s="325">
        <v>0</v>
      </c>
      <c r="BM29" s="325">
        <v>0</v>
      </c>
      <c r="BN29" s="325">
        <v>0</v>
      </c>
      <c r="BO29" s="325">
        <v>0</v>
      </c>
      <c r="BP29" s="325">
        <v>0</v>
      </c>
      <c r="BQ29" s="325">
        <v>0</v>
      </c>
      <c r="BR29" s="325">
        <v>0</v>
      </c>
      <c r="BS29" s="325">
        <v>0</v>
      </c>
      <c r="BT29" s="325">
        <f t="shared" si="23"/>
        <v>0</v>
      </c>
      <c r="BU29" s="325">
        <v>0</v>
      </c>
      <c r="BV29" s="325">
        <v>0</v>
      </c>
      <c r="BW29" s="325">
        <v>0</v>
      </c>
      <c r="BX29" s="325">
        <v>0</v>
      </c>
      <c r="BY29" s="325">
        <v>0</v>
      </c>
      <c r="BZ29" s="325">
        <v>0</v>
      </c>
      <c r="CA29" s="325">
        <v>0</v>
      </c>
      <c r="CB29" s="325">
        <v>0</v>
      </c>
      <c r="CC29" s="325">
        <v>0</v>
      </c>
      <c r="CD29" s="325">
        <v>0</v>
      </c>
      <c r="CE29" s="325">
        <v>0</v>
      </c>
      <c r="CF29" s="325">
        <f t="shared" si="24"/>
        <v>0</v>
      </c>
      <c r="CG29" s="329">
        <v>0</v>
      </c>
      <c r="CH29" s="329">
        <v>0</v>
      </c>
      <c r="CI29" s="329">
        <v>0</v>
      </c>
      <c r="CJ29" s="329">
        <v>0</v>
      </c>
      <c r="CK29" s="329">
        <v>0</v>
      </c>
      <c r="CL29" s="329">
        <v>0</v>
      </c>
      <c r="CM29" s="329">
        <v>0</v>
      </c>
      <c r="CN29" s="329">
        <v>0</v>
      </c>
      <c r="CO29" s="329">
        <v>0</v>
      </c>
      <c r="CP29" s="329">
        <v>0</v>
      </c>
      <c r="CQ29" s="329">
        <v>0</v>
      </c>
      <c r="CR29" s="333">
        <f t="shared" si="25"/>
        <v>0</v>
      </c>
      <c r="CS29" s="329">
        <v>0</v>
      </c>
      <c r="CT29" s="329">
        <v>0</v>
      </c>
      <c r="CU29" s="329">
        <v>0</v>
      </c>
      <c r="CV29" s="329">
        <v>0</v>
      </c>
      <c r="CW29" s="329">
        <v>0</v>
      </c>
      <c r="CX29" s="329">
        <v>0</v>
      </c>
      <c r="CY29" s="329">
        <v>0</v>
      </c>
      <c r="CZ29" s="329">
        <v>0</v>
      </c>
      <c r="DA29" s="329">
        <v>0</v>
      </c>
      <c r="DB29" s="329">
        <v>0</v>
      </c>
      <c r="DC29" s="329">
        <v>0</v>
      </c>
      <c r="DD29" s="333">
        <f t="shared" si="26"/>
        <v>0</v>
      </c>
      <c r="DE29" s="329">
        <v>0</v>
      </c>
      <c r="DF29" s="329">
        <v>0</v>
      </c>
      <c r="DG29" s="329">
        <v>0</v>
      </c>
      <c r="DH29" s="329">
        <v>0</v>
      </c>
      <c r="DI29" s="329">
        <v>0</v>
      </c>
      <c r="DJ29" s="329">
        <v>0</v>
      </c>
      <c r="DK29" s="329">
        <v>0</v>
      </c>
      <c r="DL29" s="329">
        <v>0</v>
      </c>
      <c r="DM29" s="329">
        <v>0</v>
      </c>
      <c r="DN29" s="329">
        <v>0</v>
      </c>
      <c r="DO29" s="329">
        <v>0</v>
      </c>
      <c r="DP29" s="333">
        <f t="shared" si="27"/>
        <v>0</v>
      </c>
      <c r="DQ29" s="329">
        <v>0</v>
      </c>
      <c r="DR29" s="329">
        <v>0</v>
      </c>
      <c r="DS29" s="329">
        <v>0</v>
      </c>
      <c r="DT29" s="329">
        <v>0</v>
      </c>
      <c r="DU29" s="329">
        <v>0</v>
      </c>
      <c r="DV29" s="329">
        <v>0</v>
      </c>
      <c r="DW29" s="329">
        <v>0</v>
      </c>
      <c r="DX29" s="329">
        <v>0</v>
      </c>
      <c r="DY29" s="329">
        <v>0</v>
      </c>
      <c r="DZ29" s="329">
        <v>0</v>
      </c>
      <c r="EA29" s="329">
        <v>0</v>
      </c>
      <c r="EB29" s="333">
        <f t="shared" si="28"/>
        <v>0</v>
      </c>
      <c r="EC29" s="329">
        <v>0</v>
      </c>
      <c r="ED29" s="329">
        <v>0</v>
      </c>
      <c r="EE29" s="329">
        <v>0</v>
      </c>
      <c r="EF29" s="329">
        <v>0</v>
      </c>
      <c r="EG29" s="329">
        <v>0</v>
      </c>
      <c r="EH29" s="329">
        <v>0</v>
      </c>
      <c r="EI29" s="329">
        <v>0</v>
      </c>
      <c r="EJ29" s="329">
        <v>0</v>
      </c>
      <c r="EK29" s="329">
        <v>0</v>
      </c>
      <c r="EL29" s="329">
        <v>0</v>
      </c>
      <c r="EM29" s="329">
        <v>0</v>
      </c>
      <c r="EN29" s="330">
        <f t="shared" si="29"/>
        <v>0</v>
      </c>
      <c r="EO29" s="331" t="s">
        <v>1536</v>
      </c>
    </row>
    <row r="30" spans="1:145" ht="120" x14ac:dyDescent="0.25">
      <c r="A30" s="193"/>
      <c r="B30" s="176" t="s">
        <v>1234</v>
      </c>
      <c r="C30" s="176" t="s">
        <v>234</v>
      </c>
      <c r="D30" s="176"/>
      <c r="E30" s="176" t="s">
        <v>1342</v>
      </c>
      <c r="F30" s="177" t="s">
        <v>1034</v>
      </c>
      <c r="G30" s="269" t="s">
        <v>1428</v>
      </c>
      <c r="H30" s="272" t="s">
        <v>1460</v>
      </c>
      <c r="I30" s="271" t="s">
        <v>1505</v>
      </c>
      <c r="J30" s="175" t="s">
        <v>923</v>
      </c>
      <c r="K30" s="185"/>
      <c r="L30" s="176" t="s">
        <v>1050</v>
      </c>
      <c r="M30" s="325">
        <f t="shared" si="18"/>
        <v>5164386.4899999993</v>
      </c>
      <c r="N30" s="325">
        <v>0</v>
      </c>
      <c r="O30" s="325">
        <v>0</v>
      </c>
      <c r="P30" s="325">
        <v>0</v>
      </c>
      <c r="Q30" s="325">
        <v>0</v>
      </c>
      <c r="R30" s="325">
        <v>0</v>
      </c>
      <c r="S30" s="325">
        <v>0</v>
      </c>
      <c r="T30" s="325">
        <v>0</v>
      </c>
      <c r="U30" s="325">
        <v>0</v>
      </c>
      <c r="V30" s="325">
        <v>0</v>
      </c>
      <c r="W30" s="325">
        <v>43140</v>
      </c>
      <c r="X30" s="325">
        <f t="shared" si="19"/>
        <v>43140</v>
      </c>
      <c r="Y30" s="325">
        <v>0</v>
      </c>
      <c r="Z30" s="325">
        <v>0</v>
      </c>
      <c r="AA30" s="325">
        <v>0</v>
      </c>
      <c r="AB30" s="325">
        <v>0</v>
      </c>
      <c r="AC30" s="325">
        <v>0</v>
      </c>
      <c r="AD30" s="325">
        <v>0</v>
      </c>
      <c r="AE30" s="325">
        <v>0</v>
      </c>
      <c r="AF30" s="325">
        <v>0</v>
      </c>
      <c r="AG30" s="332">
        <v>0</v>
      </c>
      <c r="AH30" s="325">
        <v>0</v>
      </c>
      <c r="AI30" s="326">
        <v>1703.06</v>
      </c>
      <c r="AJ30" s="325">
        <f t="shared" si="20"/>
        <v>1703.06</v>
      </c>
      <c r="AK30" s="325">
        <v>0</v>
      </c>
      <c r="AL30" s="325">
        <v>425494.43208</v>
      </c>
      <c r="AM30" s="325">
        <v>0</v>
      </c>
      <c r="AN30" s="325">
        <v>2692958.0735819996</v>
      </c>
      <c r="AO30" s="325">
        <v>475227.89533799997</v>
      </c>
      <c r="AP30" s="325">
        <v>0</v>
      </c>
      <c r="AQ30" s="325">
        <v>0</v>
      </c>
      <c r="AR30" s="325">
        <v>0</v>
      </c>
      <c r="AS30" s="325">
        <v>0</v>
      </c>
      <c r="AT30" s="325">
        <v>0</v>
      </c>
      <c r="AU30" s="325">
        <v>0</v>
      </c>
      <c r="AV30" s="326">
        <f t="shared" si="21"/>
        <v>3593680.4009999996</v>
      </c>
      <c r="AW30" s="325">
        <v>0</v>
      </c>
      <c r="AX30" s="325">
        <v>217264.47662</v>
      </c>
      <c r="AY30" s="325">
        <v>0</v>
      </c>
      <c r="AZ30" s="325">
        <v>1112308.7695229999</v>
      </c>
      <c r="BA30" s="325">
        <v>196289.78285699998</v>
      </c>
      <c r="BB30" s="325">
        <v>0</v>
      </c>
      <c r="BC30" s="325">
        <v>0</v>
      </c>
      <c r="BD30" s="325">
        <v>0</v>
      </c>
      <c r="BE30" s="325">
        <v>0</v>
      </c>
      <c r="BF30" s="325">
        <v>0</v>
      </c>
      <c r="BG30" s="325">
        <v>0</v>
      </c>
      <c r="BH30" s="325">
        <f t="shared" si="22"/>
        <v>1525863.0289999999</v>
      </c>
      <c r="BI30" s="325">
        <v>0</v>
      </c>
      <c r="BJ30" s="325">
        <v>0</v>
      </c>
      <c r="BK30" s="325">
        <v>0</v>
      </c>
      <c r="BL30" s="325">
        <v>0</v>
      </c>
      <c r="BM30" s="325">
        <v>0</v>
      </c>
      <c r="BN30" s="325">
        <v>0</v>
      </c>
      <c r="BO30" s="325">
        <v>0</v>
      </c>
      <c r="BP30" s="325">
        <v>0</v>
      </c>
      <c r="BQ30" s="325">
        <v>0</v>
      </c>
      <c r="BR30" s="325">
        <v>0</v>
      </c>
      <c r="BS30" s="325">
        <v>0</v>
      </c>
      <c r="BT30" s="325">
        <f t="shared" si="23"/>
        <v>0</v>
      </c>
      <c r="BU30" s="325">
        <v>0</v>
      </c>
      <c r="BV30" s="325">
        <v>0</v>
      </c>
      <c r="BW30" s="325">
        <v>0</v>
      </c>
      <c r="BX30" s="325">
        <v>0</v>
      </c>
      <c r="BY30" s="325">
        <v>0</v>
      </c>
      <c r="BZ30" s="325">
        <v>0</v>
      </c>
      <c r="CA30" s="325">
        <v>0</v>
      </c>
      <c r="CB30" s="325">
        <v>0</v>
      </c>
      <c r="CC30" s="325">
        <v>0</v>
      </c>
      <c r="CD30" s="325">
        <v>0</v>
      </c>
      <c r="CE30" s="325">
        <v>0</v>
      </c>
      <c r="CF30" s="325">
        <f t="shared" si="24"/>
        <v>0</v>
      </c>
      <c r="CG30" s="329">
        <v>0</v>
      </c>
      <c r="CH30" s="329">
        <v>0</v>
      </c>
      <c r="CI30" s="329">
        <v>0</v>
      </c>
      <c r="CJ30" s="329">
        <v>0</v>
      </c>
      <c r="CK30" s="329">
        <v>0</v>
      </c>
      <c r="CL30" s="329">
        <v>0</v>
      </c>
      <c r="CM30" s="329">
        <v>0</v>
      </c>
      <c r="CN30" s="329">
        <v>0</v>
      </c>
      <c r="CO30" s="329">
        <v>0</v>
      </c>
      <c r="CP30" s="329">
        <v>0</v>
      </c>
      <c r="CQ30" s="329">
        <v>0</v>
      </c>
      <c r="CR30" s="333">
        <f t="shared" si="25"/>
        <v>0</v>
      </c>
      <c r="CS30" s="329">
        <v>0</v>
      </c>
      <c r="CT30" s="329">
        <v>0</v>
      </c>
      <c r="CU30" s="329">
        <v>0</v>
      </c>
      <c r="CV30" s="329">
        <v>0</v>
      </c>
      <c r="CW30" s="329">
        <v>0</v>
      </c>
      <c r="CX30" s="329">
        <v>0</v>
      </c>
      <c r="CY30" s="329">
        <v>0</v>
      </c>
      <c r="CZ30" s="329">
        <v>0</v>
      </c>
      <c r="DA30" s="329">
        <v>0</v>
      </c>
      <c r="DB30" s="329">
        <v>0</v>
      </c>
      <c r="DC30" s="329">
        <v>0</v>
      </c>
      <c r="DD30" s="333">
        <f t="shared" si="26"/>
        <v>0</v>
      </c>
      <c r="DE30" s="329">
        <v>0</v>
      </c>
      <c r="DF30" s="329">
        <v>0</v>
      </c>
      <c r="DG30" s="329">
        <v>0</v>
      </c>
      <c r="DH30" s="329">
        <v>0</v>
      </c>
      <c r="DI30" s="329">
        <v>0</v>
      </c>
      <c r="DJ30" s="329">
        <v>0</v>
      </c>
      <c r="DK30" s="329">
        <v>0</v>
      </c>
      <c r="DL30" s="329">
        <v>0</v>
      </c>
      <c r="DM30" s="329">
        <v>0</v>
      </c>
      <c r="DN30" s="329">
        <v>0</v>
      </c>
      <c r="DO30" s="329">
        <v>0</v>
      </c>
      <c r="DP30" s="333">
        <f t="shared" si="27"/>
        <v>0</v>
      </c>
      <c r="DQ30" s="329">
        <v>0</v>
      </c>
      <c r="DR30" s="329">
        <v>0</v>
      </c>
      <c r="DS30" s="329">
        <v>0</v>
      </c>
      <c r="DT30" s="329">
        <v>0</v>
      </c>
      <c r="DU30" s="329">
        <v>0</v>
      </c>
      <c r="DV30" s="329">
        <v>0</v>
      </c>
      <c r="DW30" s="329">
        <v>0</v>
      </c>
      <c r="DX30" s="329">
        <v>0</v>
      </c>
      <c r="DY30" s="329">
        <v>0</v>
      </c>
      <c r="DZ30" s="329">
        <v>0</v>
      </c>
      <c r="EA30" s="329">
        <v>0</v>
      </c>
      <c r="EB30" s="333">
        <f t="shared" si="28"/>
        <v>0</v>
      </c>
      <c r="EC30" s="329">
        <v>0</v>
      </c>
      <c r="ED30" s="329">
        <v>0</v>
      </c>
      <c r="EE30" s="329">
        <v>0</v>
      </c>
      <c r="EF30" s="329">
        <v>0</v>
      </c>
      <c r="EG30" s="329">
        <v>0</v>
      </c>
      <c r="EH30" s="329">
        <v>0</v>
      </c>
      <c r="EI30" s="329">
        <v>0</v>
      </c>
      <c r="EJ30" s="329">
        <v>0</v>
      </c>
      <c r="EK30" s="329">
        <v>0</v>
      </c>
      <c r="EL30" s="329">
        <v>0</v>
      </c>
      <c r="EM30" s="329">
        <v>0</v>
      </c>
      <c r="EN30" s="330">
        <f t="shared" si="29"/>
        <v>0</v>
      </c>
      <c r="EO30" s="331" t="s">
        <v>1537</v>
      </c>
    </row>
    <row r="31" spans="1:145" ht="192" x14ac:dyDescent="0.25">
      <c r="A31" s="193"/>
      <c r="B31" s="176" t="s">
        <v>1259</v>
      </c>
      <c r="C31" s="176" t="s">
        <v>1258</v>
      </c>
      <c r="D31" s="176"/>
      <c r="E31" s="176" t="s">
        <v>1343</v>
      </c>
      <c r="F31" s="177" t="s">
        <v>1035</v>
      </c>
      <c r="G31" s="269" t="s">
        <v>1456</v>
      </c>
      <c r="H31" s="272" t="s">
        <v>1567</v>
      </c>
      <c r="I31" s="273" t="s">
        <v>1482</v>
      </c>
      <c r="J31" s="175" t="s">
        <v>923</v>
      </c>
      <c r="K31" s="185"/>
      <c r="L31" s="176" t="s">
        <v>1050</v>
      </c>
      <c r="M31" s="325">
        <f t="shared" si="18"/>
        <v>5190057.3899999987</v>
      </c>
      <c r="N31" s="325">
        <v>0</v>
      </c>
      <c r="O31" s="325">
        <v>0</v>
      </c>
      <c r="P31" s="325">
        <v>0</v>
      </c>
      <c r="Q31" s="325">
        <v>0</v>
      </c>
      <c r="R31" s="325">
        <v>0</v>
      </c>
      <c r="S31" s="325">
        <v>0</v>
      </c>
      <c r="T31" s="325">
        <v>0</v>
      </c>
      <c r="U31" s="325">
        <v>0</v>
      </c>
      <c r="V31" s="325">
        <v>0</v>
      </c>
      <c r="W31" s="325">
        <v>0</v>
      </c>
      <c r="X31" s="325">
        <f t="shared" si="19"/>
        <v>0</v>
      </c>
      <c r="Y31" s="325">
        <v>0</v>
      </c>
      <c r="Z31" s="325">
        <v>0</v>
      </c>
      <c r="AA31" s="325">
        <v>0</v>
      </c>
      <c r="AB31" s="325">
        <v>0</v>
      </c>
      <c r="AC31" s="325">
        <v>0</v>
      </c>
      <c r="AD31" s="325">
        <v>0</v>
      </c>
      <c r="AE31" s="325">
        <v>0</v>
      </c>
      <c r="AF31" s="325">
        <v>0</v>
      </c>
      <c r="AG31" s="332">
        <v>0</v>
      </c>
      <c r="AH31" s="325">
        <v>0</v>
      </c>
      <c r="AI31" s="326">
        <v>168350</v>
      </c>
      <c r="AJ31" s="325">
        <f t="shared" si="20"/>
        <v>168350</v>
      </c>
      <c r="AK31" s="325">
        <v>0</v>
      </c>
      <c r="AL31" s="325">
        <v>420015.61383999995</v>
      </c>
      <c r="AM31" s="325">
        <v>0</v>
      </c>
      <c r="AN31" s="325">
        <v>2639402.6252859998</v>
      </c>
      <c r="AO31" s="325">
        <v>465776.93387399992</v>
      </c>
      <c r="AP31" s="325">
        <v>0</v>
      </c>
      <c r="AQ31" s="325">
        <v>0</v>
      </c>
      <c r="AR31" s="325">
        <v>0</v>
      </c>
      <c r="AS31" s="325">
        <v>0</v>
      </c>
      <c r="AT31" s="325">
        <v>0</v>
      </c>
      <c r="AU31" s="325">
        <v>0</v>
      </c>
      <c r="AV31" s="326">
        <f t="shared" si="21"/>
        <v>3525195.1729999995</v>
      </c>
      <c r="AW31" s="325">
        <v>0</v>
      </c>
      <c r="AX31" s="325">
        <v>213938.05125999998</v>
      </c>
      <c r="AY31" s="325">
        <v>0</v>
      </c>
      <c r="AZ31" s="325">
        <v>1090188.0408789997</v>
      </c>
      <c r="BA31" s="325">
        <v>192386.12486099996</v>
      </c>
      <c r="BB31" s="325">
        <v>0</v>
      </c>
      <c r="BC31" s="325">
        <v>0</v>
      </c>
      <c r="BD31" s="325">
        <v>0</v>
      </c>
      <c r="BE31" s="325">
        <v>0</v>
      </c>
      <c r="BF31" s="325">
        <v>0</v>
      </c>
      <c r="BG31" s="325">
        <v>0</v>
      </c>
      <c r="BH31" s="325">
        <f t="shared" si="22"/>
        <v>1496512.2169999995</v>
      </c>
      <c r="BI31" s="325">
        <v>0</v>
      </c>
      <c r="BJ31" s="325">
        <v>0</v>
      </c>
      <c r="BK31" s="325">
        <v>0</v>
      </c>
      <c r="BL31" s="325">
        <v>0</v>
      </c>
      <c r="BM31" s="325">
        <v>0</v>
      </c>
      <c r="BN31" s="325">
        <v>0</v>
      </c>
      <c r="BO31" s="325">
        <v>0</v>
      </c>
      <c r="BP31" s="325">
        <v>0</v>
      </c>
      <c r="BQ31" s="325">
        <v>0</v>
      </c>
      <c r="BR31" s="325">
        <v>0</v>
      </c>
      <c r="BS31" s="325">
        <v>0</v>
      </c>
      <c r="BT31" s="325">
        <f t="shared" si="23"/>
        <v>0</v>
      </c>
      <c r="BU31" s="325">
        <v>0</v>
      </c>
      <c r="BV31" s="325">
        <v>0</v>
      </c>
      <c r="BW31" s="325">
        <v>0</v>
      </c>
      <c r="BX31" s="325">
        <v>0</v>
      </c>
      <c r="BY31" s="325">
        <v>0</v>
      </c>
      <c r="BZ31" s="325">
        <v>0</v>
      </c>
      <c r="CA31" s="325">
        <v>0</v>
      </c>
      <c r="CB31" s="325">
        <v>0</v>
      </c>
      <c r="CC31" s="325">
        <v>0</v>
      </c>
      <c r="CD31" s="325">
        <v>0</v>
      </c>
      <c r="CE31" s="325">
        <v>0</v>
      </c>
      <c r="CF31" s="325">
        <f t="shared" si="24"/>
        <v>0</v>
      </c>
      <c r="CG31" s="329">
        <v>0</v>
      </c>
      <c r="CH31" s="329">
        <v>0</v>
      </c>
      <c r="CI31" s="329">
        <v>0</v>
      </c>
      <c r="CJ31" s="329">
        <v>0</v>
      </c>
      <c r="CK31" s="329">
        <v>0</v>
      </c>
      <c r="CL31" s="329">
        <v>0</v>
      </c>
      <c r="CM31" s="329">
        <v>0</v>
      </c>
      <c r="CN31" s="329">
        <v>0</v>
      </c>
      <c r="CO31" s="329">
        <v>0</v>
      </c>
      <c r="CP31" s="329">
        <v>0</v>
      </c>
      <c r="CQ31" s="329">
        <v>0</v>
      </c>
      <c r="CR31" s="333">
        <f t="shared" si="25"/>
        <v>0</v>
      </c>
      <c r="CS31" s="329">
        <v>0</v>
      </c>
      <c r="CT31" s="329">
        <v>0</v>
      </c>
      <c r="CU31" s="329">
        <v>0</v>
      </c>
      <c r="CV31" s="329">
        <v>0</v>
      </c>
      <c r="CW31" s="329">
        <v>0</v>
      </c>
      <c r="CX31" s="329">
        <v>0</v>
      </c>
      <c r="CY31" s="329">
        <v>0</v>
      </c>
      <c r="CZ31" s="329">
        <v>0</v>
      </c>
      <c r="DA31" s="329">
        <v>0</v>
      </c>
      <c r="DB31" s="329">
        <v>0</v>
      </c>
      <c r="DC31" s="329">
        <v>0</v>
      </c>
      <c r="DD31" s="333">
        <f t="shared" si="26"/>
        <v>0</v>
      </c>
      <c r="DE31" s="329">
        <v>0</v>
      </c>
      <c r="DF31" s="329">
        <v>0</v>
      </c>
      <c r="DG31" s="329">
        <v>0</v>
      </c>
      <c r="DH31" s="329">
        <v>0</v>
      </c>
      <c r="DI31" s="329">
        <v>0</v>
      </c>
      <c r="DJ31" s="329">
        <v>0</v>
      </c>
      <c r="DK31" s="329">
        <v>0</v>
      </c>
      <c r="DL31" s="329">
        <v>0</v>
      </c>
      <c r="DM31" s="329">
        <v>0</v>
      </c>
      <c r="DN31" s="329">
        <v>0</v>
      </c>
      <c r="DO31" s="329">
        <v>0</v>
      </c>
      <c r="DP31" s="333">
        <f t="shared" si="27"/>
        <v>0</v>
      </c>
      <c r="DQ31" s="329">
        <v>0</v>
      </c>
      <c r="DR31" s="329">
        <v>0</v>
      </c>
      <c r="DS31" s="329">
        <v>0</v>
      </c>
      <c r="DT31" s="329">
        <v>0</v>
      </c>
      <c r="DU31" s="329">
        <v>0</v>
      </c>
      <c r="DV31" s="329">
        <v>0</v>
      </c>
      <c r="DW31" s="329">
        <v>0</v>
      </c>
      <c r="DX31" s="329">
        <v>0</v>
      </c>
      <c r="DY31" s="329">
        <v>0</v>
      </c>
      <c r="DZ31" s="329">
        <v>0</v>
      </c>
      <c r="EA31" s="329">
        <v>0</v>
      </c>
      <c r="EB31" s="333">
        <f t="shared" si="28"/>
        <v>0</v>
      </c>
      <c r="EC31" s="329">
        <v>0</v>
      </c>
      <c r="ED31" s="329">
        <v>0</v>
      </c>
      <c r="EE31" s="329">
        <v>0</v>
      </c>
      <c r="EF31" s="329">
        <v>0</v>
      </c>
      <c r="EG31" s="329">
        <v>0</v>
      </c>
      <c r="EH31" s="329">
        <v>0</v>
      </c>
      <c r="EI31" s="329">
        <v>0</v>
      </c>
      <c r="EJ31" s="329">
        <v>0</v>
      </c>
      <c r="EK31" s="329">
        <v>0</v>
      </c>
      <c r="EL31" s="329">
        <v>0</v>
      </c>
      <c r="EM31" s="329">
        <v>0</v>
      </c>
      <c r="EN31" s="330">
        <f t="shared" si="29"/>
        <v>0</v>
      </c>
      <c r="EO31" s="331" t="s">
        <v>1547</v>
      </c>
    </row>
    <row r="32" spans="1:145" ht="48" x14ac:dyDescent="0.25">
      <c r="A32" s="193"/>
      <c r="B32" s="184" t="s">
        <v>1107</v>
      </c>
      <c r="C32" s="175" t="s">
        <v>16</v>
      </c>
      <c r="D32" s="176"/>
      <c r="E32" s="176" t="s">
        <v>1344</v>
      </c>
      <c r="F32" s="177" t="s">
        <v>1025</v>
      </c>
      <c r="G32" s="269" t="s">
        <v>1429</v>
      </c>
      <c r="H32" s="272" t="s">
        <v>1430</v>
      </c>
      <c r="I32" s="271" t="s">
        <v>1480</v>
      </c>
      <c r="J32" s="175" t="s">
        <v>923</v>
      </c>
      <c r="K32" s="185"/>
      <c r="L32" s="176" t="s">
        <v>1150</v>
      </c>
      <c r="M32" s="325">
        <f t="shared" si="18"/>
        <v>9209420.4100000001</v>
      </c>
      <c r="N32" s="332">
        <v>0</v>
      </c>
      <c r="O32" s="332">
        <v>0</v>
      </c>
      <c r="P32" s="332">
        <v>0</v>
      </c>
      <c r="Q32" s="332">
        <v>0</v>
      </c>
      <c r="R32" s="332">
        <v>0</v>
      </c>
      <c r="S32" s="332">
        <v>0</v>
      </c>
      <c r="T32" s="332">
        <v>0</v>
      </c>
      <c r="U32" s="332">
        <v>0</v>
      </c>
      <c r="V32" s="332">
        <v>0</v>
      </c>
      <c r="W32" s="332">
        <v>197807.93</v>
      </c>
      <c r="X32" s="325">
        <f t="shared" si="19"/>
        <v>197807.93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0</v>
      </c>
      <c r="AG32" s="332">
        <v>0</v>
      </c>
      <c r="AH32" s="332">
        <v>0</v>
      </c>
      <c r="AI32" s="329">
        <v>6612.48</v>
      </c>
      <c r="AJ32" s="332">
        <f t="shared" si="20"/>
        <v>6612.48</v>
      </c>
      <c r="AK32" s="332">
        <v>0</v>
      </c>
      <c r="AL32" s="332">
        <v>0</v>
      </c>
      <c r="AM32" s="332">
        <v>0</v>
      </c>
      <c r="AN32" s="332">
        <v>0</v>
      </c>
      <c r="AO32" s="332">
        <v>0</v>
      </c>
      <c r="AP32" s="332">
        <v>0</v>
      </c>
      <c r="AQ32" s="332">
        <v>0</v>
      </c>
      <c r="AR32" s="332">
        <v>0</v>
      </c>
      <c r="AS32" s="332">
        <v>0</v>
      </c>
      <c r="AT32" s="332">
        <v>0</v>
      </c>
      <c r="AU32" s="332">
        <v>0</v>
      </c>
      <c r="AV32" s="329">
        <f t="shared" si="21"/>
        <v>0</v>
      </c>
      <c r="AW32" s="332">
        <v>0</v>
      </c>
      <c r="AX32" s="332">
        <v>0</v>
      </c>
      <c r="AY32" s="332">
        <v>0</v>
      </c>
      <c r="AZ32" s="332">
        <v>0</v>
      </c>
      <c r="BA32" s="332">
        <v>0</v>
      </c>
      <c r="BB32" s="332">
        <v>0</v>
      </c>
      <c r="BC32" s="332">
        <v>0</v>
      </c>
      <c r="BD32" s="332">
        <v>0</v>
      </c>
      <c r="BE32" s="332">
        <v>0</v>
      </c>
      <c r="BF32" s="332">
        <v>3500000</v>
      </c>
      <c r="BG32" s="332">
        <v>5000</v>
      </c>
      <c r="BH32" s="332">
        <f t="shared" si="22"/>
        <v>3505000</v>
      </c>
      <c r="BI32" s="332">
        <v>0</v>
      </c>
      <c r="BJ32" s="332">
        <v>0</v>
      </c>
      <c r="BK32" s="332">
        <v>0</v>
      </c>
      <c r="BL32" s="332">
        <v>0</v>
      </c>
      <c r="BM32" s="332">
        <v>0</v>
      </c>
      <c r="BN32" s="332">
        <v>0</v>
      </c>
      <c r="BO32" s="332">
        <v>0</v>
      </c>
      <c r="BP32" s="332">
        <v>0</v>
      </c>
      <c r="BQ32" s="332">
        <v>0</v>
      </c>
      <c r="BR32" s="332">
        <v>5500000</v>
      </c>
      <c r="BS32" s="332">
        <v>0</v>
      </c>
      <c r="BT32" s="332">
        <f t="shared" si="23"/>
        <v>5500000</v>
      </c>
      <c r="BU32" s="332">
        <v>0</v>
      </c>
      <c r="BV32" s="332">
        <v>0</v>
      </c>
      <c r="BW32" s="332">
        <v>0</v>
      </c>
      <c r="BX32" s="332">
        <v>0</v>
      </c>
      <c r="BY32" s="332">
        <v>0</v>
      </c>
      <c r="BZ32" s="332">
        <v>0</v>
      </c>
      <c r="CA32" s="332">
        <v>0</v>
      </c>
      <c r="CB32" s="332">
        <v>0</v>
      </c>
      <c r="CC32" s="332">
        <v>0</v>
      </c>
      <c r="CD32" s="332">
        <v>0</v>
      </c>
      <c r="CE32" s="332">
        <v>0</v>
      </c>
      <c r="CF32" s="332">
        <f t="shared" si="24"/>
        <v>0</v>
      </c>
      <c r="CG32" s="329">
        <v>0</v>
      </c>
      <c r="CH32" s="329">
        <v>0</v>
      </c>
      <c r="CI32" s="329">
        <v>0</v>
      </c>
      <c r="CJ32" s="329">
        <v>0</v>
      </c>
      <c r="CK32" s="329">
        <v>0</v>
      </c>
      <c r="CL32" s="329">
        <v>0</v>
      </c>
      <c r="CM32" s="329">
        <v>0</v>
      </c>
      <c r="CN32" s="329">
        <v>0</v>
      </c>
      <c r="CO32" s="329">
        <v>0</v>
      </c>
      <c r="CP32" s="329">
        <v>0</v>
      </c>
      <c r="CQ32" s="329">
        <v>0</v>
      </c>
      <c r="CR32" s="333">
        <f t="shared" si="25"/>
        <v>0</v>
      </c>
      <c r="CS32" s="329">
        <v>0</v>
      </c>
      <c r="CT32" s="329">
        <v>0</v>
      </c>
      <c r="CU32" s="329">
        <v>0</v>
      </c>
      <c r="CV32" s="329">
        <v>0</v>
      </c>
      <c r="CW32" s="329">
        <v>0</v>
      </c>
      <c r="CX32" s="329">
        <v>0</v>
      </c>
      <c r="CY32" s="329">
        <v>0</v>
      </c>
      <c r="CZ32" s="329">
        <v>0</v>
      </c>
      <c r="DA32" s="329">
        <v>0</v>
      </c>
      <c r="DB32" s="329">
        <v>0</v>
      </c>
      <c r="DC32" s="329">
        <v>0</v>
      </c>
      <c r="DD32" s="333">
        <f t="shared" si="26"/>
        <v>0</v>
      </c>
      <c r="DE32" s="329">
        <v>0</v>
      </c>
      <c r="DF32" s="329">
        <v>0</v>
      </c>
      <c r="DG32" s="329">
        <v>0</v>
      </c>
      <c r="DH32" s="329">
        <v>0</v>
      </c>
      <c r="DI32" s="329">
        <v>0</v>
      </c>
      <c r="DJ32" s="329">
        <v>0</v>
      </c>
      <c r="DK32" s="329">
        <v>0</v>
      </c>
      <c r="DL32" s="329">
        <v>0</v>
      </c>
      <c r="DM32" s="329">
        <v>0</v>
      </c>
      <c r="DN32" s="329">
        <v>0</v>
      </c>
      <c r="DO32" s="329">
        <v>0</v>
      </c>
      <c r="DP32" s="333">
        <f t="shared" si="27"/>
        <v>0</v>
      </c>
      <c r="DQ32" s="329">
        <v>0</v>
      </c>
      <c r="DR32" s="329">
        <v>0</v>
      </c>
      <c r="DS32" s="329">
        <v>0</v>
      </c>
      <c r="DT32" s="329">
        <v>0</v>
      </c>
      <c r="DU32" s="329">
        <v>0</v>
      </c>
      <c r="DV32" s="329">
        <v>0</v>
      </c>
      <c r="DW32" s="329">
        <v>0</v>
      </c>
      <c r="DX32" s="329">
        <v>0</v>
      </c>
      <c r="DY32" s="329">
        <v>0</v>
      </c>
      <c r="DZ32" s="329">
        <v>0</v>
      </c>
      <c r="EA32" s="329">
        <v>0</v>
      </c>
      <c r="EB32" s="333">
        <f t="shared" si="28"/>
        <v>0</v>
      </c>
      <c r="EC32" s="329">
        <v>0</v>
      </c>
      <c r="ED32" s="329">
        <v>0</v>
      </c>
      <c r="EE32" s="329">
        <v>0</v>
      </c>
      <c r="EF32" s="329">
        <v>0</v>
      </c>
      <c r="EG32" s="329">
        <v>0</v>
      </c>
      <c r="EH32" s="329">
        <v>0</v>
      </c>
      <c r="EI32" s="329">
        <v>0</v>
      </c>
      <c r="EJ32" s="329">
        <v>0</v>
      </c>
      <c r="EK32" s="329">
        <v>0</v>
      </c>
      <c r="EL32" s="329">
        <v>0</v>
      </c>
      <c r="EM32" s="329">
        <v>0</v>
      </c>
      <c r="EN32" s="330">
        <f t="shared" si="29"/>
        <v>0</v>
      </c>
      <c r="EO32" s="331">
        <v>4.95</v>
      </c>
    </row>
    <row r="33" spans="1:156" ht="144" x14ac:dyDescent="0.25">
      <c r="A33" s="193"/>
      <c r="B33" s="184" t="s">
        <v>1107</v>
      </c>
      <c r="C33" s="176" t="s">
        <v>120</v>
      </c>
      <c r="D33" s="176"/>
      <c r="E33" s="176" t="s">
        <v>1345</v>
      </c>
      <c r="F33" s="177" t="s">
        <v>1017</v>
      </c>
      <c r="G33" s="269" t="s">
        <v>1555</v>
      </c>
      <c r="H33" s="272" t="s">
        <v>1431</v>
      </c>
      <c r="I33" s="273" t="s">
        <v>1526</v>
      </c>
      <c r="J33" s="185" t="s">
        <v>924</v>
      </c>
      <c r="K33" s="185" t="s">
        <v>933</v>
      </c>
      <c r="L33" s="176" t="s">
        <v>1152</v>
      </c>
      <c r="M33" s="325">
        <f t="shared" si="18"/>
        <v>15245287.57</v>
      </c>
      <c r="N33" s="332">
        <v>0</v>
      </c>
      <c r="O33" s="332">
        <v>0</v>
      </c>
      <c r="P33" s="332">
        <v>0</v>
      </c>
      <c r="Q33" s="332">
        <v>0</v>
      </c>
      <c r="R33" s="332">
        <v>0</v>
      </c>
      <c r="S33" s="332">
        <v>0</v>
      </c>
      <c r="T33" s="332">
        <v>0</v>
      </c>
      <c r="U33" s="332">
        <v>0</v>
      </c>
      <c r="V33" s="332">
        <v>0</v>
      </c>
      <c r="W33" s="332">
        <v>215312.9</v>
      </c>
      <c r="X33" s="325">
        <f t="shared" si="19"/>
        <v>215312.9</v>
      </c>
      <c r="Y33" s="332">
        <v>0</v>
      </c>
      <c r="Z33" s="332">
        <v>0</v>
      </c>
      <c r="AA33" s="332">
        <v>0</v>
      </c>
      <c r="AB33" s="332">
        <v>0</v>
      </c>
      <c r="AC33" s="332">
        <v>0</v>
      </c>
      <c r="AD33" s="332">
        <v>0</v>
      </c>
      <c r="AE33" s="332">
        <v>0</v>
      </c>
      <c r="AF33" s="332">
        <v>0</v>
      </c>
      <c r="AG33" s="332">
        <v>0</v>
      </c>
      <c r="AH33" s="332">
        <v>0</v>
      </c>
      <c r="AI33" s="329">
        <v>14974.67</v>
      </c>
      <c r="AJ33" s="332">
        <f t="shared" si="20"/>
        <v>14974.67</v>
      </c>
      <c r="AK33" s="332">
        <v>0</v>
      </c>
      <c r="AL33" s="332">
        <v>0</v>
      </c>
      <c r="AM33" s="332">
        <v>0</v>
      </c>
      <c r="AN33" s="332">
        <v>0</v>
      </c>
      <c r="AO33" s="332">
        <v>0</v>
      </c>
      <c r="AP33" s="332">
        <v>0</v>
      </c>
      <c r="AQ33" s="332">
        <v>0</v>
      </c>
      <c r="AR33" s="332">
        <v>0</v>
      </c>
      <c r="AS33" s="332">
        <v>0</v>
      </c>
      <c r="AT33" s="332">
        <v>0</v>
      </c>
      <c r="AU33" s="332">
        <v>0</v>
      </c>
      <c r="AV33" s="329">
        <f t="shared" si="21"/>
        <v>0</v>
      </c>
      <c r="AW33" s="332">
        <v>0</v>
      </c>
      <c r="AX33" s="332">
        <v>0</v>
      </c>
      <c r="AY33" s="332">
        <v>0</v>
      </c>
      <c r="AZ33" s="332">
        <v>0</v>
      </c>
      <c r="BA33" s="332">
        <v>0</v>
      </c>
      <c r="BB33" s="332">
        <v>0</v>
      </c>
      <c r="BC33" s="332">
        <v>0</v>
      </c>
      <c r="BD33" s="332">
        <v>0</v>
      </c>
      <c r="BE33" s="332">
        <v>0</v>
      </c>
      <c r="BF33" s="332">
        <v>15000000</v>
      </c>
      <c r="BG33" s="332">
        <v>15000</v>
      </c>
      <c r="BH33" s="332">
        <f t="shared" si="22"/>
        <v>15015000</v>
      </c>
      <c r="BI33" s="332">
        <v>0</v>
      </c>
      <c r="BJ33" s="332">
        <v>0</v>
      </c>
      <c r="BK33" s="332">
        <v>0</v>
      </c>
      <c r="BL33" s="332">
        <v>0</v>
      </c>
      <c r="BM33" s="332">
        <v>0</v>
      </c>
      <c r="BN33" s="332">
        <v>0</v>
      </c>
      <c r="BO33" s="332">
        <v>0</v>
      </c>
      <c r="BP33" s="332">
        <v>0</v>
      </c>
      <c r="BQ33" s="332">
        <v>0</v>
      </c>
      <c r="BR33" s="332">
        <v>0</v>
      </c>
      <c r="BS33" s="332">
        <v>0</v>
      </c>
      <c r="BT33" s="332">
        <f t="shared" si="23"/>
        <v>0</v>
      </c>
      <c r="BU33" s="332">
        <v>0</v>
      </c>
      <c r="BV33" s="332">
        <v>0</v>
      </c>
      <c r="BW33" s="332">
        <v>0</v>
      </c>
      <c r="BX33" s="332">
        <v>0</v>
      </c>
      <c r="BY33" s="332">
        <v>0</v>
      </c>
      <c r="BZ33" s="332">
        <v>0</v>
      </c>
      <c r="CA33" s="332">
        <v>0</v>
      </c>
      <c r="CB33" s="332">
        <v>0</v>
      </c>
      <c r="CC33" s="332">
        <v>0</v>
      </c>
      <c r="CD33" s="332">
        <v>0</v>
      </c>
      <c r="CE33" s="332">
        <v>0</v>
      </c>
      <c r="CF33" s="332">
        <f t="shared" si="24"/>
        <v>0</v>
      </c>
      <c r="CG33" s="329">
        <v>0</v>
      </c>
      <c r="CH33" s="329">
        <v>0</v>
      </c>
      <c r="CI33" s="329">
        <v>0</v>
      </c>
      <c r="CJ33" s="329">
        <v>0</v>
      </c>
      <c r="CK33" s="329">
        <v>0</v>
      </c>
      <c r="CL33" s="329">
        <v>0</v>
      </c>
      <c r="CM33" s="329">
        <v>0</v>
      </c>
      <c r="CN33" s="329">
        <v>0</v>
      </c>
      <c r="CO33" s="329">
        <v>0</v>
      </c>
      <c r="CP33" s="329">
        <v>0</v>
      </c>
      <c r="CQ33" s="329">
        <v>0</v>
      </c>
      <c r="CR33" s="333">
        <f t="shared" si="25"/>
        <v>0</v>
      </c>
      <c r="CS33" s="329">
        <v>0</v>
      </c>
      <c r="CT33" s="329">
        <v>0</v>
      </c>
      <c r="CU33" s="329">
        <v>0</v>
      </c>
      <c r="CV33" s="329">
        <v>0</v>
      </c>
      <c r="CW33" s="329">
        <v>0</v>
      </c>
      <c r="CX33" s="329">
        <v>0</v>
      </c>
      <c r="CY33" s="329">
        <v>0</v>
      </c>
      <c r="CZ33" s="329">
        <v>0</v>
      </c>
      <c r="DA33" s="329">
        <v>0</v>
      </c>
      <c r="DB33" s="329">
        <v>0</v>
      </c>
      <c r="DC33" s="329">
        <v>0</v>
      </c>
      <c r="DD33" s="333">
        <f t="shared" si="26"/>
        <v>0</v>
      </c>
      <c r="DE33" s="329">
        <v>0</v>
      </c>
      <c r="DF33" s="329">
        <v>0</v>
      </c>
      <c r="DG33" s="329">
        <v>0</v>
      </c>
      <c r="DH33" s="329">
        <v>0</v>
      </c>
      <c r="DI33" s="329">
        <v>0</v>
      </c>
      <c r="DJ33" s="329">
        <v>0</v>
      </c>
      <c r="DK33" s="329">
        <v>0</v>
      </c>
      <c r="DL33" s="329">
        <v>0</v>
      </c>
      <c r="DM33" s="329">
        <v>0</v>
      </c>
      <c r="DN33" s="329">
        <v>0</v>
      </c>
      <c r="DO33" s="329">
        <v>0</v>
      </c>
      <c r="DP33" s="333">
        <f t="shared" si="27"/>
        <v>0</v>
      </c>
      <c r="DQ33" s="329">
        <v>0</v>
      </c>
      <c r="DR33" s="329">
        <v>0</v>
      </c>
      <c r="DS33" s="329">
        <v>0</v>
      </c>
      <c r="DT33" s="329">
        <v>0</v>
      </c>
      <c r="DU33" s="329">
        <v>0</v>
      </c>
      <c r="DV33" s="329">
        <v>0</v>
      </c>
      <c r="DW33" s="329">
        <v>0</v>
      </c>
      <c r="DX33" s="329">
        <v>0</v>
      </c>
      <c r="DY33" s="329">
        <v>0</v>
      </c>
      <c r="DZ33" s="329">
        <v>0</v>
      </c>
      <c r="EA33" s="329">
        <v>0</v>
      </c>
      <c r="EB33" s="333">
        <f t="shared" si="28"/>
        <v>0</v>
      </c>
      <c r="EC33" s="329">
        <v>0</v>
      </c>
      <c r="ED33" s="329">
        <v>0</v>
      </c>
      <c r="EE33" s="329">
        <v>0</v>
      </c>
      <c r="EF33" s="329">
        <v>0</v>
      </c>
      <c r="EG33" s="329">
        <v>0</v>
      </c>
      <c r="EH33" s="329">
        <v>0</v>
      </c>
      <c r="EI33" s="329">
        <v>0</v>
      </c>
      <c r="EJ33" s="329">
        <v>0</v>
      </c>
      <c r="EK33" s="329">
        <v>0</v>
      </c>
      <c r="EL33" s="329">
        <v>0</v>
      </c>
      <c r="EM33" s="329">
        <v>0</v>
      </c>
      <c r="EN33" s="330">
        <f t="shared" si="29"/>
        <v>0</v>
      </c>
      <c r="EO33" s="331" t="s">
        <v>1538</v>
      </c>
    </row>
    <row r="34" spans="1:156" ht="48" x14ac:dyDescent="0.25">
      <c r="A34" s="182"/>
      <c r="B34" s="184" t="s">
        <v>1171</v>
      </c>
      <c r="C34" s="176" t="s">
        <v>86</v>
      </c>
      <c r="D34" s="176"/>
      <c r="E34" s="176" t="s">
        <v>1346</v>
      </c>
      <c r="F34" s="177" t="s">
        <v>1046</v>
      </c>
      <c r="G34" s="269" t="s">
        <v>1454</v>
      </c>
      <c r="H34" s="272" t="s">
        <v>1455</v>
      </c>
      <c r="I34" s="273" t="s">
        <v>1507</v>
      </c>
      <c r="J34" s="296" t="s">
        <v>923</v>
      </c>
      <c r="K34" s="185" t="s">
        <v>1216</v>
      </c>
      <c r="L34" s="176" t="s">
        <v>1150</v>
      </c>
      <c r="M34" s="325">
        <f t="shared" ref="M34:M49" si="30">SUM(X34,AJ34,AV34, BH34,BT34,CF34,CR34,DD34,DP34,EB34,EN34)</f>
        <v>415250</v>
      </c>
      <c r="N34" s="332">
        <v>0</v>
      </c>
      <c r="O34" s="332">
        <v>0</v>
      </c>
      <c r="P34" s="332">
        <v>0</v>
      </c>
      <c r="Q34" s="332">
        <v>0</v>
      </c>
      <c r="R34" s="332">
        <v>0</v>
      </c>
      <c r="S34" s="332">
        <v>0</v>
      </c>
      <c r="T34" s="332">
        <v>0</v>
      </c>
      <c r="U34" s="332">
        <v>0</v>
      </c>
      <c r="V34" s="332">
        <v>0</v>
      </c>
      <c r="W34" s="332">
        <v>55051.78</v>
      </c>
      <c r="X34" s="325">
        <f t="shared" si="19"/>
        <v>55051.78</v>
      </c>
      <c r="Y34" s="332">
        <v>0</v>
      </c>
      <c r="Z34" s="332">
        <v>0</v>
      </c>
      <c r="AA34" s="332">
        <v>0</v>
      </c>
      <c r="AB34" s="332">
        <v>0</v>
      </c>
      <c r="AC34" s="332">
        <v>0</v>
      </c>
      <c r="AD34" s="332">
        <v>0</v>
      </c>
      <c r="AE34" s="332">
        <v>0</v>
      </c>
      <c r="AF34" s="332">
        <v>0</v>
      </c>
      <c r="AG34" s="332">
        <v>0</v>
      </c>
      <c r="AH34" s="332">
        <v>0</v>
      </c>
      <c r="AI34" s="329">
        <v>250</v>
      </c>
      <c r="AJ34" s="332">
        <f t="shared" si="20"/>
        <v>250</v>
      </c>
      <c r="AK34" s="332">
        <v>0</v>
      </c>
      <c r="AL34" s="332">
        <v>0</v>
      </c>
      <c r="AM34" s="332">
        <v>0</v>
      </c>
      <c r="AN34" s="332">
        <v>0</v>
      </c>
      <c r="AO34" s="332">
        <v>0</v>
      </c>
      <c r="AP34" s="332">
        <v>0</v>
      </c>
      <c r="AQ34" s="332">
        <v>0</v>
      </c>
      <c r="AR34" s="332">
        <v>0</v>
      </c>
      <c r="AS34" s="332">
        <v>0</v>
      </c>
      <c r="AT34" s="332">
        <v>0</v>
      </c>
      <c r="AU34" s="332">
        <v>0</v>
      </c>
      <c r="AV34" s="329">
        <f t="shared" si="21"/>
        <v>0</v>
      </c>
      <c r="AW34" s="332">
        <v>0</v>
      </c>
      <c r="AX34" s="332">
        <v>0</v>
      </c>
      <c r="AY34" s="332">
        <v>0</v>
      </c>
      <c r="AZ34" s="332">
        <v>0</v>
      </c>
      <c r="BA34" s="332">
        <v>0</v>
      </c>
      <c r="BB34" s="332">
        <v>0</v>
      </c>
      <c r="BC34" s="332">
        <v>0</v>
      </c>
      <c r="BD34" s="332">
        <v>0</v>
      </c>
      <c r="BE34" s="332">
        <v>0</v>
      </c>
      <c r="BF34" s="332">
        <v>0</v>
      </c>
      <c r="BG34" s="332">
        <v>0</v>
      </c>
      <c r="BH34" s="332">
        <f t="shared" si="22"/>
        <v>0</v>
      </c>
      <c r="BI34" s="332">
        <v>359948.22</v>
      </c>
      <c r="BJ34" s="332">
        <v>0</v>
      </c>
      <c r="BK34" s="332">
        <v>0</v>
      </c>
      <c r="BL34" s="332">
        <v>0</v>
      </c>
      <c r="BM34" s="332">
        <v>0</v>
      </c>
      <c r="BN34" s="332">
        <v>0</v>
      </c>
      <c r="BO34" s="332">
        <v>0</v>
      </c>
      <c r="BP34" s="332">
        <v>0</v>
      </c>
      <c r="BQ34" s="332">
        <v>0</v>
      </c>
      <c r="BR34" s="332">
        <v>0</v>
      </c>
      <c r="BS34" s="332">
        <v>0</v>
      </c>
      <c r="BT34" s="332">
        <f t="shared" si="23"/>
        <v>359948.22</v>
      </c>
      <c r="BU34" s="332">
        <v>0</v>
      </c>
      <c r="BV34" s="332">
        <v>0</v>
      </c>
      <c r="BW34" s="332">
        <v>0</v>
      </c>
      <c r="BX34" s="332">
        <v>0</v>
      </c>
      <c r="BY34" s="332">
        <v>0</v>
      </c>
      <c r="BZ34" s="332">
        <v>0</v>
      </c>
      <c r="CA34" s="332">
        <v>0</v>
      </c>
      <c r="CB34" s="332">
        <v>0</v>
      </c>
      <c r="CC34" s="332">
        <v>0</v>
      </c>
      <c r="CD34" s="332">
        <v>0</v>
      </c>
      <c r="CE34" s="332">
        <v>0</v>
      </c>
      <c r="CF34" s="332">
        <f t="shared" si="24"/>
        <v>0</v>
      </c>
      <c r="CG34" s="332">
        <v>0</v>
      </c>
      <c r="CH34" s="332">
        <v>0</v>
      </c>
      <c r="CI34" s="332">
        <v>0</v>
      </c>
      <c r="CJ34" s="332">
        <v>0</v>
      </c>
      <c r="CK34" s="332">
        <v>0</v>
      </c>
      <c r="CL34" s="332">
        <v>0</v>
      </c>
      <c r="CM34" s="332">
        <v>0</v>
      </c>
      <c r="CN34" s="332">
        <v>0</v>
      </c>
      <c r="CO34" s="332">
        <v>0</v>
      </c>
      <c r="CP34" s="332">
        <v>0</v>
      </c>
      <c r="CQ34" s="332">
        <v>0</v>
      </c>
      <c r="CR34" s="332">
        <f t="shared" si="25"/>
        <v>0</v>
      </c>
      <c r="CS34" s="329">
        <v>0</v>
      </c>
      <c r="CT34" s="329">
        <v>0</v>
      </c>
      <c r="CU34" s="329">
        <v>0</v>
      </c>
      <c r="CV34" s="329">
        <v>0</v>
      </c>
      <c r="CW34" s="329">
        <v>0</v>
      </c>
      <c r="CX34" s="329">
        <v>0</v>
      </c>
      <c r="CY34" s="329">
        <v>0</v>
      </c>
      <c r="CZ34" s="329">
        <v>0</v>
      </c>
      <c r="DA34" s="329">
        <v>0</v>
      </c>
      <c r="DB34" s="329">
        <v>0</v>
      </c>
      <c r="DC34" s="329">
        <v>0</v>
      </c>
      <c r="DD34" s="333">
        <f t="shared" si="26"/>
        <v>0</v>
      </c>
      <c r="DE34" s="329">
        <v>0</v>
      </c>
      <c r="DF34" s="329">
        <v>0</v>
      </c>
      <c r="DG34" s="329">
        <v>0</v>
      </c>
      <c r="DH34" s="329">
        <v>0</v>
      </c>
      <c r="DI34" s="329">
        <v>0</v>
      </c>
      <c r="DJ34" s="329">
        <v>0</v>
      </c>
      <c r="DK34" s="329">
        <v>0</v>
      </c>
      <c r="DL34" s="329">
        <v>0</v>
      </c>
      <c r="DM34" s="329">
        <v>0</v>
      </c>
      <c r="DN34" s="329">
        <v>0</v>
      </c>
      <c r="DO34" s="329">
        <v>0</v>
      </c>
      <c r="DP34" s="333">
        <f t="shared" si="27"/>
        <v>0</v>
      </c>
      <c r="DQ34" s="329">
        <v>0</v>
      </c>
      <c r="DR34" s="329">
        <v>0</v>
      </c>
      <c r="DS34" s="329">
        <v>0</v>
      </c>
      <c r="DT34" s="329">
        <v>0</v>
      </c>
      <c r="DU34" s="329">
        <v>0</v>
      </c>
      <c r="DV34" s="329">
        <v>0</v>
      </c>
      <c r="DW34" s="329">
        <v>0</v>
      </c>
      <c r="DX34" s="329">
        <v>0</v>
      </c>
      <c r="DY34" s="329">
        <v>0</v>
      </c>
      <c r="DZ34" s="329">
        <v>0</v>
      </c>
      <c r="EA34" s="329">
        <v>0</v>
      </c>
      <c r="EB34" s="333">
        <f t="shared" si="28"/>
        <v>0</v>
      </c>
      <c r="EC34" s="329">
        <v>0</v>
      </c>
      <c r="ED34" s="329">
        <v>0</v>
      </c>
      <c r="EE34" s="329">
        <v>0</v>
      </c>
      <c r="EF34" s="329">
        <v>0</v>
      </c>
      <c r="EG34" s="329">
        <v>0</v>
      </c>
      <c r="EH34" s="329">
        <v>0</v>
      </c>
      <c r="EI34" s="329">
        <v>0</v>
      </c>
      <c r="EJ34" s="329">
        <v>0</v>
      </c>
      <c r="EK34" s="329">
        <v>0</v>
      </c>
      <c r="EL34" s="329">
        <v>0</v>
      </c>
      <c r="EM34" s="329">
        <v>0</v>
      </c>
      <c r="EN34" s="330">
        <f t="shared" si="29"/>
        <v>0</v>
      </c>
      <c r="EO34" s="331" t="s">
        <v>1546</v>
      </c>
      <c r="EP34" s="91"/>
      <c r="EQ34" s="91"/>
      <c r="ER34" s="91"/>
      <c r="ES34" s="91"/>
      <c r="ET34" s="91"/>
      <c r="EU34" s="91"/>
      <c r="EV34" s="91"/>
      <c r="EW34" s="91"/>
      <c r="EX34" s="91"/>
    </row>
    <row r="35" spans="1:156" ht="108" x14ac:dyDescent="0.25">
      <c r="A35" s="193"/>
      <c r="B35" s="176" t="s">
        <v>1230</v>
      </c>
      <c r="C35" s="176" t="s">
        <v>70</v>
      </c>
      <c r="D35" s="176"/>
      <c r="E35" s="176" t="s">
        <v>1347</v>
      </c>
      <c r="F35" s="177" t="s">
        <v>1028</v>
      </c>
      <c r="G35" s="269" t="s">
        <v>1432</v>
      </c>
      <c r="H35" s="270" t="s">
        <v>1433</v>
      </c>
      <c r="I35" s="271" t="s">
        <v>1483</v>
      </c>
      <c r="J35" s="185" t="s">
        <v>923</v>
      </c>
      <c r="K35" s="185" t="s">
        <v>1217</v>
      </c>
      <c r="L35" s="176" t="s">
        <v>1050</v>
      </c>
      <c r="M35" s="325">
        <f t="shared" si="30"/>
        <v>11168279.369999999</v>
      </c>
      <c r="N35" s="326">
        <v>2290246.84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6">
        <f>855480.56+13542.82</f>
        <v>869023.38</v>
      </c>
      <c r="X35" s="325">
        <f t="shared" si="19"/>
        <v>3159270.2199999997</v>
      </c>
      <c r="Y35" s="325">
        <v>0</v>
      </c>
      <c r="Z35" s="325">
        <v>0</v>
      </c>
      <c r="AA35" s="325">
        <v>0</v>
      </c>
      <c r="AB35" s="325">
        <v>0</v>
      </c>
      <c r="AC35" s="325">
        <v>0</v>
      </c>
      <c r="AD35" s="325">
        <v>0</v>
      </c>
      <c r="AE35" s="325">
        <v>0</v>
      </c>
      <c r="AF35" s="325">
        <v>0</v>
      </c>
      <c r="AG35" s="325">
        <v>0</v>
      </c>
      <c r="AH35" s="325">
        <v>0</v>
      </c>
      <c r="AI35" s="326">
        <v>9009.15</v>
      </c>
      <c r="AJ35" s="325">
        <f t="shared" si="20"/>
        <v>9009.15</v>
      </c>
      <c r="AK35" s="332">
        <v>0</v>
      </c>
      <c r="AL35" s="332">
        <v>0</v>
      </c>
      <c r="AM35" s="332">
        <v>0</v>
      </c>
      <c r="AN35" s="332">
        <v>0</v>
      </c>
      <c r="AO35" s="332">
        <v>0</v>
      </c>
      <c r="AP35" s="332">
        <v>0</v>
      </c>
      <c r="AQ35" s="332">
        <v>0</v>
      </c>
      <c r="AR35" s="332">
        <v>0</v>
      </c>
      <c r="AS35" s="332">
        <v>0</v>
      </c>
      <c r="AT35" s="332">
        <v>0</v>
      </c>
      <c r="AU35" s="332">
        <v>0</v>
      </c>
      <c r="AV35" s="332">
        <f t="shared" si="21"/>
        <v>0</v>
      </c>
      <c r="AW35" s="325">
        <v>2000000</v>
      </c>
      <c r="AX35" s="325">
        <v>0</v>
      </c>
      <c r="AY35" s="325">
        <v>0</v>
      </c>
      <c r="AZ35" s="325">
        <v>0</v>
      </c>
      <c r="BA35" s="325">
        <v>0</v>
      </c>
      <c r="BB35" s="325">
        <v>0</v>
      </c>
      <c r="BC35" s="325">
        <v>0</v>
      </c>
      <c r="BD35" s="325">
        <v>0</v>
      </c>
      <c r="BE35" s="325">
        <v>0</v>
      </c>
      <c r="BF35" s="325">
        <v>0</v>
      </c>
      <c r="BG35" s="325">
        <v>0</v>
      </c>
      <c r="BH35" s="325">
        <f t="shared" si="22"/>
        <v>2000000</v>
      </c>
      <c r="BI35" s="325">
        <v>6000000</v>
      </c>
      <c r="BJ35" s="325">
        <v>0</v>
      </c>
      <c r="BK35" s="325">
        <v>0</v>
      </c>
      <c r="BL35" s="325">
        <v>0</v>
      </c>
      <c r="BM35" s="325">
        <v>0</v>
      </c>
      <c r="BN35" s="325">
        <v>0</v>
      </c>
      <c r="BO35" s="325">
        <v>0</v>
      </c>
      <c r="BP35" s="325">
        <v>0</v>
      </c>
      <c r="BQ35" s="325">
        <v>0</v>
      </c>
      <c r="BR35" s="325">
        <v>0</v>
      </c>
      <c r="BS35" s="325">
        <v>0</v>
      </c>
      <c r="BT35" s="325">
        <f t="shared" si="23"/>
        <v>6000000</v>
      </c>
      <c r="BU35" s="325">
        <v>0</v>
      </c>
      <c r="BV35" s="325">
        <v>0</v>
      </c>
      <c r="BW35" s="325">
        <v>0</v>
      </c>
      <c r="BX35" s="325">
        <v>0</v>
      </c>
      <c r="BY35" s="325">
        <v>0</v>
      </c>
      <c r="BZ35" s="325">
        <v>0</v>
      </c>
      <c r="CA35" s="325">
        <v>0</v>
      </c>
      <c r="CB35" s="325">
        <v>0</v>
      </c>
      <c r="CC35" s="325">
        <v>0</v>
      </c>
      <c r="CD35" s="325">
        <v>0</v>
      </c>
      <c r="CE35" s="325">
        <v>0</v>
      </c>
      <c r="CF35" s="325">
        <f t="shared" si="24"/>
        <v>0</v>
      </c>
      <c r="CG35" s="325">
        <v>0</v>
      </c>
      <c r="CH35" s="325">
        <v>0</v>
      </c>
      <c r="CI35" s="325">
        <v>0</v>
      </c>
      <c r="CJ35" s="325">
        <v>0</v>
      </c>
      <c r="CK35" s="325">
        <v>0</v>
      </c>
      <c r="CL35" s="325">
        <v>0</v>
      </c>
      <c r="CM35" s="325">
        <v>0</v>
      </c>
      <c r="CN35" s="325">
        <v>0</v>
      </c>
      <c r="CO35" s="325">
        <v>0</v>
      </c>
      <c r="CP35" s="325">
        <v>0</v>
      </c>
      <c r="CQ35" s="325">
        <v>0</v>
      </c>
      <c r="CR35" s="325">
        <f t="shared" si="25"/>
        <v>0</v>
      </c>
      <c r="CS35" s="329">
        <v>0</v>
      </c>
      <c r="CT35" s="329">
        <v>0</v>
      </c>
      <c r="CU35" s="329">
        <v>0</v>
      </c>
      <c r="CV35" s="329">
        <v>0</v>
      </c>
      <c r="CW35" s="329">
        <v>0</v>
      </c>
      <c r="CX35" s="329">
        <v>0</v>
      </c>
      <c r="CY35" s="329">
        <v>0</v>
      </c>
      <c r="CZ35" s="329">
        <v>0</v>
      </c>
      <c r="DA35" s="329">
        <v>0</v>
      </c>
      <c r="DB35" s="329">
        <v>0</v>
      </c>
      <c r="DC35" s="329">
        <v>0</v>
      </c>
      <c r="DD35" s="333">
        <f t="shared" si="26"/>
        <v>0</v>
      </c>
      <c r="DE35" s="329">
        <v>0</v>
      </c>
      <c r="DF35" s="329">
        <v>0</v>
      </c>
      <c r="DG35" s="329">
        <v>0</v>
      </c>
      <c r="DH35" s="329">
        <v>0</v>
      </c>
      <c r="DI35" s="329">
        <v>0</v>
      </c>
      <c r="DJ35" s="329">
        <v>0</v>
      </c>
      <c r="DK35" s="329">
        <v>0</v>
      </c>
      <c r="DL35" s="329">
        <v>0</v>
      </c>
      <c r="DM35" s="329">
        <v>0</v>
      </c>
      <c r="DN35" s="329">
        <v>0</v>
      </c>
      <c r="DO35" s="329">
        <v>0</v>
      </c>
      <c r="DP35" s="333">
        <f t="shared" si="27"/>
        <v>0</v>
      </c>
      <c r="DQ35" s="329">
        <v>0</v>
      </c>
      <c r="DR35" s="329">
        <v>0</v>
      </c>
      <c r="DS35" s="329">
        <v>0</v>
      </c>
      <c r="DT35" s="329">
        <v>0</v>
      </c>
      <c r="DU35" s="329">
        <v>0</v>
      </c>
      <c r="DV35" s="329">
        <v>0</v>
      </c>
      <c r="DW35" s="329">
        <v>0</v>
      </c>
      <c r="DX35" s="329">
        <v>0</v>
      </c>
      <c r="DY35" s="329">
        <v>0</v>
      </c>
      <c r="DZ35" s="329">
        <v>0</v>
      </c>
      <c r="EA35" s="329">
        <v>0</v>
      </c>
      <c r="EB35" s="333">
        <f t="shared" si="28"/>
        <v>0</v>
      </c>
      <c r="EC35" s="329">
        <v>0</v>
      </c>
      <c r="ED35" s="329">
        <v>0</v>
      </c>
      <c r="EE35" s="329">
        <v>0</v>
      </c>
      <c r="EF35" s="329">
        <v>0</v>
      </c>
      <c r="EG35" s="329">
        <v>0</v>
      </c>
      <c r="EH35" s="329">
        <v>0</v>
      </c>
      <c r="EI35" s="329">
        <v>0</v>
      </c>
      <c r="EJ35" s="329">
        <v>0</v>
      </c>
      <c r="EK35" s="329">
        <v>0</v>
      </c>
      <c r="EL35" s="329">
        <v>0</v>
      </c>
      <c r="EM35" s="329">
        <v>0</v>
      </c>
      <c r="EN35" s="330">
        <f t="shared" si="29"/>
        <v>0</v>
      </c>
      <c r="EO35" s="331" t="s">
        <v>1538</v>
      </c>
      <c r="EP35" s="91"/>
      <c r="EQ35" s="91"/>
      <c r="ER35" s="91"/>
      <c r="ES35" s="91"/>
      <c r="ET35" s="91"/>
      <c r="EU35" s="91"/>
      <c r="EV35" s="91"/>
      <c r="EW35" s="91"/>
      <c r="EX35" s="91"/>
    </row>
    <row r="36" spans="1:156" ht="180" x14ac:dyDescent="0.25">
      <c r="A36" s="301"/>
      <c r="B36" s="176" t="s">
        <v>1229</v>
      </c>
      <c r="C36" s="176" t="s">
        <v>272</v>
      </c>
      <c r="D36" s="176"/>
      <c r="E36" s="176" t="s">
        <v>1348</v>
      </c>
      <c r="F36" s="177" t="s">
        <v>1016</v>
      </c>
      <c r="G36" s="269" t="s">
        <v>1556</v>
      </c>
      <c r="H36" s="270" t="s">
        <v>1568</v>
      </c>
      <c r="I36" s="271" t="s">
        <v>1508</v>
      </c>
      <c r="J36" s="185" t="s">
        <v>923</v>
      </c>
      <c r="K36" s="185" t="s">
        <v>1228</v>
      </c>
      <c r="L36" s="176" t="s">
        <v>1150</v>
      </c>
      <c r="M36" s="325">
        <f t="shared" si="30"/>
        <v>15702471.629999999</v>
      </c>
      <c r="N36" s="325">
        <v>0</v>
      </c>
      <c r="O36" s="325">
        <v>0</v>
      </c>
      <c r="P36" s="325">
        <v>0</v>
      </c>
      <c r="Q36" s="325">
        <v>0</v>
      </c>
      <c r="R36" s="325">
        <v>0</v>
      </c>
      <c r="S36" s="325">
        <v>0</v>
      </c>
      <c r="T36" s="325">
        <v>0</v>
      </c>
      <c r="U36" s="325">
        <v>0</v>
      </c>
      <c r="V36" s="325">
        <v>0</v>
      </c>
      <c r="W36" s="325">
        <v>167263.20000000001</v>
      </c>
      <c r="X36" s="325">
        <f t="shared" si="19"/>
        <v>167263.20000000001</v>
      </c>
      <c r="Y36" s="325">
        <v>0</v>
      </c>
      <c r="Z36" s="325">
        <v>0</v>
      </c>
      <c r="AA36" s="325">
        <v>0</v>
      </c>
      <c r="AB36" s="325">
        <v>0</v>
      </c>
      <c r="AC36" s="325">
        <v>0</v>
      </c>
      <c r="AD36" s="325">
        <v>0</v>
      </c>
      <c r="AE36" s="325">
        <v>0</v>
      </c>
      <c r="AF36" s="325">
        <v>0</v>
      </c>
      <c r="AG36" s="332">
        <v>0</v>
      </c>
      <c r="AH36" s="325">
        <v>0</v>
      </c>
      <c r="AI36" s="326">
        <v>0</v>
      </c>
      <c r="AJ36" s="325">
        <f t="shared" si="20"/>
        <v>0</v>
      </c>
      <c r="AK36" s="332">
        <v>0</v>
      </c>
      <c r="AL36" s="332">
        <v>0</v>
      </c>
      <c r="AM36" s="332">
        <v>0</v>
      </c>
      <c r="AN36" s="332">
        <v>0</v>
      </c>
      <c r="AO36" s="332">
        <v>0</v>
      </c>
      <c r="AP36" s="332">
        <v>0</v>
      </c>
      <c r="AQ36" s="332">
        <v>0</v>
      </c>
      <c r="AR36" s="332">
        <v>0</v>
      </c>
      <c r="AS36" s="332">
        <v>0</v>
      </c>
      <c r="AT36" s="332">
        <v>0</v>
      </c>
      <c r="AU36" s="332">
        <v>0</v>
      </c>
      <c r="AV36" s="332">
        <f t="shared" si="21"/>
        <v>0</v>
      </c>
      <c r="AW36" s="325">
        <v>5749090.0199999996</v>
      </c>
      <c r="AX36" s="325">
        <v>0</v>
      </c>
      <c r="AY36" s="325">
        <v>0</v>
      </c>
      <c r="AZ36" s="325">
        <v>0</v>
      </c>
      <c r="BA36" s="325">
        <v>0</v>
      </c>
      <c r="BB36" s="325">
        <v>0</v>
      </c>
      <c r="BC36" s="325">
        <v>0</v>
      </c>
      <c r="BD36" s="325">
        <v>0</v>
      </c>
      <c r="BE36" s="325">
        <v>0</v>
      </c>
      <c r="BF36" s="325">
        <v>0</v>
      </c>
      <c r="BG36" s="325">
        <v>0</v>
      </c>
      <c r="BH36" s="325">
        <f t="shared" si="22"/>
        <v>5749090.0199999996</v>
      </c>
      <c r="BI36" s="325">
        <v>9786118.4100000001</v>
      </c>
      <c r="BJ36" s="325">
        <v>0</v>
      </c>
      <c r="BK36" s="325">
        <v>0</v>
      </c>
      <c r="BL36" s="325">
        <v>0</v>
      </c>
      <c r="BM36" s="325">
        <v>0</v>
      </c>
      <c r="BN36" s="325">
        <v>0</v>
      </c>
      <c r="BO36" s="325">
        <v>0</v>
      </c>
      <c r="BP36" s="325">
        <v>0</v>
      </c>
      <c r="BQ36" s="325">
        <v>0</v>
      </c>
      <c r="BR36" s="325">
        <v>0</v>
      </c>
      <c r="BS36" s="325">
        <v>0</v>
      </c>
      <c r="BT36" s="325">
        <f t="shared" si="23"/>
        <v>9786118.4100000001</v>
      </c>
      <c r="BU36" s="325">
        <v>0</v>
      </c>
      <c r="BV36" s="325">
        <v>0</v>
      </c>
      <c r="BW36" s="325">
        <v>0</v>
      </c>
      <c r="BX36" s="325">
        <v>0</v>
      </c>
      <c r="BY36" s="325">
        <v>0</v>
      </c>
      <c r="BZ36" s="325">
        <v>0</v>
      </c>
      <c r="CA36" s="325">
        <v>0</v>
      </c>
      <c r="CB36" s="325">
        <v>0</v>
      </c>
      <c r="CC36" s="325">
        <v>0</v>
      </c>
      <c r="CD36" s="325">
        <v>0</v>
      </c>
      <c r="CE36" s="325">
        <v>0</v>
      </c>
      <c r="CF36" s="325">
        <f t="shared" si="24"/>
        <v>0</v>
      </c>
      <c r="CG36" s="325">
        <v>0</v>
      </c>
      <c r="CH36" s="325">
        <v>0</v>
      </c>
      <c r="CI36" s="325">
        <v>0</v>
      </c>
      <c r="CJ36" s="325">
        <v>0</v>
      </c>
      <c r="CK36" s="325">
        <v>0</v>
      </c>
      <c r="CL36" s="325">
        <v>0</v>
      </c>
      <c r="CM36" s="325">
        <v>0</v>
      </c>
      <c r="CN36" s="325">
        <v>0</v>
      </c>
      <c r="CO36" s="325">
        <v>0</v>
      </c>
      <c r="CP36" s="325">
        <v>0</v>
      </c>
      <c r="CQ36" s="325">
        <v>0</v>
      </c>
      <c r="CR36" s="325">
        <f t="shared" si="25"/>
        <v>0</v>
      </c>
      <c r="CS36" s="325">
        <v>0</v>
      </c>
      <c r="CT36" s="325">
        <v>0</v>
      </c>
      <c r="CU36" s="325">
        <v>0</v>
      </c>
      <c r="CV36" s="325">
        <v>0</v>
      </c>
      <c r="CW36" s="325">
        <v>0</v>
      </c>
      <c r="CX36" s="325">
        <v>0</v>
      </c>
      <c r="CY36" s="325">
        <v>0</v>
      </c>
      <c r="CZ36" s="325">
        <v>0</v>
      </c>
      <c r="DA36" s="325">
        <v>0</v>
      </c>
      <c r="DB36" s="325">
        <v>0</v>
      </c>
      <c r="DC36" s="325">
        <v>0</v>
      </c>
      <c r="DD36" s="325">
        <f t="shared" si="26"/>
        <v>0</v>
      </c>
      <c r="DE36" s="325">
        <v>0</v>
      </c>
      <c r="DF36" s="325">
        <v>0</v>
      </c>
      <c r="DG36" s="325">
        <v>0</v>
      </c>
      <c r="DH36" s="325">
        <v>0</v>
      </c>
      <c r="DI36" s="325">
        <v>0</v>
      </c>
      <c r="DJ36" s="325">
        <v>0</v>
      </c>
      <c r="DK36" s="325">
        <v>0</v>
      </c>
      <c r="DL36" s="325">
        <v>0</v>
      </c>
      <c r="DM36" s="325">
        <v>0</v>
      </c>
      <c r="DN36" s="325">
        <v>0</v>
      </c>
      <c r="DO36" s="325">
        <v>0</v>
      </c>
      <c r="DP36" s="333">
        <f t="shared" si="27"/>
        <v>0</v>
      </c>
      <c r="DQ36" s="325">
        <f>SUM(DF36:DP36)</f>
        <v>0</v>
      </c>
      <c r="DR36" s="325">
        <v>0</v>
      </c>
      <c r="DS36" s="325">
        <v>0</v>
      </c>
      <c r="DT36" s="325">
        <v>0</v>
      </c>
      <c r="DU36" s="325">
        <v>0</v>
      </c>
      <c r="DV36" s="325">
        <v>0</v>
      </c>
      <c r="DW36" s="325">
        <v>0</v>
      </c>
      <c r="DX36" s="325">
        <v>0</v>
      </c>
      <c r="DY36" s="325">
        <v>0</v>
      </c>
      <c r="DZ36" s="325">
        <v>0</v>
      </c>
      <c r="EA36" s="325">
        <v>0</v>
      </c>
      <c r="EB36" s="325">
        <f t="shared" si="28"/>
        <v>0</v>
      </c>
      <c r="EC36" s="325">
        <v>0</v>
      </c>
      <c r="ED36" s="325">
        <v>0</v>
      </c>
      <c r="EE36" s="325">
        <v>0</v>
      </c>
      <c r="EF36" s="325">
        <v>0</v>
      </c>
      <c r="EG36" s="325">
        <v>0</v>
      </c>
      <c r="EH36" s="325">
        <v>0</v>
      </c>
      <c r="EI36" s="325">
        <v>0</v>
      </c>
      <c r="EJ36" s="325">
        <v>0</v>
      </c>
      <c r="EK36" s="325">
        <v>0</v>
      </c>
      <c r="EL36" s="325">
        <v>0</v>
      </c>
      <c r="EM36" s="325">
        <v>0</v>
      </c>
      <c r="EN36" s="340">
        <f t="shared" si="29"/>
        <v>0</v>
      </c>
      <c r="EO36" s="331">
        <v>6.1660000000000004</v>
      </c>
      <c r="EP36" s="91"/>
      <c r="EQ36" s="91"/>
      <c r="ER36" s="91"/>
      <c r="ES36" s="91"/>
      <c r="ET36" s="91"/>
      <c r="EU36" s="91"/>
      <c r="EV36" s="91"/>
      <c r="EW36" s="91"/>
      <c r="EX36" s="91"/>
    </row>
    <row r="37" spans="1:156" ht="48" x14ac:dyDescent="0.25">
      <c r="A37" s="193"/>
      <c r="B37" s="176" t="s">
        <v>1226</v>
      </c>
      <c r="C37" s="176" t="s">
        <v>274</v>
      </c>
      <c r="D37" s="176"/>
      <c r="E37" s="176" t="s">
        <v>1349</v>
      </c>
      <c r="F37" s="177" t="s">
        <v>1184</v>
      </c>
      <c r="G37" s="269" t="s">
        <v>1461</v>
      </c>
      <c r="H37" s="270" t="s">
        <v>1443</v>
      </c>
      <c r="I37" s="271" t="s">
        <v>1509</v>
      </c>
      <c r="J37" s="185" t="s">
        <v>923</v>
      </c>
      <c r="K37" s="185" t="s">
        <v>1227</v>
      </c>
      <c r="L37" s="176" t="s">
        <v>1050</v>
      </c>
      <c r="M37" s="325">
        <f t="shared" si="30"/>
        <v>800000</v>
      </c>
      <c r="N37" s="332">
        <v>0</v>
      </c>
      <c r="O37" s="332">
        <v>0</v>
      </c>
      <c r="P37" s="332">
        <v>0</v>
      </c>
      <c r="Q37" s="332">
        <v>0</v>
      </c>
      <c r="R37" s="332">
        <v>0</v>
      </c>
      <c r="S37" s="332">
        <v>0</v>
      </c>
      <c r="T37" s="332">
        <v>0</v>
      </c>
      <c r="U37" s="332">
        <v>0</v>
      </c>
      <c r="V37" s="332">
        <v>0</v>
      </c>
      <c r="W37" s="332">
        <v>0</v>
      </c>
      <c r="X37" s="325">
        <f t="shared" si="19"/>
        <v>0</v>
      </c>
      <c r="Y37" s="332">
        <v>0</v>
      </c>
      <c r="Z37" s="332">
        <v>0</v>
      </c>
      <c r="AA37" s="332">
        <v>0</v>
      </c>
      <c r="AB37" s="332">
        <v>0</v>
      </c>
      <c r="AC37" s="332">
        <v>0</v>
      </c>
      <c r="AD37" s="332">
        <v>0</v>
      </c>
      <c r="AE37" s="332">
        <v>0</v>
      </c>
      <c r="AF37" s="332">
        <v>0</v>
      </c>
      <c r="AG37" s="332">
        <v>0</v>
      </c>
      <c r="AH37" s="332">
        <v>0</v>
      </c>
      <c r="AI37" s="329">
        <v>0</v>
      </c>
      <c r="AJ37" s="325">
        <f t="shared" si="20"/>
        <v>0</v>
      </c>
      <c r="AK37" s="332">
        <v>0</v>
      </c>
      <c r="AL37" s="332">
        <v>0</v>
      </c>
      <c r="AM37" s="332">
        <v>0</v>
      </c>
      <c r="AN37" s="332">
        <v>0</v>
      </c>
      <c r="AO37" s="332">
        <v>0</v>
      </c>
      <c r="AP37" s="332">
        <v>0</v>
      </c>
      <c r="AQ37" s="332">
        <v>0</v>
      </c>
      <c r="AR37" s="332">
        <v>0</v>
      </c>
      <c r="AS37" s="332">
        <v>0</v>
      </c>
      <c r="AT37" s="332">
        <v>0</v>
      </c>
      <c r="AU37" s="332">
        <v>0</v>
      </c>
      <c r="AV37" s="332">
        <f t="shared" si="21"/>
        <v>0</v>
      </c>
      <c r="AW37" s="332">
        <v>0</v>
      </c>
      <c r="AX37" s="332">
        <v>0</v>
      </c>
      <c r="AY37" s="332">
        <v>0</v>
      </c>
      <c r="AZ37" s="332">
        <v>0</v>
      </c>
      <c r="BA37" s="332">
        <v>0</v>
      </c>
      <c r="BB37" s="332">
        <v>0</v>
      </c>
      <c r="BC37" s="332">
        <v>0</v>
      </c>
      <c r="BD37" s="332">
        <v>0</v>
      </c>
      <c r="BE37" s="332">
        <v>0</v>
      </c>
      <c r="BF37" s="332">
        <v>0</v>
      </c>
      <c r="BG37" s="332">
        <v>300000</v>
      </c>
      <c r="BH37" s="325">
        <f t="shared" si="22"/>
        <v>300000</v>
      </c>
      <c r="BI37" s="332">
        <v>0</v>
      </c>
      <c r="BJ37" s="332">
        <v>0</v>
      </c>
      <c r="BK37" s="332">
        <v>0</v>
      </c>
      <c r="BL37" s="332">
        <v>0</v>
      </c>
      <c r="BM37" s="332">
        <v>0</v>
      </c>
      <c r="BN37" s="332">
        <v>0</v>
      </c>
      <c r="BO37" s="332">
        <v>0</v>
      </c>
      <c r="BP37" s="332">
        <v>0</v>
      </c>
      <c r="BQ37" s="332">
        <v>0</v>
      </c>
      <c r="BR37" s="332">
        <v>0</v>
      </c>
      <c r="BS37" s="332">
        <v>500000</v>
      </c>
      <c r="BT37" s="325">
        <f t="shared" si="23"/>
        <v>500000</v>
      </c>
      <c r="BU37" s="332">
        <v>0</v>
      </c>
      <c r="BV37" s="332">
        <v>0</v>
      </c>
      <c r="BW37" s="332">
        <v>0</v>
      </c>
      <c r="BX37" s="332">
        <v>0</v>
      </c>
      <c r="BY37" s="332">
        <v>0</v>
      </c>
      <c r="BZ37" s="332">
        <v>0</v>
      </c>
      <c r="CA37" s="332">
        <v>0</v>
      </c>
      <c r="CB37" s="332">
        <v>0</v>
      </c>
      <c r="CC37" s="332">
        <v>0</v>
      </c>
      <c r="CD37" s="332">
        <v>0</v>
      </c>
      <c r="CE37" s="332">
        <v>0</v>
      </c>
      <c r="CF37" s="332">
        <f t="shared" si="24"/>
        <v>0</v>
      </c>
      <c r="CG37" s="332">
        <v>0</v>
      </c>
      <c r="CH37" s="332">
        <v>0</v>
      </c>
      <c r="CI37" s="332">
        <v>0</v>
      </c>
      <c r="CJ37" s="332">
        <v>0</v>
      </c>
      <c r="CK37" s="332">
        <v>0</v>
      </c>
      <c r="CL37" s="332">
        <v>0</v>
      </c>
      <c r="CM37" s="332">
        <v>0</v>
      </c>
      <c r="CN37" s="332">
        <v>0</v>
      </c>
      <c r="CO37" s="332">
        <v>0</v>
      </c>
      <c r="CP37" s="332">
        <v>0</v>
      </c>
      <c r="CQ37" s="332">
        <v>0</v>
      </c>
      <c r="CR37" s="325">
        <f t="shared" si="25"/>
        <v>0</v>
      </c>
      <c r="CS37" s="329">
        <v>0</v>
      </c>
      <c r="CT37" s="329">
        <v>0</v>
      </c>
      <c r="CU37" s="329">
        <v>0</v>
      </c>
      <c r="CV37" s="329">
        <v>0</v>
      </c>
      <c r="CW37" s="329">
        <v>0</v>
      </c>
      <c r="CX37" s="329">
        <v>0</v>
      </c>
      <c r="CY37" s="329">
        <v>0</v>
      </c>
      <c r="CZ37" s="329">
        <v>0</v>
      </c>
      <c r="DA37" s="329">
        <v>0</v>
      </c>
      <c r="DB37" s="329">
        <v>0</v>
      </c>
      <c r="DC37" s="329">
        <v>0</v>
      </c>
      <c r="DD37" s="333">
        <f t="shared" si="26"/>
        <v>0</v>
      </c>
      <c r="DE37" s="329">
        <v>0</v>
      </c>
      <c r="DF37" s="329">
        <v>0</v>
      </c>
      <c r="DG37" s="329">
        <v>0</v>
      </c>
      <c r="DH37" s="329">
        <v>0</v>
      </c>
      <c r="DI37" s="329">
        <v>0</v>
      </c>
      <c r="DJ37" s="329">
        <v>0</v>
      </c>
      <c r="DK37" s="329">
        <v>0</v>
      </c>
      <c r="DL37" s="329">
        <v>0</v>
      </c>
      <c r="DM37" s="329">
        <v>0</v>
      </c>
      <c r="DN37" s="329">
        <v>0</v>
      </c>
      <c r="DO37" s="329">
        <v>0</v>
      </c>
      <c r="DP37" s="333">
        <f t="shared" si="27"/>
        <v>0</v>
      </c>
      <c r="DQ37" s="329">
        <v>0</v>
      </c>
      <c r="DR37" s="329">
        <v>0</v>
      </c>
      <c r="DS37" s="329">
        <v>0</v>
      </c>
      <c r="DT37" s="329">
        <v>0</v>
      </c>
      <c r="DU37" s="329">
        <v>0</v>
      </c>
      <c r="DV37" s="329">
        <v>0</v>
      </c>
      <c r="DW37" s="329">
        <v>0</v>
      </c>
      <c r="DX37" s="329">
        <v>0</v>
      </c>
      <c r="DY37" s="329">
        <v>0</v>
      </c>
      <c r="DZ37" s="329">
        <v>0</v>
      </c>
      <c r="EA37" s="329">
        <v>0</v>
      </c>
      <c r="EB37" s="333">
        <f t="shared" si="28"/>
        <v>0</v>
      </c>
      <c r="EC37" s="329">
        <v>0</v>
      </c>
      <c r="ED37" s="329">
        <v>0</v>
      </c>
      <c r="EE37" s="329">
        <v>0</v>
      </c>
      <c r="EF37" s="329">
        <v>0</v>
      </c>
      <c r="EG37" s="329">
        <v>0</v>
      </c>
      <c r="EH37" s="329">
        <v>0</v>
      </c>
      <c r="EI37" s="329">
        <v>0</v>
      </c>
      <c r="EJ37" s="329">
        <v>0</v>
      </c>
      <c r="EK37" s="329">
        <v>0</v>
      </c>
      <c r="EL37" s="329">
        <v>0</v>
      </c>
      <c r="EM37" s="329">
        <v>0</v>
      </c>
      <c r="EN37" s="330">
        <f t="shared" si="29"/>
        <v>0</v>
      </c>
      <c r="EO37" s="331" t="s">
        <v>1538</v>
      </c>
      <c r="EP37" s="91"/>
      <c r="EQ37" s="91"/>
      <c r="ER37" s="91"/>
      <c r="ES37" s="91"/>
      <c r="ET37" s="91"/>
      <c r="EU37" s="91"/>
      <c r="EV37" s="91"/>
      <c r="EW37" s="91"/>
      <c r="EX37" s="91"/>
    </row>
    <row r="38" spans="1:156" ht="84" x14ac:dyDescent="0.25">
      <c r="A38" s="193"/>
      <c r="B38" s="176" t="s">
        <v>1218</v>
      </c>
      <c r="C38" s="176" t="s">
        <v>116</v>
      </c>
      <c r="D38" s="176"/>
      <c r="E38" s="176" t="s">
        <v>1350</v>
      </c>
      <c r="F38" s="177" t="s">
        <v>1182</v>
      </c>
      <c r="G38" s="269" t="s">
        <v>1557</v>
      </c>
      <c r="H38" s="270" t="s">
        <v>1569</v>
      </c>
      <c r="I38" s="273" t="s">
        <v>1527</v>
      </c>
      <c r="J38" s="296" t="s">
        <v>923</v>
      </c>
      <c r="K38" s="185" t="s">
        <v>1219</v>
      </c>
      <c r="L38" s="176" t="s">
        <v>1050</v>
      </c>
      <c r="M38" s="325">
        <f t="shared" si="30"/>
        <v>15550000</v>
      </c>
      <c r="N38" s="332">
        <v>0</v>
      </c>
      <c r="O38" s="332">
        <v>0</v>
      </c>
      <c r="P38" s="332">
        <v>0</v>
      </c>
      <c r="Q38" s="332">
        <v>0</v>
      </c>
      <c r="R38" s="332">
        <v>0</v>
      </c>
      <c r="S38" s="332">
        <v>0</v>
      </c>
      <c r="T38" s="332">
        <v>0</v>
      </c>
      <c r="U38" s="332">
        <v>0</v>
      </c>
      <c r="V38" s="332">
        <v>0</v>
      </c>
      <c r="W38" s="332">
        <v>0</v>
      </c>
      <c r="X38" s="325">
        <f t="shared" si="19"/>
        <v>0</v>
      </c>
      <c r="Y38" s="332">
        <v>0</v>
      </c>
      <c r="Z38" s="332">
        <v>0</v>
      </c>
      <c r="AA38" s="332">
        <v>0</v>
      </c>
      <c r="AB38" s="332">
        <v>0</v>
      </c>
      <c r="AC38" s="332">
        <v>0</v>
      </c>
      <c r="AD38" s="332">
        <v>0</v>
      </c>
      <c r="AE38" s="332">
        <v>0</v>
      </c>
      <c r="AF38" s="332">
        <v>0</v>
      </c>
      <c r="AG38" s="332">
        <v>0</v>
      </c>
      <c r="AH38" s="332">
        <v>0</v>
      </c>
      <c r="AI38" s="329">
        <v>0</v>
      </c>
      <c r="AJ38" s="325">
        <f t="shared" si="20"/>
        <v>0</v>
      </c>
      <c r="AK38" s="332">
        <v>0</v>
      </c>
      <c r="AL38" s="332">
        <v>0</v>
      </c>
      <c r="AM38" s="332">
        <v>0</v>
      </c>
      <c r="AN38" s="332">
        <v>0</v>
      </c>
      <c r="AO38" s="332">
        <v>0</v>
      </c>
      <c r="AP38" s="332">
        <v>0</v>
      </c>
      <c r="AQ38" s="332">
        <v>0</v>
      </c>
      <c r="AR38" s="332">
        <v>0</v>
      </c>
      <c r="AS38" s="332">
        <v>0</v>
      </c>
      <c r="AT38" s="332">
        <v>0</v>
      </c>
      <c r="AU38" s="332">
        <v>0</v>
      </c>
      <c r="AV38" s="332">
        <f t="shared" si="21"/>
        <v>0</v>
      </c>
      <c r="AW38" s="332">
        <v>0</v>
      </c>
      <c r="AX38" s="332">
        <v>0</v>
      </c>
      <c r="AY38" s="332">
        <v>0</v>
      </c>
      <c r="AZ38" s="332">
        <v>0</v>
      </c>
      <c r="BA38" s="332">
        <v>0</v>
      </c>
      <c r="BB38" s="332">
        <v>0</v>
      </c>
      <c r="BC38" s="332">
        <v>0</v>
      </c>
      <c r="BD38" s="332">
        <v>0</v>
      </c>
      <c r="BE38" s="332">
        <v>0</v>
      </c>
      <c r="BF38" s="332">
        <v>0</v>
      </c>
      <c r="BG38" s="332">
        <v>0</v>
      </c>
      <c r="BH38" s="325">
        <f t="shared" si="22"/>
        <v>0</v>
      </c>
      <c r="BI38" s="332">
        <v>0</v>
      </c>
      <c r="BJ38" s="332">
        <v>0</v>
      </c>
      <c r="BK38" s="332">
        <v>0</v>
      </c>
      <c r="BL38" s="332">
        <v>0</v>
      </c>
      <c r="BM38" s="332">
        <v>0</v>
      </c>
      <c r="BN38" s="332">
        <v>0</v>
      </c>
      <c r="BO38" s="332">
        <v>0</v>
      </c>
      <c r="BP38" s="332">
        <v>0</v>
      </c>
      <c r="BQ38" s="332">
        <v>0</v>
      </c>
      <c r="BR38" s="332">
        <v>0</v>
      </c>
      <c r="BS38" s="332">
        <v>0</v>
      </c>
      <c r="BT38" s="325">
        <f t="shared" si="23"/>
        <v>0</v>
      </c>
      <c r="BU38" s="332">
        <v>0</v>
      </c>
      <c r="BV38" s="332">
        <v>0</v>
      </c>
      <c r="BW38" s="332">
        <v>0</v>
      </c>
      <c r="BX38" s="332">
        <v>0</v>
      </c>
      <c r="BY38" s="332">
        <v>0</v>
      </c>
      <c r="BZ38" s="332">
        <v>0</v>
      </c>
      <c r="CA38" s="332">
        <v>0</v>
      </c>
      <c r="CB38" s="332">
        <v>0</v>
      </c>
      <c r="CC38" s="332">
        <v>0</v>
      </c>
      <c r="CD38" s="332">
        <v>0</v>
      </c>
      <c r="CE38" s="332">
        <v>3000000</v>
      </c>
      <c r="CF38" s="332">
        <f t="shared" si="24"/>
        <v>3000000</v>
      </c>
      <c r="CG38" s="332">
        <v>0</v>
      </c>
      <c r="CH38" s="332">
        <v>0</v>
      </c>
      <c r="CI38" s="332">
        <v>0</v>
      </c>
      <c r="CJ38" s="332">
        <v>0</v>
      </c>
      <c r="CK38" s="332">
        <v>0</v>
      </c>
      <c r="CL38" s="332">
        <v>0</v>
      </c>
      <c r="CM38" s="332">
        <v>0</v>
      </c>
      <c r="CN38" s="332">
        <v>0</v>
      </c>
      <c r="CO38" s="332">
        <v>0</v>
      </c>
      <c r="CP38" s="332">
        <v>0</v>
      </c>
      <c r="CQ38" s="332">
        <v>7000000</v>
      </c>
      <c r="CR38" s="325">
        <f t="shared" si="25"/>
        <v>7000000</v>
      </c>
      <c r="CS38" s="329">
        <v>0</v>
      </c>
      <c r="CT38" s="329">
        <v>0</v>
      </c>
      <c r="CU38" s="329">
        <v>0</v>
      </c>
      <c r="CV38" s="329">
        <v>0</v>
      </c>
      <c r="CW38" s="329">
        <v>0</v>
      </c>
      <c r="CX38" s="329">
        <v>0</v>
      </c>
      <c r="CY38" s="329">
        <v>0</v>
      </c>
      <c r="CZ38" s="329">
        <v>0</v>
      </c>
      <c r="DA38" s="329">
        <v>0</v>
      </c>
      <c r="DB38" s="329">
        <v>0</v>
      </c>
      <c r="DC38" s="329">
        <v>5550000</v>
      </c>
      <c r="DD38" s="333">
        <f t="shared" si="26"/>
        <v>5550000</v>
      </c>
      <c r="DE38" s="329">
        <v>0</v>
      </c>
      <c r="DF38" s="329">
        <v>0</v>
      </c>
      <c r="DG38" s="329">
        <v>0</v>
      </c>
      <c r="DH38" s="329">
        <v>0</v>
      </c>
      <c r="DI38" s="329">
        <v>0</v>
      </c>
      <c r="DJ38" s="329">
        <v>0</v>
      </c>
      <c r="DK38" s="329">
        <v>0</v>
      </c>
      <c r="DL38" s="329">
        <v>0</v>
      </c>
      <c r="DM38" s="329">
        <v>0</v>
      </c>
      <c r="DN38" s="329">
        <v>0</v>
      </c>
      <c r="DO38" s="329">
        <v>0</v>
      </c>
      <c r="DP38" s="333">
        <f t="shared" si="27"/>
        <v>0</v>
      </c>
      <c r="DQ38" s="329">
        <v>0</v>
      </c>
      <c r="DR38" s="329">
        <v>0</v>
      </c>
      <c r="DS38" s="329">
        <v>0</v>
      </c>
      <c r="DT38" s="329">
        <v>0</v>
      </c>
      <c r="DU38" s="329">
        <v>0</v>
      </c>
      <c r="DV38" s="329">
        <v>0</v>
      </c>
      <c r="DW38" s="329">
        <v>0</v>
      </c>
      <c r="DX38" s="329">
        <v>0</v>
      </c>
      <c r="DY38" s="329">
        <v>0</v>
      </c>
      <c r="DZ38" s="329">
        <v>0</v>
      </c>
      <c r="EA38" s="329">
        <v>0</v>
      </c>
      <c r="EB38" s="333">
        <f t="shared" si="28"/>
        <v>0</v>
      </c>
      <c r="EC38" s="329">
        <v>0</v>
      </c>
      <c r="ED38" s="329">
        <v>0</v>
      </c>
      <c r="EE38" s="329">
        <v>0</v>
      </c>
      <c r="EF38" s="329">
        <v>0</v>
      </c>
      <c r="EG38" s="329">
        <v>0</v>
      </c>
      <c r="EH38" s="329">
        <v>0</v>
      </c>
      <c r="EI38" s="329">
        <v>0</v>
      </c>
      <c r="EJ38" s="329">
        <v>0</v>
      </c>
      <c r="EK38" s="329">
        <v>0</v>
      </c>
      <c r="EL38" s="329">
        <v>0</v>
      </c>
      <c r="EM38" s="329">
        <v>0</v>
      </c>
      <c r="EN38" s="330">
        <f t="shared" si="29"/>
        <v>0</v>
      </c>
      <c r="EO38" s="331" t="s">
        <v>1538</v>
      </c>
      <c r="EP38" s="91"/>
      <c r="EQ38" s="91"/>
      <c r="ER38" s="91"/>
      <c r="ES38" s="91"/>
      <c r="ET38" s="91"/>
      <c r="EU38" s="91"/>
      <c r="EV38" s="91"/>
      <c r="EW38" s="91"/>
      <c r="EX38" s="91"/>
    </row>
    <row r="39" spans="1:156" ht="108" x14ac:dyDescent="0.25">
      <c r="A39" s="193"/>
      <c r="B39" s="176" t="s">
        <v>1220</v>
      </c>
      <c r="C39" s="176" t="s">
        <v>66</v>
      </c>
      <c r="D39" s="176"/>
      <c r="E39" s="176" t="s">
        <v>1351</v>
      </c>
      <c r="F39" s="177" t="s">
        <v>938</v>
      </c>
      <c r="G39" s="269" t="s">
        <v>1558</v>
      </c>
      <c r="H39" s="270" t="s">
        <v>1413</v>
      </c>
      <c r="I39" s="271" t="s">
        <v>1501</v>
      </c>
      <c r="J39" s="296" t="s">
        <v>923</v>
      </c>
      <c r="K39" s="185" t="s">
        <v>1221</v>
      </c>
      <c r="L39" s="176" t="s">
        <v>1050</v>
      </c>
      <c r="M39" s="325">
        <f t="shared" si="30"/>
        <v>2450000</v>
      </c>
      <c r="N39" s="332">
        <v>0</v>
      </c>
      <c r="O39" s="332">
        <v>0</v>
      </c>
      <c r="P39" s="332">
        <v>0</v>
      </c>
      <c r="Q39" s="332">
        <v>0</v>
      </c>
      <c r="R39" s="332">
        <v>0</v>
      </c>
      <c r="S39" s="332">
        <v>0</v>
      </c>
      <c r="T39" s="332">
        <v>0</v>
      </c>
      <c r="U39" s="332">
        <v>0</v>
      </c>
      <c r="V39" s="332">
        <v>0</v>
      </c>
      <c r="W39" s="332">
        <v>0</v>
      </c>
      <c r="X39" s="325">
        <f t="shared" si="19"/>
        <v>0</v>
      </c>
      <c r="Y39" s="332">
        <v>0</v>
      </c>
      <c r="Z39" s="332">
        <v>0</v>
      </c>
      <c r="AA39" s="332">
        <v>0</v>
      </c>
      <c r="AB39" s="332">
        <v>0</v>
      </c>
      <c r="AC39" s="332">
        <v>0</v>
      </c>
      <c r="AD39" s="332">
        <v>0</v>
      </c>
      <c r="AE39" s="332">
        <v>0</v>
      </c>
      <c r="AF39" s="332">
        <v>0</v>
      </c>
      <c r="AG39" s="332">
        <v>0</v>
      </c>
      <c r="AH39" s="332">
        <v>0</v>
      </c>
      <c r="AI39" s="329">
        <v>0</v>
      </c>
      <c r="AJ39" s="325">
        <f t="shared" si="20"/>
        <v>0</v>
      </c>
      <c r="AK39" s="332">
        <v>0</v>
      </c>
      <c r="AL39" s="332">
        <v>0</v>
      </c>
      <c r="AM39" s="332">
        <v>0</v>
      </c>
      <c r="AN39" s="332">
        <v>0</v>
      </c>
      <c r="AO39" s="332">
        <v>0</v>
      </c>
      <c r="AP39" s="332">
        <v>0</v>
      </c>
      <c r="AQ39" s="332">
        <v>0</v>
      </c>
      <c r="AR39" s="332">
        <v>0</v>
      </c>
      <c r="AS39" s="332">
        <v>0</v>
      </c>
      <c r="AT39" s="332">
        <v>0</v>
      </c>
      <c r="AU39" s="332">
        <v>0</v>
      </c>
      <c r="AV39" s="332">
        <f t="shared" si="21"/>
        <v>0</v>
      </c>
      <c r="AW39" s="332">
        <v>0</v>
      </c>
      <c r="AX39" s="332">
        <v>0</v>
      </c>
      <c r="AY39" s="332">
        <v>0</v>
      </c>
      <c r="AZ39" s="332">
        <v>0</v>
      </c>
      <c r="BA39" s="332">
        <v>0</v>
      </c>
      <c r="BB39" s="332">
        <v>0</v>
      </c>
      <c r="BC39" s="332">
        <v>0</v>
      </c>
      <c r="BD39" s="332">
        <v>0</v>
      </c>
      <c r="BE39" s="332">
        <v>0</v>
      </c>
      <c r="BF39" s="332">
        <v>0</v>
      </c>
      <c r="BG39" s="332">
        <v>0</v>
      </c>
      <c r="BH39" s="325">
        <f t="shared" si="22"/>
        <v>0</v>
      </c>
      <c r="BI39" s="332">
        <v>0</v>
      </c>
      <c r="BJ39" s="332">
        <v>0</v>
      </c>
      <c r="BK39" s="332">
        <v>0</v>
      </c>
      <c r="BL39" s="332">
        <v>0</v>
      </c>
      <c r="BM39" s="332">
        <v>0</v>
      </c>
      <c r="BN39" s="332">
        <v>0</v>
      </c>
      <c r="BO39" s="332">
        <v>0</v>
      </c>
      <c r="BP39" s="332">
        <v>0</v>
      </c>
      <c r="BQ39" s="332">
        <v>0</v>
      </c>
      <c r="BR39" s="332">
        <v>0</v>
      </c>
      <c r="BS39" s="332">
        <v>0</v>
      </c>
      <c r="BT39" s="325">
        <f t="shared" si="23"/>
        <v>0</v>
      </c>
      <c r="BU39" s="332">
        <v>0</v>
      </c>
      <c r="BV39" s="332">
        <v>0</v>
      </c>
      <c r="BW39" s="332">
        <v>0</v>
      </c>
      <c r="BX39" s="332">
        <v>0</v>
      </c>
      <c r="BY39" s="332">
        <v>0</v>
      </c>
      <c r="BZ39" s="332">
        <v>0</v>
      </c>
      <c r="CA39" s="332">
        <v>0</v>
      </c>
      <c r="CB39" s="332">
        <v>0</v>
      </c>
      <c r="CC39" s="332">
        <v>0</v>
      </c>
      <c r="CD39" s="332">
        <v>0</v>
      </c>
      <c r="CE39" s="332">
        <v>1000000</v>
      </c>
      <c r="CF39" s="332">
        <f t="shared" si="24"/>
        <v>1000000</v>
      </c>
      <c r="CG39" s="332">
        <v>0</v>
      </c>
      <c r="CH39" s="332">
        <v>0</v>
      </c>
      <c r="CI39" s="332">
        <v>0</v>
      </c>
      <c r="CJ39" s="332">
        <v>0</v>
      </c>
      <c r="CK39" s="332">
        <v>0</v>
      </c>
      <c r="CL39" s="332">
        <v>0</v>
      </c>
      <c r="CM39" s="332">
        <v>0</v>
      </c>
      <c r="CN39" s="332">
        <v>0</v>
      </c>
      <c r="CO39" s="332">
        <v>0</v>
      </c>
      <c r="CP39" s="332">
        <v>0</v>
      </c>
      <c r="CQ39" s="332">
        <v>1450000</v>
      </c>
      <c r="CR39" s="325">
        <f t="shared" si="25"/>
        <v>1450000</v>
      </c>
      <c r="CS39" s="329">
        <v>0</v>
      </c>
      <c r="CT39" s="329">
        <v>0</v>
      </c>
      <c r="CU39" s="329">
        <v>0</v>
      </c>
      <c r="CV39" s="329">
        <v>0</v>
      </c>
      <c r="CW39" s="329">
        <v>0</v>
      </c>
      <c r="CX39" s="329">
        <v>0</v>
      </c>
      <c r="CY39" s="329">
        <v>0</v>
      </c>
      <c r="CZ39" s="329">
        <v>0</v>
      </c>
      <c r="DA39" s="329">
        <v>0</v>
      </c>
      <c r="DB39" s="329">
        <v>0</v>
      </c>
      <c r="DC39" s="329">
        <v>0</v>
      </c>
      <c r="DD39" s="333">
        <f t="shared" si="26"/>
        <v>0</v>
      </c>
      <c r="DE39" s="329">
        <v>0</v>
      </c>
      <c r="DF39" s="329">
        <v>0</v>
      </c>
      <c r="DG39" s="329">
        <v>0</v>
      </c>
      <c r="DH39" s="329">
        <v>0</v>
      </c>
      <c r="DI39" s="329">
        <v>0</v>
      </c>
      <c r="DJ39" s="329">
        <v>0</v>
      </c>
      <c r="DK39" s="329">
        <v>0</v>
      </c>
      <c r="DL39" s="329">
        <v>0</v>
      </c>
      <c r="DM39" s="329">
        <v>0</v>
      </c>
      <c r="DN39" s="329">
        <v>0</v>
      </c>
      <c r="DO39" s="329">
        <v>0</v>
      </c>
      <c r="DP39" s="333">
        <f t="shared" si="27"/>
        <v>0</v>
      </c>
      <c r="DQ39" s="329">
        <v>0</v>
      </c>
      <c r="DR39" s="329">
        <v>0</v>
      </c>
      <c r="DS39" s="329">
        <v>0</v>
      </c>
      <c r="DT39" s="329">
        <v>0</v>
      </c>
      <c r="DU39" s="329">
        <v>0</v>
      </c>
      <c r="DV39" s="329">
        <v>0</v>
      </c>
      <c r="DW39" s="329">
        <v>0</v>
      </c>
      <c r="DX39" s="329">
        <v>0</v>
      </c>
      <c r="DY39" s="329">
        <v>0</v>
      </c>
      <c r="DZ39" s="329">
        <v>0</v>
      </c>
      <c r="EA39" s="329">
        <v>0</v>
      </c>
      <c r="EB39" s="333">
        <f t="shared" si="28"/>
        <v>0</v>
      </c>
      <c r="EC39" s="329">
        <v>0</v>
      </c>
      <c r="ED39" s="329">
        <v>0</v>
      </c>
      <c r="EE39" s="329">
        <v>0</v>
      </c>
      <c r="EF39" s="329">
        <v>0</v>
      </c>
      <c r="EG39" s="329">
        <v>0</v>
      </c>
      <c r="EH39" s="329">
        <v>0</v>
      </c>
      <c r="EI39" s="329">
        <v>0</v>
      </c>
      <c r="EJ39" s="329">
        <v>0</v>
      </c>
      <c r="EK39" s="329">
        <v>0</v>
      </c>
      <c r="EL39" s="329">
        <v>0</v>
      </c>
      <c r="EM39" s="329">
        <v>0</v>
      </c>
      <c r="EN39" s="330">
        <f t="shared" si="29"/>
        <v>0</v>
      </c>
      <c r="EO39" s="331" t="s">
        <v>1545</v>
      </c>
      <c r="EP39" s="91"/>
      <c r="EQ39" s="91"/>
      <c r="ER39" s="91"/>
      <c r="ES39" s="91"/>
      <c r="ET39" s="91"/>
      <c r="EU39" s="91"/>
      <c r="EV39" s="91"/>
      <c r="EW39" s="91"/>
      <c r="EX39" s="91"/>
    </row>
    <row r="40" spans="1:156" ht="60" x14ac:dyDescent="0.25">
      <c r="A40" s="193"/>
      <c r="B40" s="176" t="s">
        <v>1222</v>
      </c>
      <c r="C40" s="176" t="s">
        <v>76</v>
      </c>
      <c r="D40" s="176"/>
      <c r="E40" s="176" t="s">
        <v>1352</v>
      </c>
      <c r="F40" s="177" t="s">
        <v>1181</v>
      </c>
      <c r="G40" s="269" t="s">
        <v>1461</v>
      </c>
      <c r="H40" s="270" t="s">
        <v>1443</v>
      </c>
      <c r="I40" s="271" t="s">
        <v>1510</v>
      </c>
      <c r="J40" s="296" t="s">
        <v>923</v>
      </c>
      <c r="K40" s="185" t="s">
        <v>1305</v>
      </c>
      <c r="L40" s="176" t="s">
        <v>1050</v>
      </c>
      <c r="M40" s="325">
        <f t="shared" si="30"/>
        <v>2760000</v>
      </c>
      <c r="N40" s="332">
        <v>0</v>
      </c>
      <c r="O40" s="332">
        <v>0</v>
      </c>
      <c r="P40" s="332">
        <v>0</v>
      </c>
      <c r="Q40" s="332">
        <v>0</v>
      </c>
      <c r="R40" s="332">
        <v>0</v>
      </c>
      <c r="S40" s="332">
        <v>0</v>
      </c>
      <c r="T40" s="332">
        <v>0</v>
      </c>
      <c r="U40" s="332">
        <v>0</v>
      </c>
      <c r="V40" s="332">
        <v>0</v>
      </c>
      <c r="W40" s="332">
        <v>0</v>
      </c>
      <c r="X40" s="325">
        <f t="shared" si="19"/>
        <v>0</v>
      </c>
      <c r="Y40" s="332">
        <v>0</v>
      </c>
      <c r="Z40" s="332">
        <v>0</v>
      </c>
      <c r="AA40" s="332">
        <v>0</v>
      </c>
      <c r="AB40" s="332">
        <v>0</v>
      </c>
      <c r="AC40" s="332">
        <v>0</v>
      </c>
      <c r="AD40" s="332">
        <v>0</v>
      </c>
      <c r="AE40" s="332">
        <v>0</v>
      </c>
      <c r="AF40" s="332">
        <v>0</v>
      </c>
      <c r="AG40" s="332">
        <v>0</v>
      </c>
      <c r="AH40" s="332">
        <v>0</v>
      </c>
      <c r="AI40" s="329">
        <v>0</v>
      </c>
      <c r="AJ40" s="325">
        <f t="shared" si="20"/>
        <v>0</v>
      </c>
      <c r="AK40" s="332">
        <v>0</v>
      </c>
      <c r="AL40" s="332">
        <v>0</v>
      </c>
      <c r="AM40" s="332">
        <v>0</v>
      </c>
      <c r="AN40" s="332">
        <v>0</v>
      </c>
      <c r="AO40" s="332">
        <v>0</v>
      </c>
      <c r="AP40" s="332">
        <v>0</v>
      </c>
      <c r="AQ40" s="332">
        <v>0</v>
      </c>
      <c r="AR40" s="332">
        <v>0</v>
      </c>
      <c r="AS40" s="332">
        <v>0</v>
      </c>
      <c r="AT40" s="332">
        <v>0</v>
      </c>
      <c r="AU40" s="332">
        <v>0</v>
      </c>
      <c r="AV40" s="332">
        <f t="shared" si="21"/>
        <v>0</v>
      </c>
      <c r="AW40" s="332">
        <v>0</v>
      </c>
      <c r="AX40" s="332">
        <v>0</v>
      </c>
      <c r="AY40" s="332">
        <v>0</v>
      </c>
      <c r="AZ40" s="332">
        <v>0</v>
      </c>
      <c r="BA40" s="332">
        <v>0</v>
      </c>
      <c r="BB40" s="332">
        <v>0</v>
      </c>
      <c r="BC40" s="332">
        <v>0</v>
      </c>
      <c r="BD40" s="332">
        <v>0</v>
      </c>
      <c r="BE40" s="332">
        <v>0</v>
      </c>
      <c r="BF40" s="332">
        <v>0</v>
      </c>
      <c r="BG40" s="332">
        <v>0</v>
      </c>
      <c r="BH40" s="325">
        <f t="shared" si="22"/>
        <v>0</v>
      </c>
      <c r="BI40" s="332">
        <v>0</v>
      </c>
      <c r="BJ40" s="332">
        <v>0</v>
      </c>
      <c r="BK40" s="332">
        <v>0</v>
      </c>
      <c r="BL40" s="332">
        <v>0</v>
      </c>
      <c r="BM40" s="332">
        <v>0</v>
      </c>
      <c r="BN40" s="332">
        <v>0</v>
      </c>
      <c r="BO40" s="332">
        <v>0</v>
      </c>
      <c r="BP40" s="332">
        <v>0</v>
      </c>
      <c r="BQ40" s="332">
        <v>0</v>
      </c>
      <c r="BR40" s="332">
        <v>0</v>
      </c>
      <c r="BS40" s="332">
        <v>2760000</v>
      </c>
      <c r="BT40" s="325">
        <f t="shared" si="23"/>
        <v>2760000</v>
      </c>
      <c r="BU40" s="332">
        <v>0</v>
      </c>
      <c r="BV40" s="332">
        <v>0</v>
      </c>
      <c r="BW40" s="332">
        <v>0</v>
      </c>
      <c r="BX40" s="332">
        <v>0</v>
      </c>
      <c r="BY40" s="332">
        <v>0</v>
      </c>
      <c r="BZ40" s="332">
        <v>0</v>
      </c>
      <c r="CA40" s="332">
        <v>0</v>
      </c>
      <c r="CB40" s="332">
        <v>0</v>
      </c>
      <c r="CC40" s="332">
        <v>0</v>
      </c>
      <c r="CD40" s="332">
        <v>0</v>
      </c>
      <c r="CE40" s="332">
        <v>0</v>
      </c>
      <c r="CF40" s="332">
        <f t="shared" si="24"/>
        <v>0</v>
      </c>
      <c r="CG40" s="332">
        <v>0</v>
      </c>
      <c r="CH40" s="332">
        <v>0</v>
      </c>
      <c r="CI40" s="332">
        <v>0</v>
      </c>
      <c r="CJ40" s="332">
        <v>0</v>
      </c>
      <c r="CK40" s="332">
        <v>0</v>
      </c>
      <c r="CL40" s="332">
        <v>0</v>
      </c>
      <c r="CM40" s="332">
        <v>0</v>
      </c>
      <c r="CN40" s="332">
        <v>0</v>
      </c>
      <c r="CO40" s="332">
        <v>0</v>
      </c>
      <c r="CP40" s="332">
        <v>0</v>
      </c>
      <c r="CQ40" s="332">
        <v>0</v>
      </c>
      <c r="CR40" s="325">
        <f t="shared" si="25"/>
        <v>0</v>
      </c>
      <c r="CS40" s="329">
        <v>0</v>
      </c>
      <c r="CT40" s="329">
        <v>0</v>
      </c>
      <c r="CU40" s="329">
        <v>0</v>
      </c>
      <c r="CV40" s="329">
        <v>0</v>
      </c>
      <c r="CW40" s="329">
        <v>0</v>
      </c>
      <c r="CX40" s="329">
        <v>0</v>
      </c>
      <c r="CY40" s="329">
        <v>0</v>
      </c>
      <c r="CZ40" s="329">
        <v>0</v>
      </c>
      <c r="DA40" s="329">
        <v>0</v>
      </c>
      <c r="DB40" s="329">
        <v>0</v>
      </c>
      <c r="DC40" s="329">
        <v>0</v>
      </c>
      <c r="DD40" s="333">
        <f t="shared" si="26"/>
        <v>0</v>
      </c>
      <c r="DE40" s="329">
        <v>0</v>
      </c>
      <c r="DF40" s="329">
        <v>0</v>
      </c>
      <c r="DG40" s="329">
        <v>0</v>
      </c>
      <c r="DH40" s="329">
        <v>0</v>
      </c>
      <c r="DI40" s="329">
        <v>0</v>
      </c>
      <c r="DJ40" s="329">
        <v>0</v>
      </c>
      <c r="DK40" s="329">
        <v>0</v>
      </c>
      <c r="DL40" s="329">
        <v>0</v>
      </c>
      <c r="DM40" s="329">
        <v>0</v>
      </c>
      <c r="DN40" s="329">
        <v>0</v>
      </c>
      <c r="DO40" s="329">
        <v>0</v>
      </c>
      <c r="DP40" s="333">
        <f t="shared" si="27"/>
        <v>0</v>
      </c>
      <c r="DQ40" s="329">
        <v>0</v>
      </c>
      <c r="DR40" s="329">
        <v>0</v>
      </c>
      <c r="DS40" s="329">
        <v>0</v>
      </c>
      <c r="DT40" s="329">
        <v>0</v>
      </c>
      <c r="DU40" s="329">
        <v>0</v>
      </c>
      <c r="DV40" s="329">
        <v>0</v>
      </c>
      <c r="DW40" s="329">
        <v>0</v>
      </c>
      <c r="DX40" s="329">
        <v>0</v>
      </c>
      <c r="DY40" s="329">
        <v>0</v>
      </c>
      <c r="DZ40" s="329">
        <v>0</v>
      </c>
      <c r="EA40" s="329">
        <v>0</v>
      </c>
      <c r="EB40" s="333">
        <f t="shared" si="28"/>
        <v>0</v>
      </c>
      <c r="EC40" s="329">
        <v>0</v>
      </c>
      <c r="ED40" s="329">
        <v>0</v>
      </c>
      <c r="EE40" s="329">
        <v>0</v>
      </c>
      <c r="EF40" s="329">
        <v>0</v>
      </c>
      <c r="EG40" s="329">
        <v>0</v>
      </c>
      <c r="EH40" s="329">
        <v>0</v>
      </c>
      <c r="EI40" s="329">
        <v>0</v>
      </c>
      <c r="EJ40" s="329">
        <v>0</v>
      </c>
      <c r="EK40" s="329">
        <v>0</v>
      </c>
      <c r="EL40" s="329">
        <v>0</v>
      </c>
      <c r="EM40" s="329">
        <v>0</v>
      </c>
      <c r="EN40" s="330">
        <f t="shared" si="29"/>
        <v>0</v>
      </c>
      <c r="EO40" s="331">
        <v>4.2329999999999997</v>
      </c>
      <c r="EP40" s="91"/>
      <c r="EQ40" s="91"/>
      <c r="ER40" s="91"/>
      <c r="ES40" s="91"/>
      <c r="ET40" s="91"/>
      <c r="EU40" s="91"/>
      <c r="EV40" s="91"/>
      <c r="EW40" s="91"/>
      <c r="EX40" s="91"/>
    </row>
    <row r="41" spans="1:156" ht="96" x14ac:dyDescent="0.25">
      <c r="A41" s="193"/>
      <c r="B41" s="176" t="s">
        <v>1222</v>
      </c>
      <c r="C41" s="176" t="s">
        <v>76</v>
      </c>
      <c r="D41" s="176"/>
      <c r="E41" s="176" t="s">
        <v>1353</v>
      </c>
      <c r="F41" s="177" t="s">
        <v>1180</v>
      </c>
      <c r="G41" s="269" t="s">
        <v>1559</v>
      </c>
      <c r="H41" s="270" t="s">
        <v>1434</v>
      </c>
      <c r="I41" s="271" t="s">
        <v>1510</v>
      </c>
      <c r="J41" s="296" t="s">
        <v>923</v>
      </c>
      <c r="K41" s="185" t="s">
        <v>1224</v>
      </c>
      <c r="L41" s="176" t="s">
        <v>1050</v>
      </c>
      <c r="M41" s="325">
        <f t="shared" si="30"/>
        <v>5250000</v>
      </c>
      <c r="N41" s="332">
        <v>0</v>
      </c>
      <c r="O41" s="332">
        <v>0</v>
      </c>
      <c r="P41" s="332">
        <v>0</v>
      </c>
      <c r="Q41" s="332">
        <v>0</v>
      </c>
      <c r="R41" s="332">
        <v>0</v>
      </c>
      <c r="S41" s="332">
        <v>0</v>
      </c>
      <c r="T41" s="332">
        <v>0</v>
      </c>
      <c r="U41" s="332">
        <v>0</v>
      </c>
      <c r="V41" s="332">
        <v>0</v>
      </c>
      <c r="W41" s="332">
        <v>0</v>
      </c>
      <c r="X41" s="325">
        <f t="shared" si="19"/>
        <v>0</v>
      </c>
      <c r="Y41" s="332">
        <v>0</v>
      </c>
      <c r="Z41" s="332">
        <v>0</v>
      </c>
      <c r="AA41" s="332">
        <v>0</v>
      </c>
      <c r="AB41" s="332">
        <v>0</v>
      </c>
      <c r="AC41" s="332">
        <v>0</v>
      </c>
      <c r="AD41" s="332">
        <v>0</v>
      </c>
      <c r="AE41" s="332">
        <v>0</v>
      </c>
      <c r="AF41" s="332">
        <v>0</v>
      </c>
      <c r="AG41" s="332">
        <v>0</v>
      </c>
      <c r="AH41" s="332">
        <v>0</v>
      </c>
      <c r="AI41" s="329">
        <v>0</v>
      </c>
      <c r="AJ41" s="325">
        <f t="shared" si="20"/>
        <v>0</v>
      </c>
      <c r="AK41" s="332">
        <v>0</v>
      </c>
      <c r="AL41" s="332">
        <v>0</v>
      </c>
      <c r="AM41" s="332">
        <v>0</v>
      </c>
      <c r="AN41" s="332">
        <v>0</v>
      </c>
      <c r="AO41" s="332">
        <v>0</v>
      </c>
      <c r="AP41" s="332">
        <v>0</v>
      </c>
      <c r="AQ41" s="332">
        <v>0</v>
      </c>
      <c r="AR41" s="332">
        <v>0</v>
      </c>
      <c r="AS41" s="332">
        <v>0</v>
      </c>
      <c r="AT41" s="332">
        <v>0</v>
      </c>
      <c r="AU41" s="332">
        <v>0</v>
      </c>
      <c r="AV41" s="332">
        <f t="shared" si="21"/>
        <v>0</v>
      </c>
      <c r="AW41" s="332">
        <v>0</v>
      </c>
      <c r="AX41" s="332">
        <v>0</v>
      </c>
      <c r="AY41" s="332">
        <v>0</v>
      </c>
      <c r="AZ41" s="332">
        <v>0</v>
      </c>
      <c r="BA41" s="332">
        <v>0</v>
      </c>
      <c r="BB41" s="332">
        <v>0</v>
      </c>
      <c r="BC41" s="332">
        <v>0</v>
      </c>
      <c r="BD41" s="332">
        <v>0</v>
      </c>
      <c r="BE41" s="332">
        <v>0</v>
      </c>
      <c r="BF41" s="332">
        <v>0</v>
      </c>
      <c r="BG41" s="332">
        <v>0</v>
      </c>
      <c r="BH41" s="325">
        <f t="shared" si="22"/>
        <v>0</v>
      </c>
      <c r="BI41" s="332">
        <v>0</v>
      </c>
      <c r="BJ41" s="332">
        <v>0</v>
      </c>
      <c r="BK41" s="332">
        <v>0</v>
      </c>
      <c r="BL41" s="332">
        <v>0</v>
      </c>
      <c r="BM41" s="332">
        <v>0</v>
      </c>
      <c r="BN41" s="332">
        <v>0</v>
      </c>
      <c r="BO41" s="332">
        <v>0</v>
      </c>
      <c r="BP41" s="332">
        <v>0</v>
      </c>
      <c r="BQ41" s="332">
        <v>0</v>
      </c>
      <c r="BR41" s="332">
        <v>0</v>
      </c>
      <c r="BS41" s="332">
        <v>0</v>
      </c>
      <c r="BT41" s="325">
        <f t="shared" si="23"/>
        <v>0</v>
      </c>
      <c r="BU41" s="332">
        <v>0</v>
      </c>
      <c r="BV41" s="332">
        <v>0</v>
      </c>
      <c r="BW41" s="332">
        <v>0</v>
      </c>
      <c r="BX41" s="332">
        <v>0</v>
      </c>
      <c r="BY41" s="332">
        <v>0</v>
      </c>
      <c r="BZ41" s="332">
        <v>0</v>
      </c>
      <c r="CA41" s="332">
        <v>0</v>
      </c>
      <c r="CB41" s="332">
        <v>0</v>
      </c>
      <c r="CC41" s="332">
        <v>0</v>
      </c>
      <c r="CD41" s="332">
        <v>0</v>
      </c>
      <c r="CE41" s="332">
        <v>2000000</v>
      </c>
      <c r="CF41" s="332">
        <f t="shared" si="24"/>
        <v>2000000</v>
      </c>
      <c r="CG41" s="332">
        <v>0</v>
      </c>
      <c r="CH41" s="332">
        <v>0</v>
      </c>
      <c r="CI41" s="332">
        <v>0</v>
      </c>
      <c r="CJ41" s="332">
        <v>0</v>
      </c>
      <c r="CK41" s="332">
        <v>0</v>
      </c>
      <c r="CL41" s="332">
        <v>0</v>
      </c>
      <c r="CM41" s="332">
        <v>0</v>
      </c>
      <c r="CN41" s="332">
        <v>0</v>
      </c>
      <c r="CO41" s="332">
        <v>0</v>
      </c>
      <c r="CP41" s="332">
        <v>0</v>
      </c>
      <c r="CQ41" s="332">
        <v>3250000</v>
      </c>
      <c r="CR41" s="325">
        <f t="shared" si="25"/>
        <v>3250000</v>
      </c>
      <c r="CS41" s="329">
        <v>0</v>
      </c>
      <c r="CT41" s="329">
        <v>0</v>
      </c>
      <c r="CU41" s="329">
        <v>0</v>
      </c>
      <c r="CV41" s="329">
        <v>0</v>
      </c>
      <c r="CW41" s="329">
        <v>0</v>
      </c>
      <c r="CX41" s="329">
        <v>0</v>
      </c>
      <c r="CY41" s="329">
        <v>0</v>
      </c>
      <c r="CZ41" s="329">
        <v>0</v>
      </c>
      <c r="DA41" s="329">
        <v>0</v>
      </c>
      <c r="DB41" s="329">
        <v>0</v>
      </c>
      <c r="DC41" s="329">
        <v>0</v>
      </c>
      <c r="DD41" s="333">
        <f t="shared" si="26"/>
        <v>0</v>
      </c>
      <c r="DE41" s="329">
        <v>0</v>
      </c>
      <c r="DF41" s="329">
        <v>0</v>
      </c>
      <c r="DG41" s="329">
        <v>0</v>
      </c>
      <c r="DH41" s="329">
        <v>0</v>
      </c>
      <c r="DI41" s="329">
        <v>0</v>
      </c>
      <c r="DJ41" s="329">
        <v>0</v>
      </c>
      <c r="DK41" s="329">
        <v>0</v>
      </c>
      <c r="DL41" s="329">
        <v>0</v>
      </c>
      <c r="DM41" s="329">
        <v>0</v>
      </c>
      <c r="DN41" s="329">
        <v>0</v>
      </c>
      <c r="DO41" s="329">
        <v>0</v>
      </c>
      <c r="DP41" s="333">
        <f t="shared" si="27"/>
        <v>0</v>
      </c>
      <c r="DQ41" s="329">
        <v>0</v>
      </c>
      <c r="DR41" s="329">
        <v>0</v>
      </c>
      <c r="DS41" s="329">
        <v>0</v>
      </c>
      <c r="DT41" s="329">
        <v>0</v>
      </c>
      <c r="DU41" s="329">
        <v>0</v>
      </c>
      <c r="DV41" s="329">
        <v>0</v>
      </c>
      <c r="DW41" s="329">
        <v>0</v>
      </c>
      <c r="DX41" s="329">
        <v>0</v>
      </c>
      <c r="DY41" s="329">
        <v>0</v>
      </c>
      <c r="DZ41" s="329">
        <v>0</v>
      </c>
      <c r="EA41" s="329">
        <v>0</v>
      </c>
      <c r="EB41" s="333">
        <f t="shared" si="28"/>
        <v>0</v>
      </c>
      <c r="EC41" s="329">
        <v>0</v>
      </c>
      <c r="ED41" s="329">
        <v>0</v>
      </c>
      <c r="EE41" s="329">
        <v>0</v>
      </c>
      <c r="EF41" s="329">
        <v>0</v>
      </c>
      <c r="EG41" s="329">
        <v>0</v>
      </c>
      <c r="EH41" s="329">
        <v>0</v>
      </c>
      <c r="EI41" s="329">
        <v>0</v>
      </c>
      <c r="EJ41" s="329">
        <v>0</v>
      </c>
      <c r="EK41" s="329">
        <v>0</v>
      </c>
      <c r="EL41" s="329">
        <v>0</v>
      </c>
      <c r="EM41" s="329">
        <v>0</v>
      </c>
      <c r="EN41" s="330">
        <f t="shared" si="29"/>
        <v>0</v>
      </c>
      <c r="EO41" s="331" t="s">
        <v>1544</v>
      </c>
      <c r="EP41" s="91"/>
      <c r="EQ41" s="91"/>
      <c r="ER41" s="91"/>
      <c r="ES41" s="91"/>
      <c r="ET41" s="91"/>
      <c r="EU41" s="91"/>
      <c r="EV41" s="91"/>
      <c r="EW41" s="91"/>
      <c r="EX41" s="91"/>
    </row>
    <row r="42" spans="1:156" ht="48" x14ac:dyDescent="0.25">
      <c r="A42" s="193"/>
      <c r="B42" s="176" t="s">
        <v>1213</v>
      </c>
      <c r="C42" s="176" t="s">
        <v>276</v>
      </c>
      <c r="D42" s="176"/>
      <c r="E42" s="176" t="s">
        <v>1354</v>
      </c>
      <c r="F42" s="177" t="s">
        <v>1178</v>
      </c>
      <c r="G42" s="269" t="s">
        <v>1461</v>
      </c>
      <c r="H42" s="270" t="s">
        <v>1443</v>
      </c>
      <c r="I42" s="271" t="s">
        <v>1504</v>
      </c>
      <c r="J42" s="296" t="s">
        <v>923</v>
      </c>
      <c r="K42" s="185" t="s">
        <v>1225</v>
      </c>
      <c r="L42" s="176" t="s">
        <v>1050</v>
      </c>
      <c r="M42" s="325">
        <f t="shared" si="30"/>
        <v>1150000</v>
      </c>
      <c r="N42" s="332">
        <v>0</v>
      </c>
      <c r="O42" s="332">
        <v>0</v>
      </c>
      <c r="P42" s="332">
        <v>0</v>
      </c>
      <c r="Q42" s="332">
        <v>0</v>
      </c>
      <c r="R42" s="332">
        <v>0</v>
      </c>
      <c r="S42" s="332">
        <v>0</v>
      </c>
      <c r="T42" s="332">
        <v>0</v>
      </c>
      <c r="U42" s="332">
        <v>0</v>
      </c>
      <c r="V42" s="332">
        <v>0</v>
      </c>
      <c r="W42" s="332">
        <v>0</v>
      </c>
      <c r="X42" s="325">
        <f t="shared" si="19"/>
        <v>0</v>
      </c>
      <c r="Y42" s="332">
        <v>0</v>
      </c>
      <c r="Z42" s="332">
        <v>0</v>
      </c>
      <c r="AA42" s="332">
        <v>0</v>
      </c>
      <c r="AB42" s="332">
        <v>0</v>
      </c>
      <c r="AC42" s="332">
        <v>0</v>
      </c>
      <c r="AD42" s="332">
        <v>0</v>
      </c>
      <c r="AE42" s="332">
        <v>0</v>
      </c>
      <c r="AF42" s="332">
        <v>0</v>
      </c>
      <c r="AG42" s="332">
        <v>0</v>
      </c>
      <c r="AH42" s="332">
        <v>0</v>
      </c>
      <c r="AI42" s="329">
        <v>0</v>
      </c>
      <c r="AJ42" s="325">
        <f t="shared" si="20"/>
        <v>0</v>
      </c>
      <c r="AK42" s="332">
        <v>0</v>
      </c>
      <c r="AL42" s="332">
        <v>0</v>
      </c>
      <c r="AM42" s="332">
        <v>0</v>
      </c>
      <c r="AN42" s="332">
        <v>0</v>
      </c>
      <c r="AO42" s="332">
        <v>0</v>
      </c>
      <c r="AP42" s="332">
        <v>0</v>
      </c>
      <c r="AQ42" s="332">
        <v>0</v>
      </c>
      <c r="AR42" s="332">
        <v>0</v>
      </c>
      <c r="AS42" s="332">
        <v>0</v>
      </c>
      <c r="AT42" s="332">
        <v>0</v>
      </c>
      <c r="AU42" s="332">
        <v>0</v>
      </c>
      <c r="AV42" s="332">
        <f t="shared" si="21"/>
        <v>0</v>
      </c>
      <c r="AW42" s="332">
        <v>0</v>
      </c>
      <c r="AX42" s="332">
        <v>0</v>
      </c>
      <c r="AY42" s="332">
        <v>0</v>
      </c>
      <c r="AZ42" s="332">
        <v>0</v>
      </c>
      <c r="BA42" s="332">
        <v>0</v>
      </c>
      <c r="BB42" s="332">
        <v>0</v>
      </c>
      <c r="BC42" s="332">
        <v>0</v>
      </c>
      <c r="BD42" s="332">
        <v>0</v>
      </c>
      <c r="BE42" s="332">
        <v>0</v>
      </c>
      <c r="BF42" s="332">
        <v>0</v>
      </c>
      <c r="BG42" s="332">
        <v>0</v>
      </c>
      <c r="BH42" s="325">
        <f t="shared" si="22"/>
        <v>0</v>
      </c>
      <c r="BI42" s="332">
        <v>0</v>
      </c>
      <c r="BJ42" s="332">
        <v>0</v>
      </c>
      <c r="BK42" s="332">
        <v>0</v>
      </c>
      <c r="BL42" s="332">
        <v>0</v>
      </c>
      <c r="BM42" s="332">
        <v>0</v>
      </c>
      <c r="BN42" s="332">
        <v>0</v>
      </c>
      <c r="BO42" s="332">
        <v>0</v>
      </c>
      <c r="BP42" s="332">
        <v>0</v>
      </c>
      <c r="BQ42" s="332">
        <v>0</v>
      </c>
      <c r="BR42" s="332">
        <v>0</v>
      </c>
      <c r="BS42" s="332">
        <v>1150000</v>
      </c>
      <c r="BT42" s="325">
        <f t="shared" si="23"/>
        <v>1150000</v>
      </c>
      <c r="BU42" s="332">
        <v>0</v>
      </c>
      <c r="BV42" s="332">
        <v>0</v>
      </c>
      <c r="BW42" s="332">
        <v>0</v>
      </c>
      <c r="BX42" s="332">
        <v>0</v>
      </c>
      <c r="BY42" s="332">
        <v>0</v>
      </c>
      <c r="BZ42" s="332">
        <v>0</v>
      </c>
      <c r="CA42" s="332">
        <v>0</v>
      </c>
      <c r="CB42" s="332">
        <v>0</v>
      </c>
      <c r="CC42" s="332">
        <v>0</v>
      </c>
      <c r="CD42" s="332">
        <v>0</v>
      </c>
      <c r="CE42" s="332">
        <v>0</v>
      </c>
      <c r="CF42" s="332">
        <f t="shared" si="24"/>
        <v>0</v>
      </c>
      <c r="CG42" s="332">
        <v>0</v>
      </c>
      <c r="CH42" s="332">
        <v>0</v>
      </c>
      <c r="CI42" s="332">
        <v>0</v>
      </c>
      <c r="CJ42" s="332">
        <v>0</v>
      </c>
      <c r="CK42" s="332">
        <v>0</v>
      </c>
      <c r="CL42" s="332">
        <v>0</v>
      </c>
      <c r="CM42" s="332">
        <v>0</v>
      </c>
      <c r="CN42" s="332">
        <v>0</v>
      </c>
      <c r="CO42" s="332">
        <v>0</v>
      </c>
      <c r="CP42" s="332">
        <v>0</v>
      </c>
      <c r="CQ42" s="332">
        <v>0</v>
      </c>
      <c r="CR42" s="325">
        <f t="shared" si="25"/>
        <v>0</v>
      </c>
      <c r="CS42" s="329">
        <v>0</v>
      </c>
      <c r="CT42" s="329">
        <v>0</v>
      </c>
      <c r="CU42" s="329">
        <v>0</v>
      </c>
      <c r="CV42" s="329">
        <v>0</v>
      </c>
      <c r="CW42" s="329">
        <v>0</v>
      </c>
      <c r="CX42" s="329">
        <v>0</v>
      </c>
      <c r="CY42" s="329">
        <v>0</v>
      </c>
      <c r="CZ42" s="329">
        <v>0</v>
      </c>
      <c r="DA42" s="329">
        <v>0</v>
      </c>
      <c r="DB42" s="329">
        <v>0</v>
      </c>
      <c r="DC42" s="329">
        <v>0</v>
      </c>
      <c r="DD42" s="333">
        <f t="shared" si="26"/>
        <v>0</v>
      </c>
      <c r="DE42" s="329">
        <v>0</v>
      </c>
      <c r="DF42" s="329">
        <v>0</v>
      </c>
      <c r="DG42" s="329">
        <v>0</v>
      </c>
      <c r="DH42" s="329">
        <v>0</v>
      </c>
      <c r="DI42" s="329">
        <v>0</v>
      </c>
      <c r="DJ42" s="329">
        <v>0</v>
      </c>
      <c r="DK42" s="329">
        <v>0</v>
      </c>
      <c r="DL42" s="329">
        <v>0</v>
      </c>
      <c r="DM42" s="329">
        <v>0</v>
      </c>
      <c r="DN42" s="329">
        <v>0</v>
      </c>
      <c r="DO42" s="329">
        <v>0</v>
      </c>
      <c r="DP42" s="333">
        <f t="shared" si="27"/>
        <v>0</v>
      </c>
      <c r="DQ42" s="329">
        <v>0</v>
      </c>
      <c r="DR42" s="329">
        <v>0</v>
      </c>
      <c r="DS42" s="329">
        <v>0</v>
      </c>
      <c r="DT42" s="329">
        <v>0</v>
      </c>
      <c r="DU42" s="329">
        <v>0</v>
      </c>
      <c r="DV42" s="329">
        <v>0</v>
      </c>
      <c r="DW42" s="329">
        <v>0</v>
      </c>
      <c r="DX42" s="329">
        <v>0</v>
      </c>
      <c r="DY42" s="329">
        <v>0</v>
      </c>
      <c r="DZ42" s="329">
        <v>0</v>
      </c>
      <c r="EA42" s="329">
        <v>0</v>
      </c>
      <c r="EB42" s="333">
        <f t="shared" si="28"/>
        <v>0</v>
      </c>
      <c r="EC42" s="329">
        <v>0</v>
      </c>
      <c r="ED42" s="329">
        <v>0</v>
      </c>
      <c r="EE42" s="329">
        <v>0</v>
      </c>
      <c r="EF42" s="329">
        <v>0</v>
      </c>
      <c r="EG42" s="329">
        <v>0</v>
      </c>
      <c r="EH42" s="329">
        <v>0</v>
      </c>
      <c r="EI42" s="329">
        <v>0</v>
      </c>
      <c r="EJ42" s="329">
        <v>0</v>
      </c>
      <c r="EK42" s="329">
        <v>0</v>
      </c>
      <c r="EL42" s="329">
        <v>0</v>
      </c>
      <c r="EM42" s="329">
        <v>0</v>
      </c>
      <c r="EN42" s="330">
        <f t="shared" si="29"/>
        <v>0</v>
      </c>
      <c r="EO42" s="331" t="s">
        <v>1538</v>
      </c>
      <c r="EP42" s="91"/>
      <c r="EQ42" s="91"/>
      <c r="ER42" s="91"/>
      <c r="ES42" s="91"/>
      <c r="ET42" s="91"/>
      <c r="EU42" s="91"/>
      <c r="EV42" s="91"/>
      <c r="EW42" s="91"/>
      <c r="EX42" s="91"/>
    </row>
    <row r="43" spans="1:156" ht="60" x14ac:dyDescent="0.25">
      <c r="A43" s="193"/>
      <c r="B43" s="176" t="s">
        <v>1231</v>
      </c>
      <c r="C43" s="176" t="s">
        <v>70</v>
      </c>
      <c r="D43" s="176"/>
      <c r="E43" s="176" t="s">
        <v>1355</v>
      </c>
      <c r="F43" s="177" t="s">
        <v>932</v>
      </c>
      <c r="G43" s="269" t="s">
        <v>1461</v>
      </c>
      <c r="H43" s="270" t="s">
        <v>1443</v>
      </c>
      <c r="I43" s="271" t="s">
        <v>1483</v>
      </c>
      <c r="J43" s="296" t="s">
        <v>1214</v>
      </c>
      <c r="K43" s="176" t="s">
        <v>1232</v>
      </c>
      <c r="L43" s="176" t="s">
        <v>1050</v>
      </c>
      <c r="M43" s="325">
        <f t="shared" si="30"/>
        <v>870000</v>
      </c>
      <c r="N43" s="332">
        <v>0</v>
      </c>
      <c r="O43" s="332">
        <v>0</v>
      </c>
      <c r="P43" s="332">
        <v>0</v>
      </c>
      <c r="Q43" s="332">
        <v>0</v>
      </c>
      <c r="R43" s="332">
        <v>0</v>
      </c>
      <c r="S43" s="332">
        <v>0</v>
      </c>
      <c r="T43" s="332">
        <v>0</v>
      </c>
      <c r="U43" s="332">
        <v>0</v>
      </c>
      <c r="V43" s="332">
        <v>0</v>
      </c>
      <c r="W43" s="332">
        <v>0</v>
      </c>
      <c r="X43" s="325">
        <f t="shared" si="19"/>
        <v>0</v>
      </c>
      <c r="Y43" s="332">
        <v>0</v>
      </c>
      <c r="Z43" s="332">
        <v>0</v>
      </c>
      <c r="AA43" s="332">
        <v>0</v>
      </c>
      <c r="AB43" s="332">
        <v>0</v>
      </c>
      <c r="AC43" s="332">
        <v>0</v>
      </c>
      <c r="AD43" s="332">
        <v>0</v>
      </c>
      <c r="AE43" s="332">
        <v>0</v>
      </c>
      <c r="AF43" s="332">
        <v>0</v>
      </c>
      <c r="AG43" s="332">
        <v>0</v>
      </c>
      <c r="AH43" s="332">
        <v>0</v>
      </c>
      <c r="AI43" s="329">
        <v>0</v>
      </c>
      <c r="AJ43" s="325">
        <f t="shared" si="20"/>
        <v>0</v>
      </c>
      <c r="AK43" s="332">
        <v>0</v>
      </c>
      <c r="AL43" s="332">
        <v>0</v>
      </c>
      <c r="AM43" s="332">
        <v>0</v>
      </c>
      <c r="AN43" s="332">
        <v>0</v>
      </c>
      <c r="AO43" s="332">
        <v>0</v>
      </c>
      <c r="AP43" s="332">
        <v>0</v>
      </c>
      <c r="AQ43" s="332">
        <v>0</v>
      </c>
      <c r="AR43" s="332">
        <v>0</v>
      </c>
      <c r="AS43" s="332">
        <v>0</v>
      </c>
      <c r="AT43" s="332">
        <v>0</v>
      </c>
      <c r="AU43" s="332">
        <v>0</v>
      </c>
      <c r="AV43" s="332">
        <f t="shared" si="21"/>
        <v>0</v>
      </c>
      <c r="AW43" s="332">
        <v>0</v>
      </c>
      <c r="AX43" s="332">
        <v>0</v>
      </c>
      <c r="AY43" s="332">
        <v>0</v>
      </c>
      <c r="AZ43" s="332">
        <v>0</v>
      </c>
      <c r="BA43" s="332">
        <v>0</v>
      </c>
      <c r="BB43" s="332">
        <v>0</v>
      </c>
      <c r="BC43" s="332">
        <v>0</v>
      </c>
      <c r="BD43" s="332">
        <v>0</v>
      </c>
      <c r="BE43" s="332">
        <v>0</v>
      </c>
      <c r="BF43" s="332">
        <v>0</v>
      </c>
      <c r="BG43" s="332">
        <v>0</v>
      </c>
      <c r="BH43" s="325">
        <f t="shared" si="22"/>
        <v>0</v>
      </c>
      <c r="BI43" s="332">
        <v>0</v>
      </c>
      <c r="BJ43" s="332">
        <v>0</v>
      </c>
      <c r="BK43" s="332">
        <v>0</v>
      </c>
      <c r="BL43" s="332">
        <v>0</v>
      </c>
      <c r="BM43" s="332">
        <v>0</v>
      </c>
      <c r="BN43" s="332">
        <v>0</v>
      </c>
      <c r="BO43" s="332">
        <v>0</v>
      </c>
      <c r="BP43" s="332">
        <v>0</v>
      </c>
      <c r="BQ43" s="332">
        <v>0</v>
      </c>
      <c r="BR43" s="332">
        <v>0</v>
      </c>
      <c r="BS43" s="332">
        <v>0</v>
      </c>
      <c r="BT43" s="325">
        <f t="shared" si="23"/>
        <v>0</v>
      </c>
      <c r="BU43" s="332">
        <v>0</v>
      </c>
      <c r="BV43" s="332">
        <v>0</v>
      </c>
      <c r="BW43" s="332">
        <v>0</v>
      </c>
      <c r="BX43" s="332">
        <v>0</v>
      </c>
      <c r="BY43" s="332">
        <v>0</v>
      </c>
      <c r="BZ43" s="332">
        <v>0</v>
      </c>
      <c r="CA43" s="332">
        <v>0</v>
      </c>
      <c r="CB43" s="332">
        <v>0</v>
      </c>
      <c r="CC43" s="332">
        <v>0</v>
      </c>
      <c r="CD43" s="332">
        <v>0</v>
      </c>
      <c r="CE43" s="332">
        <v>870000</v>
      </c>
      <c r="CF43" s="332">
        <f t="shared" si="24"/>
        <v>870000</v>
      </c>
      <c r="CG43" s="332">
        <v>0</v>
      </c>
      <c r="CH43" s="332">
        <v>0</v>
      </c>
      <c r="CI43" s="332">
        <v>0</v>
      </c>
      <c r="CJ43" s="332">
        <v>0</v>
      </c>
      <c r="CK43" s="332">
        <v>0</v>
      </c>
      <c r="CL43" s="332">
        <v>0</v>
      </c>
      <c r="CM43" s="332">
        <v>0</v>
      </c>
      <c r="CN43" s="332">
        <v>0</v>
      </c>
      <c r="CO43" s="332">
        <v>0</v>
      </c>
      <c r="CP43" s="332">
        <v>0</v>
      </c>
      <c r="CQ43" s="332">
        <v>0</v>
      </c>
      <c r="CR43" s="325">
        <f t="shared" si="25"/>
        <v>0</v>
      </c>
      <c r="CS43" s="329">
        <v>0</v>
      </c>
      <c r="CT43" s="329">
        <v>0</v>
      </c>
      <c r="CU43" s="329">
        <v>0</v>
      </c>
      <c r="CV43" s="329">
        <v>0</v>
      </c>
      <c r="CW43" s="329">
        <v>0</v>
      </c>
      <c r="CX43" s="329">
        <v>0</v>
      </c>
      <c r="CY43" s="329">
        <v>0</v>
      </c>
      <c r="CZ43" s="329">
        <v>0</v>
      </c>
      <c r="DA43" s="329">
        <v>0</v>
      </c>
      <c r="DB43" s="329">
        <v>0</v>
      </c>
      <c r="DC43" s="329">
        <v>0</v>
      </c>
      <c r="DD43" s="333">
        <f t="shared" si="26"/>
        <v>0</v>
      </c>
      <c r="DE43" s="329">
        <v>0</v>
      </c>
      <c r="DF43" s="329">
        <v>0</v>
      </c>
      <c r="DG43" s="329">
        <v>0</v>
      </c>
      <c r="DH43" s="329">
        <v>0</v>
      </c>
      <c r="DI43" s="329">
        <v>0</v>
      </c>
      <c r="DJ43" s="329">
        <v>0</v>
      </c>
      <c r="DK43" s="329">
        <v>0</v>
      </c>
      <c r="DL43" s="329">
        <v>0</v>
      </c>
      <c r="DM43" s="329">
        <v>0</v>
      </c>
      <c r="DN43" s="329">
        <v>0</v>
      </c>
      <c r="DO43" s="329">
        <v>0</v>
      </c>
      <c r="DP43" s="333">
        <f t="shared" si="27"/>
        <v>0</v>
      </c>
      <c r="DQ43" s="329">
        <v>0</v>
      </c>
      <c r="DR43" s="329">
        <v>0</v>
      </c>
      <c r="DS43" s="329">
        <v>0</v>
      </c>
      <c r="DT43" s="329">
        <v>0</v>
      </c>
      <c r="DU43" s="329">
        <v>0</v>
      </c>
      <c r="DV43" s="329">
        <v>0</v>
      </c>
      <c r="DW43" s="329">
        <v>0</v>
      </c>
      <c r="DX43" s="329">
        <v>0</v>
      </c>
      <c r="DY43" s="329">
        <v>0</v>
      </c>
      <c r="DZ43" s="329">
        <v>0</v>
      </c>
      <c r="EA43" s="329">
        <v>0</v>
      </c>
      <c r="EB43" s="333">
        <f t="shared" si="28"/>
        <v>0</v>
      </c>
      <c r="EC43" s="329">
        <v>0</v>
      </c>
      <c r="ED43" s="329">
        <v>0</v>
      </c>
      <c r="EE43" s="329">
        <v>0</v>
      </c>
      <c r="EF43" s="329">
        <v>0</v>
      </c>
      <c r="EG43" s="329">
        <v>0</v>
      </c>
      <c r="EH43" s="329">
        <v>0</v>
      </c>
      <c r="EI43" s="329">
        <v>0</v>
      </c>
      <c r="EJ43" s="329">
        <v>0</v>
      </c>
      <c r="EK43" s="329">
        <v>0</v>
      </c>
      <c r="EL43" s="329">
        <v>0</v>
      </c>
      <c r="EM43" s="329">
        <v>0</v>
      </c>
      <c r="EN43" s="330">
        <f t="shared" si="29"/>
        <v>0</v>
      </c>
      <c r="EO43" s="331">
        <v>28.219000000000001</v>
      </c>
      <c r="EP43" s="91"/>
      <c r="EQ43" s="91"/>
      <c r="ER43" s="91"/>
      <c r="ES43" s="91"/>
      <c r="ET43" s="91"/>
      <c r="EU43" s="91"/>
      <c r="EV43" s="91"/>
      <c r="EW43" s="91"/>
      <c r="EX43" s="91"/>
    </row>
    <row r="44" spans="1:156" s="105" customFormat="1" ht="60" x14ac:dyDescent="0.25">
      <c r="A44" s="193"/>
      <c r="B44" s="176" t="s">
        <v>1234</v>
      </c>
      <c r="C44" s="176" t="s">
        <v>234</v>
      </c>
      <c r="D44" s="176"/>
      <c r="E44" s="176" t="s">
        <v>1356</v>
      </c>
      <c r="F44" s="177" t="s">
        <v>1023</v>
      </c>
      <c r="G44" s="269" t="s">
        <v>1560</v>
      </c>
      <c r="H44" s="270" t="s">
        <v>1570</v>
      </c>
      <c r="I44" s="271" t="s">
        <v>1505</v>
      </c>
      <c r="J44" s="296" t="s">
        <v>923</v>
      </c>
      <c r="K44" s="185" t="s">
        <v>1235</v>
      </c>
      <c r="L44" s="176" t="s">
        <v>1050</v>
      </c>
      <c r="M44" s="325">
        <f t="shared" si="30"/>
        <v>10342334.440000001</v>
      </c>
      <c r="N44" s="332">
        <v>0</v>
      </c>
      <c r="O44" s="332">
        <v>0</v>
      </c>
      <c r="P44" s="332">
        <v>0</v>
      </c>
      <c r="Q44" s="332">
        <v>0</v>
      </c>
      <c r="R44" s="332">
        <v>0</v>
      </c>
      <c r="S44" s="332">
        <v>0</v>
      </c>
      <c r="T44" s="332">
        <v>0</v>
      </c>
      <c r="U44" s="332">
        <v>0</v>
      </c>
      <c r="V44" s="332">
        <v>0</v>
      </c>
      <c r="W44" s="332">
        <v>305030</v>
      </c>
      <c r="X44" s="325">
        <f t="shared" si="19"/>
        <v>305030</v>
      </c>
      <c r="Y44" s="332">
        <v>0</v>
      </c>
      <c r="Z44" s="332">
        <v>0</v>
      </c>
      <c r="AA44" s="332">
        <v>0</v>
      </c>
      <c r="AB44" s="332">
        <v>0</v>
      </c>
      <c r="AC44" s="332">
        <v>0</v>
      </c>
      <c r="AD44" s="332">
        <v>0</v>
      </c>
      <c r="AE44" s="332">
        <v>0</v>
      </c>
      <c r="AF44" s="332">
        <v>0</v>
      </c>
      <c r="AG44" s="332">
        <v>0</v>
      </c>
      <c r="AH44" s="332">
        <v>0</v>
      </c>
      <c r="AI44" s="329">
        <v>15744.46</v>
      </c>
      <c r="AJ44" s="325">
        <f t="shared" si="20"/>
        <v>15744.46</v>
      </c>
      <c r="AK44" s="332">
        <v>0</v>
      </c>
      <c r="AL44" s="332">
        <v>0</v>
      </c>
      <c r="AM44" s="332">
        <v>0</v>
      </c>
      <c r="AN44" s="332">
        <v>0</v>
      </c>
      <c r="AO44" s="332">
        <v>0</v>
      </c>
      <c r="AP44" s="332">
        <v>0</v>
      </c>
      <c r="AQ44" s="332">
        <v>0</v>
      </c>
      <c r="AR44" s="332">
        <v>0</v>
      </c>
      <c r="AS44" s="332">
        <v>0</v>
      </c>
      <c r="AT44" s="332">
        <v>0</v>
      </c>
      <c r="AU44" s="332">
        <v>0</v>
      </c>
      <c r="AV44" s="332">
        <f t="shared" si="21"/>
        <v>0</v>
      </c>
      <c r="AW44" s="332">
        <v>0</v>
      </c>
      <c r="AX44" s="332">
        <v>0</v>
      </c>
      <c r="AY44" s="332">
        <v>0</v>
      </c>
      <c r="AZ44" s="332">
        <v>0</v>
      </c>
      <c r="BA44" s="332">
        <v>0</v>
      </c>
      <c r="BB44" s="332">
        <v>0</v>
      </c>
      <c r="BC44" s="332">
        <v>0</v>
      </c>
      <c r="BD44" s="332">
        <v>0</v>
      </c>
      <c r="BE44" s="332">
        <v>0</v>
      </c>
      <c r="BF44" s="332">
        <v>0</v>
      </c>
      <c r="BG44" s="332">
        <v>0</v>
      </c>
      <c r="BH44" s="325">
        <f t="shared" si="22"/>
        <v>0</v>
      </c>
      <c r="BI44" s="332">
        <v>0</v>
      </c>
      <c r="BJ44" s="332">
        <v>0</v>
      </c>
      <c r="BK44" s="332">
        <v>0</v>
      </c>
      <c r="BL44" s="332">
        <v>0</v>
      </c>
      <c r="BM44" s="332">
        <v>0</v>
      </c>
      <c r="BN44" s="332">
        <v>0</v>
      </c>
      <c r="BO44" s="332">
        <v>0</v>
      </c>
      <c r="BP44" s="332">
        <v>0</v>
      </c>
      <c r="BQ44" s="332">
        <v>0</v>
      </c>
      <c r="BR44" s="332">
        <v>0</v>
      </c>
      <c r="BS44" s="332">
        <v>0</v>
      </c>
      <c r="BT44" s="325">
        <f t="shared" si="23"/>
        <v>0</v>
      </c>
      <c r="BU44" s="332">
        <v>0</v>
      </c>
      <c r="BV44" s="332">
        <v>0</v>
      </c>
      <c r="BW44" s="332">
        <v>0</v>
      </c>
      <c r="BX44" s="332">
        <v>0</v>
      </c>
      <c r="BY44" s="332">
        <v>0</v>
      </c>
      <c r="BZ44" s="332">
        <v>0</v>
      </c>
      <c r="CA44" s="332">
        <v>0</v>
      </c>
      <c r="CB44" s="332">
        <v>0</v>
      </c>
      <c r="CC44" s="332">
        <v>0</v>
      </c>
      <c r="CD44" s="332">
        <v>0</v>
      </c>
      <c r="CE44" s="332">
        <v>0</v>
      </c>
      <c r="CF44" s="332">
        <f t="shared" si="24"/>
        <v>0</v>
      </c>
      <c r="CG44" s="332">
        <v>10021559.98</v>
      </c>
      <c r="CH44" s="332">
        <v>0</v>
      </c>
      <c r="CI44" s="332">
        <v>0</v>
      </c>
      <c r="CJ44" s="332">
        <v>0</v>
      </c>
      <c r="CK44" s="332">
        <v>0</v>
      </c>
      <c r="CL44" s="332">
        <v>0</v>
      </c>
      <c r="CM44" s="332">
        <v>0</v>
      </c>
      <c r="CN44" s="332">
        <v>0</v>
      </c>
      <c r="CO44" s="332">
        <v>0</v>
      </c>
      <c r="CP44" s="332">
        <v>0</v>
      </c>
      <c r="CQ44" s="332">
        <v>0</v>
      </c>
      <c r="CR44" s="325">
        <f t="shared" si="25"/>
        <v>10021559.98</v>
      </c>
      <c r="CS44" s="329">
        <v>0</v>
      </c>
      <c r="CT44" s="329">
        <v>0</v>
      </c>
      <c r="CU44" s="329">
        <v>0</v>
      </c>
      <c r="CV44" s="329">
        <v>0</v>
      </c>
      <c r="CW44" s="329">
        <v>0</v>
      </c>
      <c r="CX44" s="329">
        <v>0</v>
      </c>
      <c r="CY44" s="329">
        <v>0</v>
      </c>
      <c r="CZ44" s="329">
        <v>0</v>
      </c>
      <c r="DA44" s="329">
        <v>0</v>
      </c>
      <c r="DB44" s="329">
        <v>0</v>
      </c>
      <c r="DC44" s="329">
        <v>0</v>
      </c>
      <c r="DD44" s="333">
        <f t="shared" si="26"/>
        <v>0</v>
      </c>
      <c r="DE44" s="329">
        <v>0</v>
      </c>
      <c r="DF44" s="329">
        <v>0</v>
      </c>
      <c r="DG44" s="329">
        <v>0</v>
      </c>
      <c r="DH44" s="329">
        <v>0</v>
      </c>
      <c r="DI44" s="329">
        <v>0</v>
      </c>
      <c r="DJ44" s="329">
        <v>0</v>
      </c>
      <c r="DK44" s="329">
        <v>0</v>
      </c>
      <c r="DL44" s="329">
        <v>0</v>
      </c>
      <c r="DM44" s="329">
        <v>0</v>
      </c>
      <c r="DN44" s="329">
        <v>0</v>
      </c>
      <c r="DO44" s="329">
        <v>0</v>
      </c>
      <c r="DP44" s="333">
        <f t="shared" si="27"/>
        <v>0</v>
      </c>
      <c r="DQ44" s="329">
        <v>0</v>
      </c>
      <c r="DR44" s="329">
        <v>0</v>
      </c>
      <c r="DS44" s="329">
        <v>0</v>
      </c>
      <c r="DT44" s="329">
        <v>0</v>
      </c>
      <c r="DU44" s="329">
        <v>0</v>
      </c>
      <c r="DV44" s="329">
        <v>0</v>
      </c>
      <c r="DW44" s="329">
        <v>0</v>
      </c>
      <c r="DX44" s="329">
        <v>0</v>
      </c>
      <c r="DY44" s="329">
        <v>0</v>
      </c>
      <c r="DZ44" s="329">
        <v>0</v>
      </c>
      <c r="EA44" s="329">
        <v>0</v>
      </c>
      <c r="EB44" s="333">
        <f t="shared" si="28"/>
        <v>0</v>
      </c>
      <c r="EC44" s="329">
        <v>0</v>
      </c>
      <c r="ED44" s="329">
        <v>0</v>
      </c>
      <c r="EE44" s="329">
        <v>0</v>
      </c>
      <c r="EF44" s="329">
        <v>0</v>
      </c>
      <c r="EG44" s="329">
        <v>0</v>
      </c>
      <c r="EH44" s="329">
        <v>0</v>
      </c>
      <c r="EI44" s="329">
        <v>0</v>
      </c>
      <c r="EJ44" s="329">
        <v>0</v>
      </c>
      <c r="EK44" s="329">
        <v>0</v>
      </c>
      <c r="EL44" s="329">
        <v>0</v>
      </c>
      <c r="EM44" s="329">
        <v>0</v>
      </c>
      <c r="EN44" s="330">
        <f t="shared" si="29"/>
        <v>0</v>
      </c>
      <c r="EO44" s="331" t="s">
        <v>1538</v>
      </c>
      <c r="EP44" s="91"/>
      <c r="EQ44" s="91"/>
      <c r="ER44" s="91"/>
      <c r="ES44" s="91"/>
      <c r="ET44" s="91"/>
      <c r="EU44" s="91"/>
      <c r="EV44" s="91"/>
      <c r="EW44" s="91"/>
      <c r="EX44" s="91"/>
      <c r="EY44" s="9"/>
      <c r="EZ44" s="9"/>
    </row>
    <row r="45" spans="1:156" ht="312" x14ac:dyDescent="0.25">
      <c r="A45" s="193"/>
      <c r="B45" s="176" t="s">
        <v>1236</v>
      </c>
      <c r="C45" s="176" t="s">
        <v>268</v>
      </c>
      <c r="D45" s="176"/>
      <c r="E45" s="176" t="s">
        <v>1357</v>
      </c>
      <c r="F45" s="177" t="s">
        <v>1031</v>
      </c>
      <c r="G45" s="269" t="s">
        <v>1575</v>
      </c>
      <c r="H45" s="270" t="s">
        <v>1571</v>
      </c>
      <c r="I45" s="271" t="s">
        <v>1511</v>
      </c>
      <c r="J45" s="296" t="s">
        <v>923</v>
      </c>
      <c r="K45" s="185" t="s">
        <v>1237</v>
      </c>
      <c r="L45" s="176" t="s">
        <v>1050</v>
      </c>
      <c r="M45" s="325">
        <f t="shared" si="30"/>
        <v>5886869.5999999996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325">
        <v>0</v>
      </c>
      <c r="T45" s="325">
        <v>0</v>
      </c>
      <c r="U45" s="325">
        <v>0</v>
      </c>
      <c r="V45" s="325">
        <v>0</v>
      </c>
      <c r="W45" s="325">
        <v>296269.59999999998</v>
      </c>
      <c r="X45" s="325">
        <f t="shared" si="19"/>
        <v>296269.59999999998</v>
      </c>
      <c r="Y45" s="325">
        <v>0</v>
      </c>
      <c r="Z45" s="325">
        <v>0</v>
      </c>
      <c r="AA45" s="325">
        <v>0</v>
      </c>
      <c r="AB45" s="325">
        <v>0</v>
      </c>
      <c r="AC45" s="325">
        <v>0</v>
      </c>
      <c r="AD45" s="325">
        <v>0</v>
      </c>
      <c r="AE45" s="325">
        <v>0</v>
      </c>
      <c r="AF45" s="325">
        <v>0</v>
      </c>
      <c r="AG45" s="332">
        <v>0</v>
      </c>
      <c r="AH45" s="325">
        <v>0</v>
      </c>
      <c r="AI45" s="326">
        <v>0</v>
      </c>
      <c r="AJ45" s="325">
        <f t="shared" si="20"/>
        <v>0</v>
      </c>
      <c r="AK45" s="332">
        <v>0</v>
      </c>
      <c r="AL45" s="332">
        <v>0</v>
      </c>
      <c r="AM45" s="332">
        <v>0</v>
      </c>
      <c r="AN45" s="332">
        <v>0</v>
      </c>
      <c r="AO45" s="332">
        <v>0</v>
      </c>
      <c r="AP45" s="332">
        <v>0</v>
      </c>
      <c r="AQ45" s="332">
        <v>0</v>
      </c>
      <c r="AR45" s="332">
        <v>0</v>
      </c>
      <c r="AS45" s="332">
        <v>0</v>
      </c>
      <c r="AT45" s="332">
        <v>0</v>
      </c>
      <c r="AU45" s="332">
        <v>0</v>
      </c>
      <c r="AV45" s="332">
        <f t="shared" si="21"/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>
        <v>0</v>
      </c>
      <c r="BC45" s="325">
        <v>0</v>
      </c>
      <c r="BD45" s="325">
        <v>0</v>
      </c>
      <c r="BE45" s="325">
        <v>0</v>
      </c>
      <c r="BF45" s="325">
        <v>0</v>
      </c>
      <c r="BG45" s="325">
        <v>0</v>
      </c>
      <c r="BH45" s="325">
        <f t="shared" si="22"/>
        <v>0</v>
      </c>
      <c r="BI45" s="325">
        <v>0</v>
      </c>
      <c r="BJ45" s="325">
        <v>0</v>
      </c>
      <c r="BK45" s="325">
        <v>0</v>
      </c>
      <c r="BL45" s="325">
        <v>0</v>
      </c>
      <c r="BM45" s="325">
        <v>0</v>
      </c>
      <c r="BN45" s="325">
        <v>0</v>
      </c>
      <c r="BO45" s="325">
        <v>0</v>
      </c>
      <c r="BP45" s="325">
        <v>0</v>
      </c>
      <c r="BQ45" s="325">
        <v>0</v>
      </c>
      <c r="BR45" s="325">
        <v>0</v>
      </c>
      <c r="BS45" s="325">
        <v>0</v>
      </c>
      <c r="BT45" s="325">
        <f t="shared" si="23"/>
        <v>0</v>
      </c>
      <c r="BU45" s="325">
        <v>5590600</v>
      </c>
      <c r="BV45" s="325">
        <v>0</v>
      </c>
      <c r="BW45" s="325">
        <v>0</v>
      </c>
      <c r="BX45" s="325">
        <v>0</v>
      </c>
      <c r="BY45" s="325">
        <v>0</v>
      </c>
      <c r="BZ45" s="325">
        <v>0</v>
      </c>
      <c r="CA45" s="325">
        <v>0</v>
      </c>
      <c r="CB45" s="325">
        <v>0</v>
      </c>
      <c r="CC45" s="325">
        <v>0</v>
      </c>
      <c r="CD45" s="325">
        <v>0</v>
      </c>
      <c r="CE45" s="325">
        <v>0</v>
      </c>
      <c r="CF45" s="325">
        <f t="shared" si="24"/>
        <v>5590600</v>
      </c>
      <c r="CG45" s="325">
        <v>0</v>
      </c>
      <c r="CH45" s="325">
        <v>0</v>
      </c>
      <c r="CI45" s="325">
        <v>0</v>
      </c>
      <c r="CJ45" s="325">
        <v>0</v>
      </c>
      <c r="CK45" s="325">
        <v>0</v>
      </c>
      <c r="CL45" s="325">
        <v>0</v>
      </c>
      <c r="CM45" s="325">
        <v>0</v>
      </c>
      <c r="CN45" s="325">
        <v>0</v>
      </c>
      <c r="CO45" s="325">
        <v>0</v>
      </c>
      <c r="CP45" s="325">
        <v>0</v>
      </c>
      <c r="CQ45" s="325">
        <v>0</v>
      </c>
      <c r="CR45" s="325">
        <f t="shared" si="25"/>
        <v>0</v>
      </c>
      <c r="CS45" s="329">
        <v>0</v>
      </c>
      <c r="CT45" s="329">
        <v>0</v>
      </c>
      <c r="CU45" s="329">
        <v>0</v>
      </c>
      <c r="CV45" s="329">
        <v>0</v>
      </c>
      <c r="CW45" s="329">
        <v>0</v>
      </c>
      <c r="CX45" s="329">
        <v>0</v>
      </c>
      <c r="CY45" s="329">
        <v>0</v>
      </c>
      <c r="CZ45" s="329">
        <v>0</v>
      </c>
      <c r="DA45" s="329">
        <v>0</v>
      </c>
      <c r="DB45" s="329">
        <v>0</v>
      </c>
      <c r="DC45" s="329">
        <v>0</v>
      </c>
      <c r="DD45" s="333">
        <f t="shared" si="26"/>
        <v>0</v>
      </c>
      <c r="DE45" s="329">
        <v>0</v>
      </c>
      <c r="DF45" s="329">
        <v>0</v>
      </c>
      <c r="DG45" s="329">
        <v>0</v>
      </c>
      <c r="DH45" s="329">
        <v>0</v>
      </c>
      <c r="DI45" s="329">
        <v>0</v>
      </c>
      <c r="DJ45" s="329">
        <v>0</v>
      </c>
      <c r="DK45" s="329">
        <v>0</v>
      </c>
      <c r="DL45" s="329">
        <v>0</v>
      </c>
      <c r="DM45" s="329">
        <v>0</v>
      </c>
      <c r="DN45" s="329">
        <v>0</v>
      </c>
      <c r="DO45" s="329">
        <v>0</v>
      </c>
      <c r="DP45" s="333">
        <f t="shared" si="27"/>
        <v>0</v>
      </c>
      <c r="DQ45" s="329">
        <v>0</v>
      </c>
      <c r="DR45" s="329">
        <v>0</v>
      </c>
      <c r="DS45" s="329">
        <v>0</v>
      </c>
      <c r="DT45" s="329">
        <v>0</v>
      </c>
      <c r="DU45" s="329">
        <v>0</v>
      </c>
      <c r="DV45" s="329">
        <v>0</v>
      </c>
      <c r="DW45" s="329">
        <v>0</v>
      </c>
      <c r="DX45" s="329">
        <v>0</v>
      </c>
      <c r="DY45" s="329">
        <v>0</v>
      </c>
      <c r="DZ45" s="329">
        <v>0</v>
      </c>
      <c r="EA45" s="329">
        <v>0</v>
      </c>
      <c r="EB45" s="333">
        <f t="shared" si="28"/>
        <v>0</v>
      </c>
      <c r="EC45" s="329">
        <v>0</v>
      </c>
      <c r="ED45" s="329">
        <v>0</v>
      </c>
      <c r="EE45" s="329">
        <v>0</v>
      </c>
      <c r="EF45" s="329">
        <v>0</v>
      </c>
      <c r="EG45" s="329">
        <v>0</v>
      </c>
      <c r="EH45" s="329">
        <v>0</v>
      </c>
      <c r="EI45" s="329">
        <v>0</v>
      </c>
      <c r="EJ45" s="329">
        <v>0</v>
      </c>
      <c r="EK45" s="329">
        <v>0</v>
      </c>
      <c r="EL45" s="329">
        <v>0</v>
      </c>
      <c r="EM45" s="329">
        <v>0</v>
      </c>
      <c r="EN45" s="330">
        <f t="shared" si="29"/>
        <v>0</v>
      </c>
      <c r="EO45" s="331" t="s">
        <v>1538</v>
      </c>
      <c r="EP45" s="91"/>
      <c r="EQ45" s="91"/>
      <c r="ER45" s="91"/>
      <c r="ES45" s="91"/>
      <c r="ET45" s="91"/>
      <c r="EU45" s="91"/>
      <c r="EV45" s="91"/>
      <c r="EW45" s="91"/>
      <c r="EX45" s="91"/>
    </row>
    <row r="46" spans="1:156" ht="108" x14ac:dyDescent="0.25">
      <c r="A46" s="193"/>
      <c r="B46" s="176" t="s">
        <v>1231</v>
      </c>
      <c r="C46" s="176" t="s">
        <v>70</v>
      </c>
      <c r="D46" s="176"/>
      <c r="E46" s="176" t="s">
        <v>1355</v>
      </c>
      <c r="F46" s="177" t="s">
        <v>947</v>
      </c>
      <c r="G46" s="269" t="s">
        <v>1561</v>
      </c>
      <c r="H46" s="270" t="s">
        <v>1435</v>
      </c>
      <c r="I46" s="271" t="s">
        <v>1483</v>
      </c>
      <c r="J46" s="296" t="s">
        <v>923</v>
      </c>
      <c r="K46" s="176" t="s">
        <v>1238</v>
      </c>
      <c r="L46" s="176" t="s">
        <v>1050</v>
      </c>
      <c r="M46" s="325">
        <f t="shared" si="30"/>
        <v>2371649.37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325">
        <v>0</v>
      </c>
      <c r="T46" s="325">
        <v>0</v>
      </c>
      <c r="U46" s="325">
        <v>0</v>
      </c>
      <c r="V46" s="325">
        <v>0</v>
      </c>
      <c r="W46" s="325">
        <v>0</v>
      </c>
      <c r="X46" s="325">
        <f t="shared" si="19"/>
        <v>0</v>
      </c>
      <c r="Y46" s="325">
        <v>0</v>
      </c>
      <c r="Z46" s="325">
        <v>0</v>
      </c>
      <c r="AA46" s="325">
        <v>0</v>
      </c>
      <c r="AB46" s="325">
        <v>0</v>
      </c>
      <c r="AC46" s="325">
        <v>0</v>
      </c>
      <c r="AD46" s="325">
        <v>0</v>
      </c>
      <c r="AE46" s="325">
        <v>0</v>
      </c>
      <c r="AF46" s="325">
        <v>0</v>
      </c>
      <c r="AG46" s="332">
        <v>0</v>
      </c>
      <c r="AH46" s="325">
        <v>0</v>
      </c>
      <c r="AI46" s="326">
        <v>21649.37</v>
      </c>
      <c r="AJ46" s="325">
        <f t="shared" si="20"/>
        <v>21649.37</v>
      </c>
      <c r="AK46" s="332">
        <v>0</v>
      </c>
      <c r="AL46" s="332">
        <v>0</v>
      </c>
      <c r="AM46" s="332">
        <v>0</v>
      </c>
      <c r="AN46" s="332">
        <v>0</v>
      </c>
      <c r="AO46" s="332">
        <v>0</v>
      </c>
      <c r="AP46" s="332">
        <v>0</v>
      </c>
      <c r="AQ46" s="332">
        <v>0</v>
      </c>
      <c r="AR46" s="332">
        <v>0</v>
      </c>
      <c r="AS46" s="332">
        <v>0</v>
      </c>
      <c r="AT46" s="332">
        <v>0</v>
      </c>
      <c r="AU46" s="332">
        <v>0</v>
      </c>
      <c r="AV46" s="332">
        <f t="shared" si="21"/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>
        <v>0</v>
      </c>
      <c r="BC46" s="325">
        <v>0</v>
      </c>
      <c r="BD46" s="325">
        <v>0</v>
      </c>
      <c r="BE46" s="325">
        <v>0</v>
      </c>
      <c r="BF46" s="325">
        <v>0</v>
      </c>
      <c r="BG46" s="325">
        <v>0</v>
      </c>
      <c r="BH46" s="325">
        <f t="shared" si="22"/>
        <v>0</v>
      </c>
      <c r="BI46" s="325">
        <v>2350000</v>
      </c>
      <c r="BJ46" s="325">
        <v>0</v>
      </c>
      <c r="BK46" s="325">
        <v>0</v>
      </c>
      <c r="BL46" s="325">
        <v>0</v>
      </c>
      <c r="BM46" s="325">
        <v>0</v>
      </c>
      <c r="BN46" s="325">
        <v>0</v>
      </c>
      <c r="BO46" s="325">
        <v>0</v>
      </c>
      <c r="BP46" s="325">
        <v>0</v>
      </c>
      <c r="BQ46" s="325">
        <v>0</v>
      </c>
      <c r="BR46" s="325">
        <v>0</v>
      </c>
      <c r="BS46" s="325">
        <v>0</v>
      </c>
      <c r="BT46" s="325">
        <f t="shared" si="23"/>
        <v>2350000</v>
      </c>
      <c r="BU46" s="325">
        <v>0</v>
      </c>
      <c r="BV46" s="325">
        <v>0</v>
      </c>
      <c r="BW46" s="325">
        <v>0</v>
      </c>
      <c r="BX46" s="325">
        <v>0</v>
      </c>
      <c r="BY46" s="325">
        <v>0</v>
      </c>
      <c r="BZ46" s="325">
        <v>0</v>
      </c>
      <c r="CA46" s="325">
        <v>0</v>
      </c>
      <c r="CB46" s="325">
        <v>0</v>
      </c>
      <c r="CC46" s="325">
        <v>0</v>
      </c>
      <c r="CD46" s="325">
        <v>0</v>
      </c>
      <c r="CE46" s="325">
        <v>0</v>
      </c>
      <c r="CF46" s="325">
        <f t="shared" si="24"/>
        <v>0</v>
      </c>
      <c r="CG46" s="325">
        <v>0</v>
      </c>
      <c r="CH46" s="325">
        <v>0</v>
      </c>
      <c r="CI46" s="325">
        <v>0</v>
      </c>
      <c r="CJ46" s="325">
        <v>0</v>
      </c>
      <c r="CK46" s="325">
        <v>0</v>
      </c>
      <c r="CL46" s="325">
        <v>0</v>
      </c>
      <c r="CM46" s="325">
        <v>0</v>
      </c>
      <c r="CN46" s="325">
        <v>0</v>
      </c>
      <c r="CO46" s="325">
        <v>0</v>
      </c>
      <c r="CP46" s="325">
        <v>0</v>
      </c>
      <c r="CQ46" s="325">
        <v>0</v>
      </c>
      <c r="CR46" s="325">
        <f t="shared" si="25"/>
        <v>0</v>
      </c>
      <c r="CS46" s="329">
        <v>0</v>
      </c>
      <c r="CT46" s="329">
        <v>0</v>
      </c>
      <c r="CU46" s="329">
        <v>0</v>
      </c>
      <c r="CV46" s="329">
        <v>0</v>
      </c>
      <c r="CW46" s="329">
        <v>0</v>
      </c>
      <c r="CX46" s="329">
        <v>0</v>
      </c>
      <c r="CY46" s="329">
        <v>0</v>
      </c>
      <c r="CZ46" s="329">
        <v>0</v>
      </c>
      <c r="DA46" s="329">
        <v>0</v>
      </c>
      <c r="DB46" s="329">
        <v>0</v>
      </c>
      <c r="DC46" s="329">
        <v>0</v>
      </c>
      <c r="DD46" s="333">
        <f t="shared" si="26"/>
        <v>0</v>
      </c>
      <c r="DE46" s="329">
        <v>0</v>
      </c>
      <c r="DF46" s="329">
        <v>0</v>
      </c>
      <c r="DG46" s="329">
        <v>0</v>
      </c>
      <c r="DH46" s="329">
        <v>0</v>
      </c>
      <c r="DI46" s="329">
        <v>0</v>
      </c>
      <c r="DJ46" s="329">
        <v>0</v>
      </c>
      <c r="DK46" s="329">
        <v>0</v>
      </c>
      <c r="DL46" s="329">
        <v>0</v>
      </c>
      <c r="DM46" s="329">
        <v>0</v>
      </c>
      <c r="DN46" s="329">
        <v>0</v>
      </c>
      <c r="DO46" s="329">
        <v>0</v>
      </c>
      <c r="DP46" s="333">
        <f t="shared" si="27"/>
        <v>0</v>
      </c>
      <c r="DQ46" s="329">
        <v>0</v>
      </c>
      <c r="DR46" s="329">
        <v>0</v>
      </c>
      <c r="DS46" s="329">
        <v>0</v>
      </c>
      <c r="DT46" s="329">
        <v>0</v>
      </c>
      <c r="DU46" s="329">
        <v>0</v>
      </c>
      <c r="DV46" s="329">
        <v>0</v>
      </c>
      <c r="DW46" s="329">
        <v>0</v>
      </c>
      <c r="DX46" s="329">
        <v>0</v>
      </c>
      <c r="DY46" s="329">
        <v>0</v>
      </c>
      <c r="DZ46" s="329">
        <v>0</v>
      </c>
      <c r="EA46" s="329">
        <v>0</v>
      </c>
      <c r="EB46" s="333">
        <f t="shared" si="28"/>
        <v>0</v>
      </c>
      <c r="EC46" s="329">
        <v>0</v>
      </c>
      <c r="ED46" s="329">
        <v>0</v>
      </c>
      <c r="EE46" s="329">
        <v>0</v>
      </c>
      <c r="EF46" s="329">
        <v>0</v>
      </c>
      <c r="EG46" s="329">
        <v>0</v>
      </c>
      <c r="EH46" s="329">
        <v>0</v>
      </c>
      <c r="EI46" s="329">
        <v>0</v>
      </c>
      <c r="EJ46" s="329">
        <v>0</v>
      </c>
      <c r="EK46" s="329">
        <v>0</v>
      </c>
      <c r="EL46" s="329">
        <v>0</v>
      </c>
      <c r="EM46" s="329">
        <v>0</v>
      </c>
      <c r="EN46" s="330">
        <f t="shared" si="29"/>
        <v>0</v>
      </c>
      <c r="EO46" s="331">
        <v>1.9730000000000001</v>
      </c>
      <c r="EP46" s="91"/>
      <c r="EQ46" s="91"/>
      <c r="ER46" s="91"/>
      <c r="ES46" s="91"/>
      <c r="ET46" s="91"/>
      <c r="EU46" s="91"/>
      <c r="EV46" s="91"/>
      <c r="EW46" s="91"/>
      <c r="EX46" s="91"/>
    </row>
    <row r="47" spans="1:156" ht="45" x14ac:dyDescent="0.25">
      <c r="A47" s="193"/>
      <c r="B47" s="176" t="s">
        <v>1240</v>
      </c>
      <c r="C47" s="176" t="s">
        <v>196</v>
      </c>
      <c r="D47" s="176"/>
      <c r="E47" s="176" t="s">
        <v>1457</v>
      </c>
      <c r="F47" s="177" t="s">
        <v>1041</v>
      </c>
      <c r="G47" s="269" t="s">
        <v>1436</v>
      </c>
      <c r="H47" s="270" t="s">
        <v>1443</v>
      </c>
      <c r="I47" s="271" t="s">
        <v>1491</v>
      </c>
      <c r="J47" s="296" t="s">
        <v>923</v>
      </c>
      <c r="K47" s="185" t="s">
        <v>1239</v>
      </c>
      <c r="L47" s="176" t="s">
        <v>1050</v>
      </c>
      <c r="M47" s="325">
        <f t="shared" si="30"/>
        <v>2000000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325">
        <v>0</v>
      </c>
      <c r="T47" s="325">
        <v>0</v>
      </c>
      <c r="U47" s="325">
        <v>0</v>
      </c>
      <c r="V47" s="325">
        <v>0</v>
      </c>
      <c r="W47" s="325">
        <v>0</v>
      </c>
      <c r="X47" s="325">
        <f t="shared" si="19"/>
        <v>0</v>
      </c>
      <c r="Y47" s="325">
        <v>0</v>
      </c>
      <c r="Z47" s="325">
        <v>0</v>
      </c>
      <c r="AA47" s="325">
        <v>0</v>
      </c>
      <c r="AB47" s="325">
        <v>0</v>
      </c>
      <c r="AC47" s="325">
        <v>0</v>
      </c>
      <c r="AD47" s="325">
        <v>0</v>
      </c>
      <c r="AE47" s="325">
        <v>0</v>
      </c>
      <c r="AF47" s="325">
        <v>0</v>
      </c>
      <c r="AG47" s="325">
        <v>0</v>
      </c>
      <c r="AH47" s="325">
        <v>0</v>
      </c>
      <c r="AI47" s="326">
        <v>0</v>
      </c>
      <c r="AJ47" s="325">
        <f t="shared" si="20"/>
        <v>0</v>
      </c>
      <c r="AK47" s="332">
        <v>0</v>
      </c>
      <c r="AL47" s="332">
        <v>0</v>
      </c>
      <c r="AM47" s="332">
        <v>0</v>
      </c>
      <c r="AN47" s="332">
        <v>0</v>
      </c>
      <c r="AO47" s="332">
        <v>0</v>
      </c>
      <c r="AP47" s="332">
        <v>0</v>
      </c>
      <c r="AQ47" s="332">
        <v>0</v>
      </c>
      <c r="AR47" s="332">
        <v>0</v>
      </c>
      <c r="AS47" s="332">
        <v>0</v>
      </c>
      <c r="AT47" s="332">
        <v>0</v>
      </c>
      <c r="AU47" s="332">
        <v>0</v>
      </c>
      <c r="AV47" s="332">
        <f t="shared" si="21"/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>
        <v>0</v>
      </c>
      <c r="BC47" s="325">
        <v>0</v>
      </c>
      <c r="BD47" s="325">
        <v>0</v>
      </c>
      <c r="BE47" s="325">
        <v>0</v>
      </c>
      <c r="BF47" s="325">
        <v>0</v>
      </c>
      <c r="BG47" s="325">
        <v>0</v>
      </c>
      <c r="BH47" s="325">
        <f t="shared" si="22"/>
        <v>0</v>
      </c>
      <c r="BI47" s="325">
        <v>2000000</v>
      </c>
      <c r="BJ47" s="325">
        <v>0</v>
      </c>
      <c r="BK47" s="325">
        <v>0</v>
      </c>
      <c r="BL47" s="325">
        <v>0</v>
      </c>
      <c r="BM47" s="325">
        <v>0</v>
      </c>
      <c r="BN47" s="325">
        <v>0</v>
      </c>
      <c r="BO47" s="325">
        <v>0</v>
      </c>
      <c r="BP47" s="325">
        <v>0</v>
      </c>
      <c r="BQ47" s="325">
        <v>0</v>
      </c>
      <c r="BR47" s="325">
        <v>0</v>
      </c>
      <c r="BS47" s="325">
        <v>0</v>
      </c>
      <c r="BT47" s="325">
        <f t="shared" si="23"/>
        <v>2000000</v>
      </c>
      <c r="BU47" s="325">
        <v>0</v>
      </c>
      <c r="BV47" s="325">
        <v>0</v>
      </c>
      <c r="BW47" s="325">
        <v>0</v>
      </c>
      <c r="BX47" s="325">
        <v>0</v>
      </c>
      <c r="BY47" s="325">
        <v>0</v>
      </c>
      <c r="BZ47" s="325">
        <v>0</v>
      </c>
      <c r="CA47" s="325">
        <v>0</v>
      </c>
      <c r="CB47" s="325">
        <v>0</v>
      </c>
      <c r="CC47" s="325">
        <v>0</v>
      </c>
      <c r="CD47" s="325">
        <v>0</v>
      </c>
      <c r="CE47" s="325">
        <v>0</v>
      </c>
      <c r="CF47" s="325">
        <f t="shared" si="24"/>
        <v>0</v>
      </c>
      <c r="CG47" s="325">
        <v>0</v>
      </c>
      <c r="CH47" s="325">
        <v>0</v>
      </c>
      <c r="CI47" s="325">
        <v>0</v>
      </c>
      <c r="CJ47" s="325">
        <v>0</v>
      </c>
      <c r="CK47" s="325">
        <v>0</v>
      </c>
      <c r="CL47" s="325">
        <v>0</v>
      </c>
      <c r="CM47" s="325">
        <v>0</v>
      </c>
      <c r="CN47" s="325">
        <v>0</v>
      </c>
      <c r="CO47" s="325">
        <v>0</v>
      </c>
      <c r="CP47" s="325">
        <v>0</v>
      </c>
      <c r="CQ47" s="325">
        <v>0</v>
      </c>
      <c r="CR47" s="325">
        <f t="shared" si="25"/>
        <v>0</v>
      </c>
      <c r="CS47" s="329">
        <v>0</v>
      </c>
      <c r="CT47" s="329">
        <v>0</v>
      </c>
      <c r="CU47" s="329">
        <v>0</v>
      </c>
      <c r="CV47" s="329">
        <v>0</v>
      </c>
      <c r="CW47" s="329">
        <v>0</v>
      </c>
      <c r="CX47" s="329">
        <v>0</v>
      </c>
      <c r="CY47" s="329">
        <v>0</v>
      </c>
      <c r="CZ47" s="329">
        <v>0</v>
      </c>
      <c r="DA47" s="329">
        <v>0</v>
      </c>
      <c r="DB47" s="329">
        <v>0</v>
      </c>
      <c r="DC47" s="329">
        <v>0</v>
      </c>
      <c r="DD47" s="333">
        <f t="shared" si="26"/>
        <v>0</v>
      </c>
      <c r="DE47" s="329">
        <v>0</v>
      </c>
      <c r="DF47" s="329">
        <v>0</v>
      </c>
      <c r="DG47" s="329">
        <v>0</v>
      </c>
      <c r="DH47" s="329">
        <v>0</v>
      </c>
      <c r="DI47" s="329">
        <v>0</v>
      </c>
      <c r="DJ47" s="329">
        <v>0</v>
      </c>
      <c r="DK47" s="329">
        <v>0</v>
      </c>
      <c r="DL47" s="329">
        <v>0</v>
      </c>
      <c r="DM47" s="329">
        <v>0</v>
      </c>
      <c r="DN47" s="329">
        <v>0</v>
      </c>
      <c r="DO47" s="329">
        <v>0</v>
      </c>
      <c r="DP47" s="333">
        <f t="shared" si="27"/>
        <v>0</v>
      </c>
      <c r="DQ47" s="329">
        <v>0</v>
      </c>
      <c r="DR47" s="329">
        <v>0</v>
      </c>
      <c r="DS47" s="329">
        <v>0</v>
      </c>
      <c r="DT47" s="329">
        <v>0</v>
      </c>
      <c r="DU47" s="329">
        <v>0</v>
      </c>
      <c r="DV47" s="329">
        <v>0</v>
      </c>
      <c r="DW47" s="329">
        <v>0</v>
      </c>
      <c r="DX47" s="329">
        <v>0</v>
      </c>
      <c r="DY47" s="329">
        <v>0</v>
      </c>
      <c r="DZ47" s="329">
        <v>0</v>
      </c>
      <c r="EA47" s="329">
        <v>0</v>
      </c>
      <c r="EB47" s="333">
        <f t="shared" si="28"/>
        <v>0</v>
      </c>
      <c r="EC47" s="329">
        <v>0</v>
      </c>
      <c r="ED47" s="329">
        <v>0</v>
      </c>
      <c r="EE47" s="329">
        <v>0</v>
      </c>
      <c r="EF47" s="329">
        <v>0</v>
      </c>
      <c r="EG47" s="329">
        <v>0</v>
      </c>
      <c r="EH47" s="329">
        <v>0</v>
      </c>
      <c r="EI47" s="329">
        <v>0</v>
      </c>
      <c r="EJ47" s="329">
        <v>0</v>
      </c>
      <c r="EK47" s="329">
        <v>0</v>
      </c>
      <c r="EL47" s="329">
        <v>0</v>
      </c>
      <c r="EM47" s="329">
        <v>0</v>
      </c>
      <c r="EN47" s="330">
        <f t="shared" si="29"/>
        <v>0</v>
      </c>
      <c r="EO47" s="331" t="s">
        <v>1538</v>
      </c>
      <c r="EP47" s="91"/>
      <c r="EQ47" s="91"/>
      <c r="ER47" s="91"/>
      <c r="ES47" s="91"/>
      <c r="ET47" s="91"/>
      <c r="EU47" s="91"/>
      <c r="EV47" s="91"/>
      <c r="EW47" s="91"/>
      <c r="EX47" s="91"/>
    </row>
    <row r="48" spans="1:156" ht="240" x14ac:dyDescent="0.25">
      <c r="A48" s="193"/>
      <c r="B48" s="176" t="s">
        <v>1257</v>
      </c>
      <c r="C48" s="176" t="s">
        <v>1256</v>
      </c>
      <c r="D48" s="176"/>
      <c r="E48" s="176" t="s">
        <v>1358</v>
      </c>
      <c r="F48" s="177" t="s">
        <v>936</v>
      </c>
      <c r="G48" s="269" t="s">
        <v>1562</v>
      </c>
      <c r="H48" s="270" t="s">
        <v>1572</v>
      </c>
      <c r="I48" s="271" t="s">
        <v>1512</v>
      </c>
      <c r="J48" s="296" t="s">
        <v>923</v>
      </c>
      <c r="K48" s="176" t="s">
        <v>1241</v>
      </c>
      <c r="L48" s="176" t="s">
        <v>1050</v>
      </c>
      <c r="M48" s="325">
        <f t="shared" si="30"/>
        <v>1816288.9</v>
      </c>
      <c r="N48" s="325">
        <v>0</v>
      </c>
      <c r="O48" s="325">
        <v>0</v>
      </c>
      <c r="P48" s="325">
        <v>0</v>
      </c>
      <c r="Q48" s="325">
        <v>0</v>
      </c>
      <c r="R48" s="325">
        <v>0</v>
      </c>
      <c r="S48" s="325">
        <v>0</v>
      </c>
      <c r="T48" s="325">
        <v>0</v>
      </c>
      <c r="U48" s="325">
        <v>0</v>
      </c>
      <c r="V48" s="325">
        <v>0</v>
      </c>
      <c r="W48" s="325">
        <v>215720.74</v>
      </c>
      <c r="X48" s="325">
        <f t="shared" si="19"/>
        <v>215720.74</v>
      </c>
      <c r="Y48" s="325">
        <v>0</v>
      </c>
      <c r="Z48" s="325">
        <v>0</v>
      </c>
      <c r="AA48" s="325">
        <v>0</v>
      </c>
      <c r="AB48" s="325">
        <v>0</v>
      </c>
      <c r="AC48" s="325">
        <v>0</v>
      </c>
      <c r="AD48" s="325">
        <v>0</v>
      </c>
      <c r="AE48" s="325">
        <v>0</v>
      </c>
      <c r="AF48" s="325">
        <v>0</v>
      </c>
      <c r="AG48" s="332">
        <v>0</v>
      </c>
      <c r="AH48" s="325">
        <v>0</v>
      </c>
      <c r="AI48" s="326">
        <v>8988.16</v>
      </c>
      <c r="AJ48" s="325">
        <f t="shared" si="20"/>
        <v>8988.16</v>
      </c>
      <c r="AK48" s="332">
        <v>0</v>
      </c>
      <c r="AL48" s="332">
        <v>0</v>
      </c>
      <c r="AM48" s="332">
        <v>0</v>
      </c>
      <c r="AN48" s="332">
        <v>0</v>
      </c>
      <c r="AO48" s="332">
        <v>0</v>
      </c>
      <c r="AP48" s="332">
        <v>0</v>
      </c>
      <c r="AQ48" s="332">
        <v>0</v>
      </c>
      <c r="AR48" s="332">
        <v>0</v>
      </c>
      <c r="AS48" s="332">
        <v>0</v>
      </c>
      <c r="AT48" s="332">
        <v>0</v>
      </c>
      <c r="AU48" s="332">
        <v>0</v>
      </c>
      <c r="AV48" s="332">
        <f t="shared" si="21"/>
        <v>0</v>
      </c>
      <c r="AW48" s="325">
        <v>1591580</v>
      </c>
      <c r="AX48" s="325">
        <v>0</v>
      </c>
      <c r="AY48" s="325">
        <v>0</v>
      </c>
      <c r="AZ48" s="325">
        <v>0</v>
      </c>
      <c r="BA48" s="325">
        <v>0</v>
      </c>
      <c r="BB48" s="325">
        <v>0</v>
      </c>
      <c r="BC48" s="325">
        <v>0</v>
      </c>
      <c r="BD48" s="325">
        <v>0</v>
      </c>
      <c r="BE48" s="325">
        <v>0</v>
      </c>
      <c r="BF48" s="325">
        <v>0</v>
      </c>
      <c r="BG48" s="325">
        <v>0</v>
      </c>
      <c r="BH48" s="325">
        <f t="shared" si="22"/>
        <v>1591580</v>
      </c>
      <c r="BI48" s="325">
        <v>0</v>
      </c>
      <c r="BJ48" s="325">
        <v>0</v>
      </c>
      <c r="BK48" s="325">
        <v>0</v>
      </c>
      <c r="BL48" s="325">
        <v>0</v>
      </c>
      <c r="BM48" s="325">
        <v>0</v>
      </c>
      <c r="BN48" s="325">
        <v>0</v>
      </c>
      <c r="BO48" s="325">
        <v>0</v>
      </c>
      <c r="BP48" s="325">
        <v>0</v>
      </c>
      <c r="BQ48" s="325">
        <v>0</v>
      </c>
      <c r="BR48" s="325">
        <v>0</v>
      </c>
      <c r="BS48" s="325">
        <v>0</v>
      </c>
      <c r="BT48" s="325">
        <f t="shared" si="23"/>
        <v>0</v>
      </c>
      <c r="BU48" s="325">
        <v>0</v>
      </c>
      <c r="BV48" s="325">
        <v>0</v>
      </c>
      <c r="BW48" s="325">
        <v>0</v>
      </c>
      <c r="BX48" s="325">
        <v>0</v>
      </c>
      <c r="BY48" s="325">
        <v>0</v>
      </c>
      <c r="BZ48" s="325">
        <v>0</v>
      </c>
      <c r="CA48" s="325">
        <v>0</v>
      </c>
      <c r="CB48" s="325">
        <v>0</v>
      </c>
      <c r="CC48" s="325">
        <v>0</v>
      </c>
      <c r="CD48" s="325">
        <v>0</v>
      </c>
      <c r="CE48" s="325">
        <v>0</v>
      </c>
      <c r="CF48" s="325">
        <f t="shared" si="24"/>
        <v>0</v>
      </c>
      <c r="CG48" s="325">
        <v>0</v>
      </c>
      <c r="CH48" s="325">
        <v>0</v>
      </c>
      <c r="CI48" s="325">
        <v>0</v>
      </c>
      <c r="CJ48" s="325">
        <v>0</v>
      </c>
      <c r="CK48" s="325">
        <v>0</v>
      </c>
      <c r="CL48" s="325">
        <v>0</v>
      </c>
      <c r="CM48" s="325">
        <v>0</v>
      </c>
      <c r="CN48" s="325">
        <v>0</v>
      </c>
      <c r="CO48" s="325">
        <v>0</v>
      </c>
      <c r="CP48" s="325">
        <v>0</v>
      </c>
      <c r="CQ48" s="325">
        <v>0</v>
      </c>
      <c r="CR48" s="325">
        <f t="shared" si="25"/>
        <v>0</v>
      </c>
      <c r="CS48" s="329">
        <v>0</v>
      </c>
      <c r="CT48" s="329">
        <v>0</v>
      </c>
      <c r="CU48" s="329">
        <v>0</v>
      </c>
      <c r="CV48" s="329">
        <v>0</v>
      </c>
      <c r="CW48" s="329">
        <v>0</v>
      </c>
      <c r="CX48" s="329">
        <v>0</v>
      </c>
      <c r="CY48" s="329">
        <v>0</v>
      </c>
      <c r="CZ48" s="329">
        <v>0</v>
      </c>
      <c r="DA48" s="329">
        <v>0</v>
      </c>
      <c r="DB48" s="329">
        <v>0</v>
      </c>
      <c r="DC48" s="329">
        <v>0</v>
      </c>
      <c r="DD48" s="333">
        <f t="shared" si="26"/>
        <v>0</v>
      </c>
      <c r="DE48" s="329">
        <v>0</v>
      </c>
      <c r="DF48" s="329">
        <v>0</v>
      </c>
      <c r="DG48" s="329">
        <v>0</v>
      </c>
      <c r="DH48" s="329">
        <v>0</v>
      </c>
      <c r="DI48" s="329">
        <v>0</v>
      </c>
      <c r="DJ48" s="329">
        <v>0</v>
      </c>
      <c r="DK48" s="329">
        <v>0</v>
      </c>
      <c r="DL48" s="329">
        <v>0</v>
      </c>
      <c r="DM48" s="329">
        <v>0</v>
      </c>
      <c r="DN48" s="329">
        <v>0</v>
      </c>
      <c r="DO48" s="329">
        <v>0</v>
      </c>
      <c r="DP48" s="333">
        <f t="shared" si="27"/>
        <v>0</v>
      </c>
      <c r="DQ48" s="329">
        <v>0</v>
      </c>
      <c r="DR48" s="329">
        <v>0</v>
      </c>
      <c r="DS48" s="329">
        <v>0</v>
      </c>
      <c r="DT48" s="329">
        <v>0</v>
      </c>
      <c r="DU48" s="329">
        <v>0</v>
      </c>
      <c r="DV48" s="329">
        <v>0</v>
      </c>
      <c r="DW48" s="329">
        <v>0</v>
      </c>
      <c r="DX48" s="329">
        <v>0</v>
      </c>
      <c r="DY48" s="329">
        <v>0</v>
      </c>
      <c r="DZ48" s="329">
        <v>0</v>
      </c>
      <c r="EA48" s="329">
        <v>0</v>
      </c>
      <c r="EB48" s="333">
        <f t="shared" si="28"/>
        <v>0</v>
      </c>
      <c r="EC48" s="329">
        <v>0</v>
      </c>
      <c r="ED48" s="329">
        <v>0</v>
      </c>
      <c r="EE48" s="329">
        <v>0</v>
      </c>
      <c r="EF48" s="329">
        <v>0</v>
      </c>
      <c r="EG48" s="329">
        <v>0</v>
      </c>
      <c r="EH48" s="329">
        <v>0</v>
      </c>
      <c r="EI48" s="329">
        <v>0</v>
      </c>
      <c r="EJ48" s="329">
        <v>0</v>
      </c>
      <c r="EK48" s="329">
        <v>0</v>
      </c>
      <c r="EL48" s="329">
        <v>0</v>
      </c>
      <c r="EM48" s="329">
        <v>0</v>
      </c>
      <c r="EN48" s="330">
        <f t="shared" si="29"/>
        <v>0</v>
      </c>
      <c r="EO48" s="331" t="s">
        <v>1543</v>
      </c>
      <c r="EP48" s="91"/>
      <c r="EQ48" s="91"/>
      <c r="ER48" s="91"/>
      <c r="ES48" s="91"/>
      <c r="ET48" s="91"/>
      <c r="EU48" s="91"/>
      <c r="EV48" s="91"/>
      <c r="EW48" s="91"/>
      <c r="EX48" s="91"/>
    </row>
    <row r="49" spans="1:156" ht="45" x14ac:dyDescent="0.25">
      <c r="A49" s="193"/>
      <c r="B49" s="176" t="s">
        <v>1223</v>
      </c>
      <c r="C49" s="176" t="s">
        <v>206</v>
      </c>
      <c r="D49" s="176"/>
      <c r="E49" s="176" t="s">
        <v>1359</v>
      </c>
      <c r="F49" s="177" t="s">
        <v>1043</v>
      </c>
      <c r="G49" s="269" t="s">
        <v>1453</v>
      </c>
      <c r="H49" s="278" t="s">
        <v>1452</v>
      </c>
      <c r="I49" s="271" t="s">
        <v>1506</v>
      </c>
      <c r="J49" s="296" t="s">
        <v>923</v>
      </c>
      <c r="K49" s="185" t="s">
        <v>1242</v>
      </c>
      <c r="L49" s="176" t="s">
        <v>1050</v>
      </c>
      <c r="M49" s="325">
        <f t="shared" si="30"/>
        <v>1502000</v>
      </c>
      <c r="N49" s="325">
        <v>0</v>
      </c>
      <c r="O49" s="325">
        <v>0</v>
      </c>
      <c r="P49" s="325">
        <v>0</v>
      </c>
      <c r="Q49" s="325">
        <v>0</v>
      </c>
      <c r="R49" s="325">
        <v>0</v>
      </c>
      <c r="S49" s="325">
        <v>0</v>
      </c>
      <c r="T49" s="325">
        <v>0</v>
      </c>
      <c r="U49" s="325">
        <v>0</v>
      </c>
      <c r="V49" s="325">
        <v>0</v>
      </c>
      <c r="W49" s="325">
        <v>0</v>
      </c>
      <c r="X49" s="325">
        <f t="shared" si="19"/>
        <v>0</v>
      </c>
      <c r="Y49" s="325">
        <v>0</v>
      </c>
      <c r="Z49" s="325">
        <v>0</v>
      </c>
      <c r="AA49" s="325">
        <v>0</v>
      </c>
      <c r="AB49" s="325">
        <v>0</v>
      </c>
      <c r="AC49" s="325">
        <v>0</v>
      </c>
      <c r="AD49" s="325">
        <v>0</v>
      </c>
      <c r="AE49" s="325">
        <v>0</v>
      </c>
      <c r="AF49" s="325">
        <v>0</v>
      </c>
      <c r="AG49" s="332">
        <v>0</v>
      </c>
      <c r="AH49" s="325">
        <v>0</v>
      </c>
      <c r="AI49" s="326">
        <v>2000</v>
      </c>
      <c r="AJ49" s="325">
        <f t="shared" si="20"/>
        <v>2000</v>
      </c>
      <c r="AK49" s="332">
        <v>0</v>
      </c>
      <c r="AL49" s="332">
        <v>0</v>
      </c>
      <c r="AM49" s="332">
        <v>0</v>
      </c>
      <c r="AN49" s="332">
        <v>0</v>
      </c>
      <c r="AO49" s="332">
        <v>0</v>
      </c>
      <c r="AP49" s="332">
        <v>0</v>
      </c>
      <c r="AQ49" s="332">
        <v>0</v>
      </c>
      <c r="AR49" s="332">
        <v>0</v>
      </c>
      <c r="AS49" s="332">
        <v>0</v>
      </c>
      <c r="AT49" s="332">
        <v>0</v>
      </c>
      <c r="AU49" s="332">
        <v>0</v>
      </c>
      <c r="AV49" s="332">
        <f t="shared" si="21"/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>
        <v>0</v>
      </c>
      <c r="BC49" s="325">
        <v>0</v>
      </c>
      <c r="BD49" s="325">
        <v>0</v>
      </c>
      <c r="BE49" s="325">
        <v>0</v>
      </c>
      <c r="BF49" s="325">
        <v>0</v>
      </c>
      <c r="BG49" s="325">
        <v>0</v>
      </c>
      <c r="BH49" s="325">
        <f t="shared" si="22"/>
        <v>0</v>
      </c>
      <c r="BI49" s="325">
        <v>1500000</v>
      </c>
      <c r="BJ49" s="325">
        <v>0</v>
      </c>
      <c r="BK49" s="325">
        <v>0</v>
      </c>
      <c r="BL49" s="325">
        <v>0</v>
      </c>
      <c r="BM49" s="325">
        <v>0</v>
      </c>
      <c r="BN49" s="325">
        <v>0</v>
      </c>
      <c r="BO49" s="325">
        <v>0</v>
      </c>
      <c r="BP49" s="325">
        <v>0</v>
      </c>
      <c r="BQ49" s="325">
        <v>0</v>
      </c>
      <c r="BR49" s="325">
        <v>0</v>
      </c>
      <c r="BS49" s="325">
        <v>0</v>
      </c>
      <c r="BT49" s="325">
        <f t="shared" si="23"/>
        <v>1500000</v>
      </c>
      <c r="BU49" s="325">
        <v>0</v>
      </c>
      <c r="BV49" s="325">
        <v>0</v>
      </c>
      <c r="BW49" s="325">
        <v>0</v>
      </c>
      <c r="BX49" s="325">
        <v>0</v>
      </c>
      <c r="BY49" s="325">
        <v>0</v>
      </c>
      <c r="BZ49" s="325">
        <v>0</v>
      </c>
      <c r="CA49" s="325">
        <v>0</v>
      </c>
      <c r="CB49" s="325">
        <v>0</v>
      </c>
      <c r="CC49" s="325">
        <v>0</v>
      </c>
      <c r="CD49" s="325">
        <v>0</v>
      </c>
      <c r="CE49" s="325">
        <v>0</v>
      </c>
      <c r="CF49" s="325">
        <f t="shared" si="24"/>
        <v>0</v>
      </c>
      <c r="CG49" s="325">
        <v>0</v>
      </c>
      <c r="CH49" s="325">
        <v>0</v>
      </c>
      <c r="CI49" s="325">
        <v>0</v>
      </c>
      <c r="CJ49" s="325">
        <v>0</v>
      </c>
      <c r="CK49" s="325">
        <v>0</v>
      </c>
      <c r="CL49" s="325">
        <v>0</v>
      </c>
      <c r="CM49" s="325">
        <v>0</v>
      </c>
      <c r="CN49" s="325">
        <v>0</v>
      </c>
      <c r="CO49" s="325">
        <v>0</v>
      </c>
      <c r="CP49" s="325">
        <v>0</v>
      </c>
      <c r="CQ49" s="325">
        <v>0</v>
      </c>
      <c r="CR49" s="325">
        <f t="shared" si="25"/>
        <v>0</v>
      </c>
      <c r="CS49" s="329">
        <v>0</v>
      </c>
      <c r="CT49" s="329">
        <v>0</v>
      </c>
      <c r="CU49" s="329">
        <v>0</v>
      </c>
      <c r="CV49" s="329">
        <v>0</v>
      </c>
      <c r="CW49" s="329">
        <v>0</v>
      </c>
      <c r="CX49" s="329">
        <v>0</v>
      </c>
      <c r="CY49" s="329">
        <v>0</v>
      </c>
      <c r="CZ49" s="329">
        <v>0</v>
      </c>
      <c r="DA49" s="329">
        <v>0</v>
      </c>
      <c r="DB49" s="329">
        <v>0</v>
      </c>
      <c r="DC49" s="329">
        <v>0</v>
      </c>
      <c r="DD49" s="333">
        <f t="shared" si="26"/>
        <v>0</v>
      </c>
      <c r="DE49" s="329">
        <v>0</v>
      </c>
      <c r="DF49" s="329">
        <v>0</v>
      </c>
      <c r="DG49" s="329">
        <v>0</v>
      </c>
      <c r="DH49" s="329">
        <v>0</v>
      </c>
      <c r="DI49" s="329">
        <v>0</v>
      </c>
      <c r="DJ49" s="329">
        <v>0</v>
      </c>
      <c r="DK49" s="329">
        <v>0</v>
      </c>
      <c r="DL49" s="329">
        <v>0</v>
      </c>
      <c r="DM49" s="329">
        <v>0</v>
      </c>
      <c r="DN49" s="329">
        <v>0</v>
      </c>
      <c r="DO49" s="329">
        <v>0</v>
      </c>
      <c r="DP49" s="333">
        <f t="shared" si="27"/>
        <v>0</v>
      </c>
      <c r="DQ49" s="329">
        <v>0</v>
      </c>
      <c r="DR49" s="329">
        <v>0</v>
      </c>
      <c r="DS49" s="329">
        <v>0</v>
      </c>
      <c r="DT49" s="329">
        <v>0</v>
      </c>
      <c r="DU49" s="329">
        <v>0</v>
      </c>
      <c r="DV49" s="329">
        <v>0</v>
      </c>
      <c r="DW49" s="329">
        <v>0</v>
      </c>
      <c r="DX49" s="329">
        <v>0</v>
      </c>
      <c r="DY49" s="329">
        <v>0</v>
      </c>
      <c r="DZ49" s="329">
        <v>0</v>
      </c>
      <c r="EA49" s="329">
        <v>0</v>
      </c>
      <c r="EB49" s="333">
        <f t="shared" si="28"/>
        <v>0</v>
      </c>
      <c r="EC49" s="329">
        <v>0</v>
      </c>
      <c r="ED49" s="329">
        <v>0</v>
      </c>
      <c r="EE49" s="329">
        <v>0</v>
      </c>
      <c r="EF49" s="329">
        <v>0</v>
      </c>
      <c r="EG49" s="329">
        <v>0</v>
      </c>
      <c r="EH49" s="329">
        <v>0</v>
      </c>
      <c r="EI49" s="329">
        <v>0</v>
      </c>
      <c r="EJ49" s="329">
        <v>0</v>
      </c>
      <c r="EK49" s="329">
        <v>0</v>
      </c>
      <c r="EL49" s="329">
        <v>0</v>
      </c>
      <c r="EM49" s="329">
        <v>0</v>
      </c>
      <c r="EN49" s="330">
        <f t="shared" si="29"/>
        <v>0</v>
      </c>
      <c r="EO49" s="331" t="s">
        <v>1538</v>
      </c>
      <c r="EP49" s="91"/>
      <c r="EQ49" s="91"/>
      <c r="ER49" s="91"/>
      <c r="ES49" s="91"/>
      <c r="ET49" s="91"/>
      <c r="EU49" s="91"/>
      <c r="EV49" s="91"/>
      <c r="EW49" s="91"/>
      <c r="EX49" s="91"/>
    </row>
    <row r="50" spans="1:156" s="105" customFormat="1" ht="72" x14ac:dyDescent="0.25">
      <c r="A50" s="301"/>
      <c r="B50" s="176" t="s">
        <v>614</v>
      </c>
      <c r="C50" s="176" t="s">
        <v>120</v>
      </c>
      <c r="D50" s="176" t="s">
        <v>1073</v>
      </c>
      <c r="E50" s="176" t="s">
        <v>1360</v>
      </c>
      <c r="F50" s="177" t="s">
        <v>1194</v>
      </c>
      <c r="G50" s="269" t="s">
        <v>1563</v>
      </c>
      <c r="H50" s="270" t="s">
        <v>1573</v>
      </c>
      <c r="I50" s="273" t="s">
        <v>1526</v>
      </c>
      <c r="J50" s="185" t="s">
        <v>922</v>
      </c>
      <c r="K50" s="185" t="s">
        <v>933</v>
      </c>
      <c r="L50" s="176" t="s">
        <v>1160</v>
      </c>
      <c r="M50" s="332">
        <f t="shared" ref="M50:M55" si="31">SUM(X50,AJ50,AV50,BH50,BT50,CF50,CR50,DD50,DP50,EB50,EN50)</f>
        <v>39147000</v>
      </c>
      <c r="N50" s="332">
        <v>0</v>
      </c>
      <c r="O50" s="332">
        <v>0</v>
      </c>
      <c r="P50" s="332">
        <v>0</v>
      </c>
      <c r="Q50" s="332">
        <v>0</v>
      </c>
      <c r="R50" s="332">
        <v>0</v>
      </c>
      <c r="S50" s="332">
        <v>0</v>
      </c>
      <c r="T50" s="332">
        <v>0</v>
      </c>
      <c r="U50" s="332">
        <v>0</v>
      </c>
      <c r="V50" s="332">
        <v>0</v>
      </c>
      <c r="W50" s="329">
        <v>15000</v>
      </c>
      <c r="X50" s="325">
        <f t="shared" si="19"/>
        <v>15000</v>
      </c>
      <c r="Y50" s="332">
        <v>0</v>
      </c>
      <c r="Z50" s="332">
        <v>0</v>
      </c>
      <c r="AA50" s="332">
        <v>0</v>
      </c>
      <c r="AB50" s="332">
        <v>0</v>
      </c>
      <c r="AC50" s="332">
        <v>0</v>
      </c>
      <c r="AD50" s="332">
        <v>0</v>
      </c>
      <c r="AE50" s="332">
        <v>0</v>
      </c>
      <c r="AF50" s="332">
        <v>0</v>
      </c>
      <c r="AG50" s="332">
        <v>0</v>
      </c>
      <c r="AH50" s="332">
        <v>0</v>
      </c>
      <c r="AI50" s="329">
        <v>0</v>
      </c>
      <c r="AJ50" s="332">
        <f t="shared" si="20"/>
        <v>0</v>
      </c>
      <c r="AK50" s="332">
        <v>0</v>
      </c>
      <c r="AL50" s="332">
        <v>0</v>
      </c>
      <c r="AM50" s="332">
        <v>0</v>
      </c>
      <c r="AN50" s="332">
        <v>0</v>
      </c>
      <c r="AO50" s="332">
        <v>0</v>
      </c>
      <c r="AP50" s="332">
        <v>0</v>
      </c>
      <c r="AQ50" s="332">
        <v>0</v>
      </c>
      <c r="AR50" s="332">
        <v>0</v>
      </c>
      <c r="AS50" s="332">
        <v>0</v>
      </c>
      <c r="AT50" s="332">
        <v>0</v>
      </c>
      <c r="AU50" s="332">
        <v>18000</v>
      </c>
      <c r="AV50" s="332">
        <f t="shared" si="21"/>
        <v>18000</v>
      </c>
      <c r="AW50" s="332">
        <v>0</v>
      </c>
      <c r="AX50" s="332">
        <v>0</v>
      </c>
      <c r="AY50" s="332">
        <v>0</v>
      </c>
      <c r="AZ50" s="332">
        <v>0</v>
      </c>
      <c r="BA50" s="332">
        <v>0</v>
      </c>
      <c r="BB50" s="332">
        <v>0</v>
      </c>
      <c r="BC50" s="332">
        <v>0</v>
      </c>
      <c r="BD50" s="332">
        <v>0</v>
      </c>
      <c r="BE50" s="332">
        <v>0</v>
      </c>
      <c r="BF50" s="332">
        <v>4900000</v>
      </c>
      <c r="BG50" s="332">
        <v>0</v>
      </c>
      <c r="BH50" s="332">
        <f t="shared" si="22"/>
        <v>4900000</v>
      </c>
      <c r="BI50" s="332">
        <v>0</v>
      </c>
      <c r="BJ50" s="332">
        <v>0</v>
      </c>
      <c r="BK50" s="332">
        <v>0</v>
      </c>
      <c r="BL50" s="332">
        <v>0</v>
      </c>
      <c r="BM50" s="332">
        <v>0</v>
      </c>
      <c r="BN50" s="332">
        <v>0</v>
      </c>
      <c r="BO50" s="332">
        <v>0</v>
      </c>
      <c r="BP50" s="332">
        <v>0</v>
      </c>
      <c r="BQ50" s="332">
        <v>0</v>
      </c>
      <c r="BR50" s="332">
        <v>9000000</v>
      </c>
      <c r="BS50" s="332">
        <v>0</v>
      </c>
      <c r="BT50" s="332">
        <f t="shared" si="23"/>
        <v>9000000</v>
      </c>
      <c r="BU50" s="332">
        <v>0</v>
      </c>
      <c r="BV50" s="332">
        <v>0</v>
      </c>
      <c r="BW50" s="332">
        <v>0</v>
      </c>
      <c r="BX50" s="332">
        <v>0</v>
      </c>
      <c r="BY50" s="332">
        <v>0</v>
      </c>
      <c r="BZ50" s="332">
        <v>0</v>
      </c>
      <c r="CA50" s="332">
        <v>0</v>
      </c>
      <c r="CB50" s="332">
        <v>0</v>
      </c>
      <c r="CC50" s="332">
        <v>0</v>
      </c>
      <c r="CD50" s="332">
        <v>12601000</v>
      </c>
      <c r="CE50" s="332">
        <v>6000</v>
      </c>
      <c r="CF50" s="332">
        <f t="shared" si="24"/>
        <v>12607000</v>
      </c>
      <c r="CG50" s="329">
        <v>0</v>
      </c>
      <c r="CH50" s="329">
        <v>0</v>
      </c>
      <c r="CI50" s="329">
        <v>0</v>
      </c>
      <c r="CJ50" s="329">
        <v>0</v>
      </c>
      <c r="CK50" s="329">
        <v>0</v>
      </c>
      <c r="CL50" s="329">
        <v>0</v>
      </c>
      <c r="CM50" s="329">
        <v>0</v>
      </c>
      <c r="CN50" s="329">
        <v>0</v>
      </c>
      <c r="CO50" s="329">
        <v>0</v>
      </c>
      <c r="CP50" s="329">
        <v>12601000</v>
      </c>
      <c r="CQ50" s="329">
        <v>6000</v>
      </c>
      <c r="CR50" s="329">
        <f t="shared" si="25"/>
        <v>12607000</v>
      </c>
      <c r="CS50" s="333">
        <v>0</v>
      </c>
      <c r="CT50" s="333">
        <v>0</v>
      </c>
      <c r="CU50" s="333">
        <v>0</v>
      </c>
      <c r="CV50" s="333">
        <v>0</v>
      </c>
      <c r="CW50" s="333">
        <v>0</v>
      </c>
      <c r="CX50" s="333">
        <v>0</v>
      </c>
      <c r="CY50" s="333">
        <v>0</v>
      </c>
      <c r="CZ50" s="333">
        <v>0</v>
      </c>
      <c r="DA50" s="333">
        <v>0</v>
      </c>
      <c r="DB50" s="333">
        <v>0</v>
      </c>
      <c r="DC50" s="333">
        <v>0</v>
      </c>
      <c r="DD50" s="333">
        <f t="shared" si="26"/>
        <v>0</v>
      </c>
      <c r="DE50" s="333">
        <v>0</v>
      </c>
      <c r="DF50" s="333">
        <v>0</v>
      </c>
      <c r="DG50" s="333">
        <v>0</v>
      </c>
      <c r="DH50" s="333">
        <v>0</v>
      </c>
      <c r="DI50" s="333">
        <v>0</v>
      </c>
      <c r="DJ50" s="333">
        <v>0</v>
      </c>
      <c r="DK50" s="333">
        <v>0</v>
      </c>
      <c r="DL50" s="333">
        <v>0</v>
      </c>
      <c r="DM50" s="333">
        <v>0</v>
      </c>
      <c r="DN50" s="333">
        <v>0</v>
      </c>
      <c r="DO50" s="333">
        <v>0</v>
      </c>
      <c r="DP50" s="333">
        <f t="shared" si="27"/>
        <v>0</v>
      </c>
      <c r="DQ50" s="333">
        <v>0</v>
      </c>
      <c r="DR50" s="333">
        <v>0</v>
      </c>
      <c r="DS50" s="333">
        <v>0</v>
      </c>
      <c r="DT50" s="333">
        <v>0</v>
      </c>
      <c r="DU50" s="333">
        <v>0</v>
      </c>
      <c r="DV50" s="333">
        <v>0</v>
      </c>
      <c r="DW50" s="333">
        <v>0</v>
      </c>
      <c r="DX50" s="333">
        <v>0</v>
      </c>
      <c r="DY50" s="333">
        <v>0</v>
      </c>
      <c r="DZ50" s="333">
        <v>0</v>
      </c>
      <c r="EA50" s="333">
        <v>0</v>
      </c>
      <c r="EB50" s="333">
        <f t="shared" si="28"/>
        <v>0</v>
      </c>
      <c r="EC50" s="333">
        <v>0</v>
      </c>
      <c r="ED50" s="333">
        <v>0</v>
      </c>
      <c r="EE50" s="333">
        <v>0</v>
      </c>
      <c r="EF50" s="333">
        <v>0</v>
      </c>
      <c r="EG50" s="333">
        <v>0</v>
      </c>
      <c r="EH50" s="333">
        <v>0</v>
      </c>
      <c r="EI50" s="333">
        <v>0</v>
      </c>
      <c r="EJ50" s="333">
        <v>0</v>
      </c>
      <c r="EK50" s="333">
        <v>0</v>
      </c>
      <c r="EL50" s="333">
        <v>0</v>
      </c>
      <c r="EM50" s="333">
        <v>0</v>
      </c>
      <c r="EN50" s="330">
        <f t="shared" si="29"/>
        <v>0</v>
      </c>
      <c r="EO50" s="331">
        <v>10.733000000000001</v>
      </c>
    </row>
    <row r="51" spans="1:156" ht="108" x14ac:dyDescent="0.25">
      <c r="A51" s="301"/>
      <c r="B51" s="176" t="s">
        <v>475</v>
      </c>
      <c r="C51" s="176" t="s">
        <v>6</v>
      </c>
      <c r="D51" s="176" t="s">
        <v>1114</v>
      </c>
      <c r="E51" s="176" t="s">
        <v>1361</v>
      </c>
      <c r="F51" s="177" t="s">
        <v>1036</v>
      </c>
      <c r="G51" s="279" t="s">
        <v>1450</v>
      </c>
      <c r="H51" s="280" t="s">
        <v>1451</v>
      </c>
      <c r="I51" s="271" t="s">
        <v>1513</v>
      </c>
      <c r="J51" s="185" t="s">
        <v>1113</v>
      </c>
      <c r="K51" s="185" t="s">
        <v>1112</v>
      </c>
      <c r="L51" s="176" t="s">
        <v>1189</v>
      </c>
      <c r="M51" s="332">
        <f t="shared" si="31"/>
        <v>5567100</v>
      </c>
      <c r="N51" s="332">
        <v>0</v>
      </c>
      <c r="O51" s="332">
        <v>0</v>
      </c>
      <c r="P51" s="332">
        <v>0</v>
      </c>
      <c r="Q51" s="332">
        <v>0</v>
      </c>
      <c r="R51" s="332">
        <v>0</v>
      </c>
      <c r="S51" s="332">
        <v>0</v>
      </c>
      <c r="T51" s="332">
        <v>0</v>
      </c>
      <c r="U51" s="332">
        <v>0</v>
      </c>
      <c r="V51" s="332">
        <v>0</v>
      </c>
      <c r="W51" s="329">
        <v>817100</v>
      </c>
      <c r="X51" s="325">
        <f t="shared" si="19"/>
        <v>817100</v>
      </c>
      <c r="Y51" s="332">
        <v>0</v>
      </c>
      <c r="Z51" s="332">
        <v>0</v>
      </c>
      <c r="AA51" s="332">
        <v>0</v>
      </c>
      <c r="AB51" s="332">
        <v>0</v>
      </c>
      <c r="AC51" s="332">
        <v>0</v>
      </c>
      <c r="AD51" s="332">
        <v>0</v>
      </c>
      <c r="AE51" s="332">
        <v>0</v>
      </c>
      <c r="AF51" s="332">
        <v>0</v>
      </c>
      <c r="AG51" s="332">
        <v>0</v>
      </c>
      <c r="AH51" s="332">
        <v>0</v>
      </c>
      <c r="AI51" s="329">
        <v>0</v>
      </c>
      <c r="AJ51" s="332">
        <f t="shared" si="20"/>
        <v>0</v>
      </c>
      <c r="AK51" s="332">
        <v>0</v>
      </c>
      <c r="AL51" s="332">
        <v>0</v>
      </c>
      <c r="AM51" s="332">
        <v>0</v>
      </c>
      <c r="AN51" s="332">
        <v>0</v>
      </c>
      <c r="AO51" s="332">
        <v>0</v>
      </c>
      <c r="AP51" s="332">
        <v>0</v>
      </c>
      <c r="AQ51" s="332">
        <v>0</v>
      </c>
      <c r="AR51" s="332">
        <v>0</v>
      </c>
      <c r="AS51" s="332">
        <v>0</v>
      </c>
      <c r="AT51" s="332">
        <v>0</v>
      </c>
      <c r="AU51" s="332">
        <v>0</v>
      </c>
      <c r="AV51" s="332">
        <f t="shared" si="21"/>
        <v>0</v>
      </c>
      <c r="AW51" s="332">
        <v>0</v>
      </c>
      <c r="AX51" s="332">
        <v>687500</v>
      </c>
      <c r="AY51" s="332">
        <v>0</v>
      </c>
      <c r="AZ51" s="332">
        <v>2018750</v>
      </c>
      <c r="BA51" s="332">
        <v>356250</v>
      </c>
      <c r="BB51" s="332">
        <v>0</v>
      </c>
      <c r="BC51" s="332">
        <v>0</v>
      </c>
      <c r="BD51" s="332">
        <v>0</v>
      </c>
      <c r="BE51" s="332">
        <v>0</v>
      </c>
      <c r="BF51" s="332">
        <v>0</v>
      </c>
      <c r="BG51" s="332">
        <v>0</v>
      </c>
      <c r="BH51" s="332">
        <f t="shared" si="22"/>
        <v>3062500</v>
      </c>
      <c r="BI51" s="332">
        <v>0</v>
      </c>
      <c r="BJ51" s="332">
        <v>262500</v>
      </c>
      <c r="BK51" s="332">
        <v>0</v>
      </c>
      <c r="BL51" s="332">
        <v>1211250</v>
      </c>
      <c r="BM51" s="332">
        <v>213750</v>
      </c>
      <c r="BN51" s="332">
        <v>0</v>
      </c>
      <c r="BO51" s="332">
        <v>0</v>
      </c>
      <c r="BP51" s="332">
        <v>0</v>
      </c>
      <c r="BQ51" s="332">
        <v>0</v>
      </c>
      <c r="BR51" s="332">
        <v>0</v>
      </c>
      <c r="BS51" s="332">
        <v>0</v>
      </c>
      <c r="BT51" s="332">
        <f t="shared" si="23"/>
        <v>1687500</v>
      </c>
      <c r="BU51" s="332">
        <v>0</v>
      </c>
      <c r="BV51" s="332">
        <v>0</v>
      </c>
      <c r="BW51" s="332">
        <v>0</v>
      </c>
      <c r="BX51" s="332">
        <v>0</v>
      </c>
      <c r="BY51" s="332">
        <v>0</v>
      </c>
      <c r="BZ51" s="332">
        <v>0</v>
      </c>
      <c r="CA51" s="332">
        <v>0</v>
      </c>
      <c r="CB51" s="332">
        <v>0</v>
      </c>
      <c r="CC51" s="332">
        <v>0</v>
      </c>
      <c r="CD51" s="332">
        <v>0</v>
      </c>
      <c r="CE51" s="332">
        <v>0</v>
      </c>
      <c r="CF51" s="332">
        <f t="shared" si="24"/>
        <v>0</v>
      </c>
      <c r="CG51" s="332">
        <v>0</v>
      </c>
      <c r="CH51" s="332">
        <v>0</v>
      </c>
      <c r="CI51" s="332">
        <v>0</v>
      </c>
      <c r="CJ51" s="332">
        <v>0</v>
      </c>
      <c r="CK51" s="332">
        <v>0</v>
      </c>
      <c r="CL51" s="332">
        <v>0</v>
      </c>
      <c r="CM51" s="332">
        <v>0</v>
      </c>
      <c r="CN51" s="332">
        <v>0</v>
      </c>
      <c r="CO51" s="332">
        <v>0</v>
      </c>
      <c r="CP51" s="332">
        <v>0</v>
      </c>
      <c r="CQ51" s="332">
        <v>0</v>
      </c>
      <c r="CR51" s="332">
        <f t="shared" si="25"/>
        <v>0</v>
      </c>
      <c r="CS51" s="332">
        <v>0</v>
      </c>
      <c r="CT51" s="332">
        <v>0</v>
      </c>
      <c r="CU51" s="332">
        <v>0</v>
      </c>
      <c r="CV51" s="332">
        <v>0</v>
      </c>
      <c r="CW51" s="332">
        <v>0</v>
      </c>
      <c r="CX51" s="332">
        <v>0</v>
      </c>
      <c r="CY51" s="332">
        <v>0</v>
      </c>
      <c r="CZ51" s="332">
        <v>0</v>
      </c>
      <c r="DA51" s="332">
        <v>0</v>
      </c>
      <c r="DB51" s="332">
        <v>0</v>
      </c>
      <c r="DC51" s="332">
        <v>0</v>
      </c>
      <c r="DD51" s="329">
        <f t="shared" si="26"/>
        <v>0</v>
      </c>
      <c r="DE51" s="332">
        <v>0</v>
      </c>
      <c r="DF51" s="332">
        <v>0</v>
      </c>
      <c r="DG51" s="332">
        <v>0</v>
      </c>
      <c r="DH51" s="332">
        <v>0</v>
      </c>
      <c r="DI51" s="332">
        <v>0</v>
      </c>
      <c r="DJ51" s="332">
        <v>0</v>
      </c>
      <c r="DK51" s="332">
        <v>0</v>
      </c>
      <c r="DL51" s="332">
        <v>0</v>
      </c>
      <c r="DM51" s="332">
        <v>0</v>
      </c>
      <c r="DN51" s="332">
        <v>0</v>
      </c>
      <c r="DO51" s="332">
        <v>0</v>
      </c>
      <c r="DP51" s="329">
        <f t="shared" si="27"/>
        <v>0</v>
      </c>
      <c r="DQ51" s="332">
        <v>0</v>
      </c>
      <c r="DR51" s="332">
        <v>0</v>
      </c>
      <c r="DS51" s="332">
        <v>0</v>
      </c>
      <c r="DT51" s="332">
        <v>0</v>
      </c>
      <c r="DU51" s="332">
        <v>0</v>
      </c>
      <c r="DV51" s="332">
        <v>0</v>
      </c>
      <c r="DW51" s="332">
        <v>0</v>
      </c>
      <c r="DX51" s="332">
        <v>0</v>
      </c>
      <c r="DY51" s="332">
        <v>0</v>
      </c>
      <c r="DZ51" s="332">
        <v>0</v>
      </c>
      <c r="EA51" s="332">
        <v>0</v>
      </c>
      <c r="EB51" s="329">
        <f t="shared" si="28"/>
        <v>0</v>
      </c>
      <c r="EC51" s="332">
        <v>0</v>
      </c>
      <c r="ED51" s="332">
        <v>0</v>
      </c>
      <c r="EE51" s="332">
        <v>0</v>
      </c>
      <c r="EF51" s="332">
        <v>0</v>
      </c>
      <c r="EG51" s="332">
        <v>0</v>
      </c>
      <c r="EH51" s="332">
        <v>0</v>
      </c>
      <c r="EI51" s="332">
        <v>0</v>
      </c>
      <c r="EJ51" s="332">
        <v>0</v>
      </c>
      <c r="EK51" s="332">
        <v>0</v>
      </c>
      <c r="EL51" s="332">
        <v>0</v>
      </c>
      <c r="EM51" s="332">
        <v>0</v>
      </c>
      <c r="EN51" s="341">
        <f t="shared" si="29"/>
        <v>0</v>
      </c>
      <c r="EO51" s="331">
        <v>2.3809999999999998</v>
      </c>
    </row>
    <row r="52" spans="1:156" ht="156" x14ac:dyDescent="0.25">
      <c r="A52" s="311"/>
      <c r="B52" s="176" t="s">
        <v>1100</v>
      </c>
      <c r="C52" s="176" t="s">
        <v>1253</v>
      </c>
      <c r="D52" s="176" t="s">
        <v>1099</v>
      </c>
      <c r="E52" s="176" t="s">
        <v>1362</v>
      </c>
      <c r="F52" s="177" t="s">
        <v>1284</v>
      </c>
      <c r="G52" s="269" t="s">
        <v>1437</v>
      </c>
      <c r="H52" s="270" t="s">
        <v>1438</v>
      </c>
      <c r="I52" s="271" t="s">
        <v>1494</v>
      </c>
      <c r="J52" s="175" t="s">
        <v>928</v>
      </c>
      <c r="K52" s="185" t="s">
        <v>1260</v>
      </c>
      <c r="L52" s="176" t="s">
        <v>1174</v>
      </c>
      <c r="M52" s="325">
        <f t="shared" si="31"/>
        <v>447463747.48000002</v>
      </c>
      <c r="N52" s="326">
        <v>0</v>
      </c>
      <c r="O52" s="326">
        <v>0</v>
      </c>
      <c r="P52" s="326">
        <v>0</v>
      </c>
      <c r="Q52" s="326">
        <v>0</v>
      </c>
      <c r="R52" s="326">
        <v>0</v>
      </c>
      <c r="S52" s="326">
        <v>0</v>
      </c>
      <c r="T52" s="326">
        <v>786250</v>
      </c>
      <c r="U52" s="326">
        <v>138750</v>
      </c>
      <c r="V52" s="326">
        <v>0</v>
      </c>
      <c r="W52" s="326">
        <v>35182.89</v>
      </c>
      <c r="X52" s="325">
        <f t="shared" si="19"/>
        <v>960182.89</v>
      </c>
      <c r="Y52" s="326">
        <v>0</v>
      </c>
      <c r="Z52" s="325">
        <v>0</v>
      </c>
      <c r="AA52" s="325">
        <v>0</v>
      </c>
      <c r="AB52" s="325">
        <v>0</v>
      </c>
      <c r="AC52" s="325">
        <v>0</v>
      </c>
      <c r="AD52" s="325">
        <v>0</v>
      </c>
      <c r="AE52" s="326">
        <v>1275000</v>
      </c>
      <c r="AF52" s="326">
        <v>225000</v>
      </c>
      <c r="AG52" s="325">
        <v>0</v>
      </c>
      <c r="AH52" s="325">
        <v>0</v>
      </c>
      <c r="AI52" s="326">
        <v>3564.59</v>
      </c>
      <c r="AJ52" s="325">
        <f t="shared" si="20"/>
        <v>1503564.59</v>
      </c>
      <c r="AK52" s="325">
        <v>0</v>
      </c>
      <c r="AL52" s="325">
        <v>0</v>
      </c>
      <c r="AM52" s="325">
        <v>0</v>
      </c>
      <c r="AN52" s="325">
        <v>0</v>
      </c>
      <c r="AO52" s="325">
        <v>0</v>
      </c>
      <c r="AP52" s="325">
        <v>0</v>
      </c>
      <c r="AQ52" s="325">
        <v>0</v>
      </c>
      <c r="AR52" s="325">
        <v>0</v>
      </c>
      <c r="AS52" s="325">
        <v>0</v>
      </c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>
        <v>0</v>
      </c>
      <c r="BC52" s="325">
        <v>0</v>
      </c>
      <c r="BD52" s="325">
        <v>0</v>
      </c>
      <c r="BE52" s="325">
        <v>0</v>
      </c>
      <c r="BF52" s="325">
        <v>0</v>
      </c>
      <c r="BG52" s="325">
        <v>0</v>
      </c>
      <c r="BH52" s="325">
        <v>0</v>
      </c>
      <c r="BI52" s="325">
        <v>0</v>
      </c>
      <c r="BJ52" s="325">
        <v>0</v>
      </c>
      <c r="BK52" s="325">
        <v>0</v>
      </c>
      <c r="BL52" s="325">
        <v>0</v>
      </c>
      <c r="BM52" s="325">
        <v>0</v>
      </c>
      <c r="BN52" s="325">
        <v>0</v>
      </c>
      <c r="BO52" s="325">
        <v>44652000</v>
      </c>
      <c r="BP52" s="325">
        <v>7875000</v>
      </c>
      <c r="BQ52" s="325">
        <v>0</v>
      </c>
      <c r="BR52" s="325">
        <v>0</v>
      </c>
      <c r="BS52" s="325">
        <v>2500000</v>
      </c>
      <c r="BT52" s="325">
        <f t="shared" si="23"/>
        <v>55027000</v>
      </c>
      <c r="BU52" s="325">
        <v>0</v>
      </c>
      <c r="BV52" s="325">
        <v>0</v>
      </c>
      <c r="BW52" s="325">
        <v>0</v>
      </c>
      <c r="BX52" s="325">
        <v>0</v>
      </c>
      <c r="BY52" s="325">
        <v>0</v>
      </c>
      <c r="BZ52" s="325">
        <v>0</v>
      </c>
      <c r="CA52" s="325">
        <v>89250000</v>
      </c>
      <c r="CB52" s="325">
        <v>15750000</v>
      </c>
      <c r="CC52" s="325">
        <v>5000000</v>
      </c>
      <c r="CD52" s="325">
        <v>0</v>
      </c>
      <c r="CE52" s="325">
        <v>5000000</v>
      </c>
      <c r="CF52" s="325">
        <f t="shared" si="24"/>
        <v>115000000</v>
      </c>
      <c r="CG52" s="329">
        <v>0</v>
      </c>
      <c r="CH52" s="329">
        <v>0</v>
      </c>
      <c r="CI52" s="329">
        <v>0</v>
      </c>
      <c r="CJ52" s="329">
        <v>0</v>
      </c>
      <c r="CK52" s="329">
        <v>0</v>
      </c>
      <c r="CL52" s="329">
        <v>0</v>
      </c>
      <c r="CM52" s="329">
        <v>89250000</v>
      </c>
      <c r="CN52" s="329">
        <v>15750000</v>
      </c>
      <c r="CO52" s="329">
        <v>0</v>
      </c>
      <c r="CP52" s="329">
        <v>0</v>
      </c>
      <c r="CQ52" s="329">
        <v>5000000</v>
      </c>
      <c r="CR52" s="327">
        <f t="shared" si="25"/>
        <v>110000000</v>
      </c>
      <c r="CS52" s="329">
        <v>0</v>
      </c>
      <c r="CT52" s="329">
        <v>0</v>
      </c>
      <c r="CU52" s="329">
        <v>0</v>
      </c>
      <c r="CV52" s="329">
        <v>0</v>
      </c>
      <c r="CW52" s="329">
        <v>0</v>
      </c>
      <c r="CX52" s="329">
        <v>0</v>
      </c>
      <c r="CY52" s="329">
        <v>89250000</v>
      </c>
      <c r="CZ52" s="329">
        <v>15750000</v>
      </c>
      <c r="DA52" s="329">
        <v>0</v>
      </c>
      <c r="DB52" s="329">
        <v>0</v>
      </c>
      <c r="DC52" s="329">
        <v>5000000</v>
      </c>
      <c r="DD52" s="325">
        <f t="shared" si="26"/>
        <v>110000000</v>
      </c>
      <c r="DE52" s="329">
        <v>0</v>
      </c>
      <c r="DF52" s="329">
        <v>0</v>
      </c>
      <c r="DG52" s="329">
        <v>0</v>
      </c>
      <c r="DH52" s="329">
        <v>0</v>
      </c>
      <c r="DI52" s="329">
        <v>0</v>
      </c>
      <c r="DJ52" s="329">
        <v>0</v>
      </c>
      <c r="DK52" s="329">
        <v>44602050</v>
      </c>
      <c r="DL52" s="329">
        <v>7870950</v>
      </c>
      <c r="DM52" s="329">
        <v>0</v>
      </c>
      <c r="DN52" s="329">
        <v>0</v>
      </c>
      <c r="DO52" s="329">
        <v>2500000</v>
      </c>
      <c r="DP52" s="325">
        <f t="shared" si="27"/>
        <v>54973000</v>
      </c>
      <c r="DQ52" s="329">
        <v>0</v>
      </c>
      <c r="DR52" s="329">
        <v>0</v>
      </c>
      <c r="DS52" s="329">
        <v>0</v>
      </c>
      <c r="DT52" s="329">
        <v>0</v>
      </c>
      <c r="DU52" s="329">
        <v>0</v>
      </c>
      <c r="DV52" s="329">
        <v>0</v>
      </c>
      <c r="DW52" s="329">
        <v>0</v>
      </c>
      <c r="DX52" s="329">
        <v>0</v>
      </c>
      <c r="DY52" s="329">
        <v>0</v>
      </c>
      <c r="DZ52" s="329">
        <v>0</v>
      </c>
      <c r="EA52" s="329">
        <v>0</v>
      </c>
      <c r="EB52" s="325">
        <v>0</v>
      </c>
      <c r="EC52" s="329">
        <v>0</v>
      </c>
      <c r="ED52" s="329">
        <v>0</v>
      </c>
      <c r="EE52" s="329">
        <v>0</v>
      </c>
      <c r="EF52" s="329">
        <v>0</v>
      </c>
      <c r="EG52" s="329">
        <v>0</v>
      </c>
      <c r="EH52" s="329">
        <v>0</v>
      </c>
      <c r="EI52" s="329">
        <v>0</v>
      </c>
      <c r="EJ52" s="329">
        <v>0</v>
      </c>
      <c r="EK52" s="329">
        <v>0</v>
      </c>
      <c r="EL52" s="329">
        <v>0</v>
      </c>
      <c r="EM52" s="329">
        <v>0</v>
      </c>
      <c r="EN52" s="330">
        <v>0</v>
      </c>
      <c r="EO52" s="331">
        <v>42.42</v>
      </c>
    </row>
    <row r="53" spans="1:156" ht="156" x14ac:dyDescent="0.25">
      <c r="A53" s="193"/>
      <c r="B53" s="176" t="s">
        <v>1075</v>
      </c>
      <c r="C53" s="176" t="s">
        <v>204</v>
      </c>
      <c r="D53" s="176" t="s">
        <v>1074</v>
      </c>
      <c r="E53" s="176" t="s">
        <v>1363</v>
      </c>
      <c r="F53" s="177" t="s">
        <v>1285</v>
      </c>
      <c r="G53" s="269" t="s">
        <v>1439</v>
      </c>
      <c r="H53" s="270" t="s">
        <v>1438</v>
      </c>
      <c r="I53" s="271" t="s">
        <v>1514</v>
      </c>
      <c r="J53" s="185" t="s">
        <v>928</v>
      </c>
      <c r="K53" s="175" t="s">
        <v>1155</v>
      </c>
      <c r="L53" s="176" t="s">
        <v>1192</v>
      </c>
      <c r="M53" s="325">
        <f t="shared" si="31"/>
        <v>510023304.07999998</v>
      </c>
      <c r="N53" s="329">
        <v>5781731.0700000003</v>
      </c>
      <c r="O53" s="329">
        <v>0</v>
      </c>
      <c r="P53" s="329">
        <v>0</v>
      </c>
      <c r="Q53" s="329">
        <v>4228504.8899999997</v>
      </c>
      <c r="R53" s="329">
        <v>1460043.99</v>
      </c>
      <c r="S53" s="329">
        <v>0</v>
      </c>
      <c r="T53" s="329">
        <v>0</v>
      </c>
      <c r="U53" s="329">
        <v>0</v>
      </c>
      <c r="V53" s="329">
        <v>0</v>
      </c>
      <c r="W53" s="329">
        <v>1090950.24</v>
      </c>
      <c r="X53" s="325">
        <f t="shared" si="19"/>
        <v>12561230.190000001</v>
      </c>
      <c r="Y53" s="329">
        <v>762457.8</v>
      </c>
      <c r="Z53" s="332">
        <v>0</v>
      </c>
      <c r="AA53" s="332">
        <v>0</v>
      </c>
      <c r="AB53" s="332">
        <v>0</v>
      </c>
      <c r="AC53" s="332">
        <v>0</v>
      </c>
      <c r="AD53" s="332">
        <v>0</v>
      </c>
      <c r="AE53" s="332">
        <v>0</v>
      </c>
      <c r="AF53" s="332">
        <v>0</v>
      </c>
      <c r="AG53" s="332">
        <v>0</v>
      </c>
      <c r="AH53" s="332">
        <v>0</v>
      </c>
      <c r="AI53" s="329">
        <f>2382.18-542766.09</f>
        <v>-540383.90999999992</v>
      </c>
      <c r="AJ53" s="332">
        <f>SUM(Y53:AI53)</f>
        <v>222073.89000000013</v>
      </c>
      <c r="AK53" s="332">
        <v>0</v>
      </c>
      <c r="AL53" s="332">
        <v>0</v>
      </c>
      <c r="AM53" s="332">
        <v>0</v>
      </c>
      <c r="AN53" s="332">
        <v>0</v>
      </c>
      <c r="AO53" s="332">
        <v>0</v>
      </c>
      <c r="AP53" s="332">
        <v>0</v>
      </c>
      <c r="AQ53" s="332">
        <v>0</v>
      </c>
      <c r="AR53" s="332">
        <v>0</v>
      </c>
      <c r="AS53" s="332">
        <v>0</v>
      </c>
      <c r="AT53" s="332">
        <v>0</v>
      </c>
      <c r="AU53" s="332">
        <v>0</v>
      </c>
      <c r="AV53" s="332">
        <f>SUM(AK53:AU53)</f>
        <v>0</v>
      </c>
      <c r="AW53" s="332">
        <v>0</v>
      </c>
      <c r="AX53" s="332">
        <v>0</v>
      </c>
      <c r="AY53" s="332">
        <v>0</v>
      </c>
      <c r="AZ53" s="332">
        <v>0</v>
      </c>
      <c r="BA53" s="332">
        <v>0</v>
      </c>
      <c r="BB53" s="332">
        <v>0</v>
      </c>
      <c r="BC53" s="332">
        <v>0</v>
      </c>
      <c r="BD53" s="332">
        <v>0</v>
      </c>
      <c r="BE53" s="332">
        <v>0</v>
      </c>
      <c r="BF53" s="332">
        <v>0</v>
      </c>
      <c r="BG53" s="332">
        <v>0</v>
      </c>
      <c r="BH53" s="332">
        <f>SUM(AW53:BG53)</f>
        <v>0</v>
      </c>
      <c r="BI53" s="332">
        <v>0</v>
      </c>
      <c r="BJ53" s="332">
        <v>0</v>
      </c>
      <c r="BK53" s="332">
        <v>0</v>
      </c>
      <c r="BL53" s="332">
        <v>0</v>
      </c>
      <c r="BM53" s="332">
        <v>0</v>
      </c>
      <c r="BN53" s="332">
        <v>0</v>
      </c>
      <c r="BO53" s="332">
        <v>0</v>
      </c>
      <c r="BP53" s="332">
        <v>0</v>
      </c>
      <c r="BQ53" s="332">
        <v>0</v>
      </c>
      <c r="BR53" s="332">
        <v>80000000</v>
      </c>
      <c r="BS53" s="332">
        <v>0</v>
      </c>
      <c r="BT53" s="332">
        <f t="shared" si="23"/>
        <v>80000000</v>
      </c>
      <c r="BU53" s="332">
        <v>0</v>
      </c>
      <c r="BV53" s="332">
        <v>0</v>
      </c>
      <c r="BW53" s="332">
        <v>0</v>
      </c>
      <c r="BX53" s="332">
        <v>117830000</v>
      </c>
      <c r="BY53" s="332">
        <v>20790000</v>
      </c>
      <c r="BZ53" s="332">
        <v>0</v>
      </c>
      <c r="CA53" s="332">
        <v>0</v>
      </c>
      <c r="CB53" s="332">
        <v>0</v>
      </c>
      <c r="CC53" s="332">
        <v>0</v>
      </c>
      <c r="CD53" s="332">
        <v>70000000</v>
      </c>
      <c r="CE53" s="332">
        <v>0</v>
      </c>
      <c r="CF53" s="332">
        <f t="shared" si="24"/>
        <v>208620000</v>
      </c>
      <c r="CG53" s="329">
        <v>0</v>
      </c>
      <c r="CH53" s="329">
        <v>0</v>
      </c>
      <c r="CI53" s="329">
        <v>0</v>
      </c>
      <c r="CJ53" s="329">
        <v>117830000</v>
      </c>
      <c r="CK53" s="329">
        <v>20790000</v>
      </c>
      <c r="CL53" s="329">
        <v>0</v>
      </c>
      <c r="CM53" s="329">
        <v>0</v>
      </c>
      <c r="CN53" s="329">
        <v>0</v>
      </c>
      <c r="CO53" s="329">
        <v>0</v>
      </c>
      <c r="CP53" s="329">
        <v>70000000</v>
      </c>
      <c r="CQ53" s="329">
        <v>0</v>
      </c>
      <c r="CR53" s="333">
        <f t="shared" si="25"/>
        <v>208620000</v>
      </c>
      <c r="CS53" s="329">
        <v>0</v>
      </c>
      <c r="CT53" s="329">
        <v>0</v>
      </c>
      <c r="CU53" s="329">
        <v>0</v>
      </c>
      <c r="CV53" s="329">
        <v>0</v>
      </c>
      <c r="CW53" s="329">
        <v>0</v>
      </c>
      <c r="CX53" s="329">
        <v>0</v>
      </c>
      <c r="CY53" s="329">
        <v>0</v>
      </c>
      <c r="CZ53" s="329">
        <v>0</v>
      </c>
      <c r="DA53" s="329">
        <v>0</v>
      </c>
      <c r="DB53" s="329">
        <v>0</v>
      </c>
      <c r="DC53" s="329">
        <v>0</v>
      </c>
      <c r="DD53" s="329">
        <f t="shared" si="26"/>
        <v>0</v>
      </c>
      <c r="DE53" s="329">
        <v>0</v>
      </c>
      <c r="DF53" s="329">
        <v>0</v>
      </c>
      <c r="DG53" s="329">
        <v>0</v>
      </c>
      <c r="DH53" s="329">
        <v>0</v>
      </c>
      <c r="DI53" s="329">
        <v>0</v>
      </c>
      <c r="DJ53" s="329">
        <v>0</v>
      </c>
      <c r="DK53" s="329">
        <v>0</v>
      </c>
      <c r="DL53" s="329">
        <v>0</v>
      </c>
      <c r="DM53" s="329">
        <v>0</v>
      </c>
      <c r="DN53" s="329">
        <v>0</v>
      </c>
      <c r="DO53" s="329">
        <v>0</v>
      </c>
      <c r="DP53" s="333">
        <f t="shared" si="27"/>
        <v>0</v>
      </c>
      <c r="DQ53" s="329">
        <v>0</v>
      </c>
      <c r="DR53" s="329">
        <v>0</v>
      </c>
      <c r="DS53" s="329">
        <v>0</v>
      </c>
      <c r="DT53" s="329">
        <v>0</v>
      </c>
      <c r="DU53" s="329">
        <v>0</v>
      </c>
      <c r="DV53" s="329">
        <v>0</v>
      </c>
      <c r="DW53" s="329">
        <v>0</v>
      </c>
      <c r="DX53" s="329">
        <v>0</v>
      </c>
      <c r="DY53" s="329">
        <v>0</v>
      </c>
      <c r="DZ53" s="329">
        <v>0</v>
      </c>
      <c r="EA53" s="329">
        <v>0</v>
      </c>
      <c r="EB53" s="333">
        <f>SUM(DQ53:EA53)</f>
        <v>0</v>
      </c>
      <c r="EC53" s="329">
        <v>0</v>
      </c>
      <c r="ED53" s="329">
        <v>0</v>
      </c>
      <c r="EE53" s="329">
        <v>0</v>
      </c>
      <c r="EF53" s="329">
        <v>0</v>
      </c>
      <c r="EG53" s="329">
        <v>0</v>
      </c>
      <c r="EH53" s="329">
        <v>0</v>
      </c>
      <c r="EI53" s="329">
        <v>0</v>
      </c>
      <c r="EJ53" s="329">
        <v>0</v>
      </c>
      <c r="EK53" s="329">
        <v>0</v>
      </c>
      <c r="EL53" s="329">
        <v>0</v>
      </c>
      <c r="EM53" s="329">
        <v>0</v>
      </c>
      <c r="EN53" s="330">
        <f>SUM(EC53:EM53)</f>
        <v>0</v>
      </c>
      <c r="EO53" s="331">
        <v>25.134</v>
      </c>
    </row>
    <row r="54" spans="1:156" ht="144" x14ac:dyDescent="0.25">
      <c r="A54" s="193"/>
      <c r="B54" s="184" t="s">
        <v>1077</v>
      </c>
      <c r="C54" s="176" t="s">
        <v>1078</v>
      </c>
      <c r="D54" s="176" t="s">
        <v>1076</v>
      </c>
      <c r="E54" s="176" t="s">
        <v>1364</v>
      </c>
      <c r="F54" s="177" t="s">
        <v>1158</v>
      </c>
      <c r="G54" s="269" t="s">
        <v>1564</v>
      </c>
      <c r="H54" s="270" t="s">
        <v>1574</v>
      </c>
      <c r="I54" s="273" t="s">
        <v>1484</v>
      </c>
      <c r="J54" s="175" t="s">
        <v>926</v>
      </c>
      <c r="K54" s="175" t="s">
        <v>1156</v>
      </c>
      <c r="L54" s="176" t="s">
        <v>1157</v>
      </c>
      <c r="M54" s="332">
        <f t="shared" si="31"/>
        <v>149405806.09999999</v>
      </c>
      <c r="N54" s="329">
        <f>385338.38-P54</f>
        <v>205251.38</v>
      </c>
      <c r="O54" s="329">
        <v>0</v>
      </c>
      <c r="P54" s="329">
        <v>180087</v>
      </c>
      <c r="Q54" s="329">
        <v>2007706.81</v>
      </c>
      <c r="R54" s="329">
        <v>354301.19</v>
      </c>
      <c r="S54" s="329">
        <v>274712.65000000002</v>
      </c>
      <c r="T54" s="329">
        <v>0</v>
      </c>
      <c r="U54" s="329">
        <v>0</v>
      </c>
      <c r="V54" s="329">
        <v>0</v>
      </c>
      <c r="W54" s="329">
        <v>274712.65000000002</v>
      </c>
      <c r="X54" s="325">
        <f t="shared" si="19"/>
        <v>3296771.6799999997</v>
      </c>
      <c r="Y54" s="329">
        <v>37035.67</v>
      </c>
      <c r="Z54" s="332">
        <v>0</v>
      </c>
      <c r="AA54" s="332">
        <v>0</v>
      </c>
      <c r="AB54" s="332">
        <v>0</v>
      </c>
      <c r="AC54" s="332">
        <v>0</v>
      </c>
      <c r="AD54" s="332">
        <v>0</v>
      </c>
      <c r="AE54" s="332">
        <v>0</v>
      </c>
      <c r="AF54" s="332">
        <v>0</v>
      </c>
      <c r="AG54" s="332">
        <v>0</v>
      </c>
      <c r="AH54" s="332">
        <v>0</v>
      </c>
      <c r="AI54" s="329">
        <v>63.75</v>
      </c>
      <c r="AJ54" s="332">
        <f>SUM(Y54:AI54)</f>
        <v>37099.42</v>
      </c>
      <c r="AK54" s="332">
        <v>997080</v>
      </c>
      <c r="AL54" s="332">
        <v>0</v>
      </c>
      <c r="AM54" s="332">
        <v>0</v>
      </c>
      <c r="AN54" s="332">
        <v>0</v>
      </c>
      <c r="AO54" s="332">
        <v>0</v>
      </c>
      <c r="AP54" s="332">
        <v>0</v>
      </c>
      <c r="AQ54" s="332">
        <v>0</v>
      </c>
      <c r="AR54" s="332">
        <v>0</v>
      </c>
      <c r="AS54" s="332">
        <v>0</v>
      </c>
      <c r="AT54" s="332">
        <v>0</v>
      </c>
      <c r="AU54" s="332">
        <v>0</v>
      </c>
      <c r="AV54" s="332">
        <f>SUM(AK54:AU54)</f>
        <v>997080</v>
      </c>
      <c r="AW54" s="332">
        <v>74855</v>
      </c>
      <c r="AX54" s="332">
        <v>0</v>
      </c>
      <c r="AY54" s="332">
        <v>0</v>
      </c>
      <c r="AZ54" s="332">
        <v>0</v>
      </c>
      <c r="BA54" s="332">
        <v>0</v>
      </c>
      <c r="BB54" s="332">
        <v>0</v>
      </c>
      <c r="BC54" s="332">
        <v>0</v>
      </c>
      <c r="BD54" s="332">
        <v>0</v>
      </c>
      <c r="BE54" s="332">
        <v>0</v>
      </c>
      <c r="BF54" s="332">
        <v>0</v>
      </c>
      <c r="BG54" s="332">
        <v>0</v>
      </c>
      <c r="BH54" s="332">
        <f>SUM(AW54:BG54)</f>
        <v>74855</v>
      </c>
      <c r="BI54" s="332">
        <v>0</v>
      </c>
      <c r="BJ54" s="332">
        <v>0</v>
      </c>
      <c r="BK54" s="332">
        <v>0</v>
      </c>
      <c r="BL54" s="332">
        <v>0</v>
      </c>
      <c r="BM54" s="332">
        <v>0</v>
      </c>
      <c r="BN54" s="332">
        <v>0</v>
      </c>
      <c r="BO54" s="332">
        <v>0</v>
      </c>
      <c r="BP54" s="332">
        <v>0</v>
      </c>
      <c r="BQ54" s="332">
        <v>0</v>
      </c>
      <c r="BR54" s="332">
        <v>50000000</v>
      </c>
      <c r="BS54" s="332">
        <v>0</v>
      </c>
      <c r="BT54" s="332">
        <f t="shared" si="23"/>
        <v>50000000</v>
      </c>
      <c r="BU54" s="332">
        <v>0</v>
      </c>
      <c r="BV54" s="332">
        <v>0</v>
      </c>
      <c r="BW54" s="332">
        <v>0</v>
      </c>
      <c r="BX54" s="332">
        <v>0</v>
      </c>
      <c r="BY54" s="332">
        <v>0</v>
      </c>
      <c r="BZ54" s="332">
        <v>0</v>
      </c>
      <c r="CA54" s="332">
        <v>0</v>
      </c>
      <c r="CB54" s="332">
        <v>0</v>
      </c>
      <c r="CC54" s="332">
        <v>0</v>
      </c>
      <c r="CD54" s="332">
        <v>47500000</v>
      </c>
      <c r="CE54" s="332">
        <v>0</v>
      </c>
      <c r="CF54" s="332">
        <f t="shared" si="24"/>
        <v>47500000</v>
      </c>
      <c r="CG54" s="329">
        <v>0</v>
      </c>
      <c r="CH54" s="329">
        <v>0</v>
      </c>
      <c r="CI54" s="329">
        <v>0</v>
      </c>
      <c r="CJ54" s="329">
        <v>0</v>
      </c>
      <c r="CK54" s="329">
        <v>0</v>
      </c>
      <c r="CL54" s="329">
        <v>0</v>
      </c>
      <c r="CM54" s="329">
        <v>0</v>
      </c>
      <c r="CN54" s="329">
        <v>0</v>
      </c>
      <c r="CO54" s="329">
        <v>0</v>
      </c>
      <c r="CP54" s="329">
        <v>47500000</v>
      </c>
      <c r="CQ54" s="329">
        <v>0</v>
      </c>
      <c r="CR54" s="333">
        <f t="shared" si="25"/>
        <v>47500000</v>
      </c>
      <c r="CS54" s="329">
        <v>0</v>
      </c>
      <c r="CT54" s="329">
        <v>0</v>
      </c>
      <c r="CU54" s="329">
        <v>0</v>
      </c>
      <c r="CV54" s="329">
        <v>0</v>
      </c>
      <c r="CW54" s="329">
        <v>0</v>
      </c>
      <c r="CX54" s="329">
        <v>0</v>
      </c>
      <c r="CY54" s="329">
        <v>0</v>
      </c>
      <c r="CZ54" s="329">
        <v>0</v>
      </c>
      <c r="DA54" s="329">
        <v>0</v>
      </c>
      <c r="DB54" s="329">
        <v>0</v>
      </c>
      <c r="DC54" s="329">
        <v>0</v>
      </c>
      <c r="DD54" s="325">
        <f t="shared" si="26"/>
        <v>0</v>
      </c>
      <c r="DE54" s="329">
        <v>0</v>
      </c>
      <c r="DF54" s="329">
        <v>0</v>
      </c>
      <c r="DG54" s="329">
        <v>0</v>
      </c>
      <c r="DH54" s="329">
        <v>0</v>
      </c>
      <c r="DI54" s="329">
        <v>0</v>
      </c>
      <c r="DJ54" s="329">
        <v>0</v>
      </c>
      <c r="DK54" s="329">
        <v>0</v>
      </c>
      <c r="DL54" s="329">
        <v>0</v>
      </c>
      <c r="DM54" s="329">
        <v>0</v>
      </c>
      <c r="DN54" s="329">
        <v>0</v>
      </c>
      <c r="DO54" s="329">
        <v>0</v>
      </c>
      <c r="DP54" s="333">
        <f t="shared" si="27"/>
        <v>0</v>
      </c>
      <c r="DQ54" s="329">
        <v>0</v>
      </c>
      <c r="DR54" s="329">
        <v>0</v>
      </c>
      <c r="DS54" s="329">
        <v>0</v>
      </c>
      <c r="DT54" s="329">
        <v>0</v>
      </c>
      <c r="DU54" s="329">
        <v>0</v>
      </c>
      <c r="DV54" s="329">
        <v>0</v>
      </c>
      <c r="DW54" s="329">
        <v>0</v>
      </c>
      <c r="DX54" s="329">
        <v>0</v>
      </c>
      <c r="DY54" s="329">
        <v>0</v>
      </c>
      <c r="DZ54" s="329">
        <v>0</v>
      </c>
      <c r="EA54" s="329">
        <v>0</v>
      </c>
      <c r="EB54" s="333">
        <f>SUM(DQ54:EA54)</f>
        <v>0</v>
      </c>
      <c r="EC54" s="329">
        <v>0</v>
      </c>
      <c r="ED54" s="329">
        <v>0</v>
      </c>
      <c r="EE54" s="329">
        <v>0</v>
      </c>
      <c r="EF54" s="329">
        <v>0</v>
      </c>
      <c r="EG54" s="329">
        <v>0</v>
      </c>
      <c r="EH54" s="329">
        <v>0</v>
      </c>
      <c r="EI54" s="329">
        <v>0</v>
      </c>
      <c r="EJ54" s="329">
        <v>0</v>
      </c>
      <c r="EK54" s="329">
        <v>0</v>
      </c>
      <c r="EL54" s="329">
        <v>0</v>
      </c>
      <c r="EM54" s="329">
        <v>0</v>
      </c>
      <c r="EN54" s="330">
        <f>SUM(EC54:EM54)</f>
        <v>0</v>
      </c>
      <c r="EO54" s="331">
        <v>34.249000000000002</v>
      </c>
    </row>
    <row r="55" spans="1:156" ht="60.75" thickBot="1" x14ac:dyDescent="0.3">
      <c r="A55" s="193"/>
      <c r="B55" s="176" t="s">
        <v>1236</v>
      </c>
      <c r="C55" s="176" t="s">
        <v>268</v>
      </c>
      <c r="D55" s="176"/>
      <c r="E55" s="176" t="s">
        <v>1348</v>
      </c>
      <c r="F55" s="177" t="s">
        <v>1018</v>
      </c>
      <c r="G55" s="274" t="s">
        <v>1461</v>
      </c>
      <c r="H55" s="275" t="s">
        <v>1443</v>
      </c>
      <c r="I55" s="276" t="s">
        <v>1511</v>
      </c>
      <c r="J55" s="185" t="s">
        <v>923</v>
      </c>
      <c r="K55" s="176" t="s">
        <v>1237</v>
      </c>
      <c r="L55" s="176" t="s">
        <v>1207</v>
      </c>
      <c r="M55" s="332">
        <f t="shared" si="31"/>
        <v>15007309.800000001</v>
      </c>
      <c r="N55" s="332">
        <v>0</v>
      </c>
      <c r="O55" s="332">
        <v>0</v>
      </c>
      <c r="P55" s="332">
        <v>0</v>
      </c>
      <c r="Q55" s="332">
        <v>0</v>
      </c>
      <c r="R55" s="332">
        <v>0</v>
      </c>
      <c r="S55" s="332">
        <v>0</v>
      </c>
      <c r="T55" s="332">
        <v>0</v>
      </c>
      <c r="U55" s="332">
        <v>0</v>
      </c>
      <c r="V55" s="332">
        <v>0</v>
      </c>
      <c r="W55" s="332">
        <v>167309.79999999999</v>
      </c>
      <c r="X55" s="325">
        <f t="shared" si="19"/>
        <v>167309.79999999999</v>
      </c>
      <c r="Y55" s="332">
        <v>0</v>
      </c>
      <c r="Z55" s="332">
        <v>0</v>
      </c>
      <c r="AA55" s="332">
        <v>0</v>
      </c>
      <c r="AB55" s="332">
        <v>0</v>
      </c>
      <c r="AC55" s="332">
        <v>0</v>
      </c>
      <c r="AD55" s="332">
        <v>0</v>
      </c>
      <c r="AE55" s="332">
        <v>0</v>
      </c>
      <c r="AF55" s="332">
        <v>0</v>
      </c>
      <c r="AG55" s="332">
        <v>0</v>
      </c>
      <c r="AH55" s="332">
        <v>0</v>
      </c>
      <c r="AI55" s="332">
        <v>0</v>
      </c>
      <c r="AJ55" s="332">
        <f>SUM(Y55:AI55)</f>
        <v>0</v>
      </c>
      <c r="AK55" s="332">
        <v>0</v>
      </c>
      <c r="AL55" s="332">
        <v>0</v>
      </c>
      <c r="AM55" s="332">
        <v>0</v>
      </c>
      <c r="AN55" s="332">
        <v>0</v>
      </c>
      <c r="AO55" s="332">
        <v>0</v>
      </c>
      <c r="AP55" s="332">
        <v>0</v>
      </c>
      <c r="AQ55" s="332">
        <v>0</v>
      </c>
      <c r="AR55" s="332">
        <v>0</v>
      </c>
      <c r="AS55" s="332">
        <v>0</v>
      </c>
      <c r="AT55" s="332">
        <v>0</v>
      </c>
      <c r="AU55" s="332">
        <v>150000</v>
      </c>
      <c r="AV55" s="332">
        <f>SUM(AK55:AU55)</f>
        <v>150000</v>
      </c>
      <c r="AW55" s="332">
        <v>0</v>
      </c>
      <c r="AX55" s="332">
        <v>0</v>
      </c>
      <c r="AY55" s="332">
        <v>0</v>
      </c>
      <c r="AZ55" s="332">
        <v>0</v>
      </c>
      <c r="BA55" s="332">
        <v>0</v>
      </c>
      <c r="BB55" s="332">
        <v>0</v>
      </c>
      <c r="BC55" s="332">
        <v>0</v>
      </c>
      <c r="BD55" s="332">
        <v>0</v>
      </c>
      <c r="BE55" s="332">
        <v>0</v>
      </c>
      <c r="BF55" s="332">
        <v>0</v>
      </c>
      <c r="BG55" s="332">
        <v>350000</v>
      </c>
      <c r="BH55" s="332">
        <f>SUM(AW55:BG55)</f>
        <v>350000</v>
      </c>
      <c r="BI55" s="332">
        <v>0</v>
      </c>
      <c r="BJ55" s="332">
        <v>0</v>
      </c>
      <c r="BK55" s="332">
        <v>0</v>
      </c>
      <c r="BL55" s="332">
        <v>0</v>
      </c>
      <c r="BM55" s="332">
        <v>0</v>
      </c>
      <c r="BN55" s="332">
        <v>0</v>
      </c>
      <c r="BO55" s="332">
        <v>0</v>
      </c>
      <c r="BP55" s="332">
        <v>0</v>
      </c>
      <c r="BQ55" s="332">
        <v>0</v>
      </c>
      <c r="BR55" s="332">
        <v>250000</v>
      </c>
      <c r="BS55" s="332">
        <v>0</v>
      </c>
      <c r="BT55" s="332">
        <f t="shared" si="23"/>
        <v>250000</v>
      </c>
      <c r="BU55" s="332">
        <v>0</v>
      </c>
      <c r="BV55" s="332">
        <v>0</v>
      </c>
      <c r="BW55" s="332">
        <v>0</v>
      </c>
      <c r="BX55" s="332">
        <v>0</v>
      </c>
      <c r="BY55" s="332">
        <v>0</v>
      </c>
      <c r="BZ55" s="332">
        <v>0</v>
      </c>
      <c r="CA55" s="332">
        <v>0</v>
      </c>
      <c r="CB55" s="332">
        <v>0</v>
      </c>
      <c r="CC55" s="332">
        <v>0</v>
      </c>
      <c r="CD55" s="332">
        <v>7000000</v>
      </c>
      <c r="CE55" s="332">
        <v>45000</v>
      </c>
      <c r="CF55" s="332">
        <f t="shared" si="24"/>
        <v>7045000</v>
      </c>
      <c r="CG55" s="329">
        <v>0</v>
      </c>
      <c r="CH55" s="329">
        <v>0</v>
      </c>
      <c r="CI55" s="329">
        <v>0</v>
      </c>
      <c r="CJ55" s="329">
        <v>0</v>
      </c>
      <c r="CK55" s="329">
        <v>0</v>
      </c>
      <c r="CL55" s="329">
        <v>0</v>
      </c>
      <c r="CM55" s="329">
        <v>0</v>
      </c>
      <c r="CN55" s="329">
        <v>0</v>
      </c>
      <c r="CO55" s="329">
        <v>0</v>
      </c>
      <c r="CP55" s="329">
        <v>7000000</v>
      </c>
      <c r="CQ55" s="329">
        <v>45000</v>
      </c>
      <c r="CR55" s="333">
        <f t="shared" si="25"/>
        <v>7045000</v>
      </c>
      <c r="CS55" s="329">
        <v>0</v>
      </c>
      <c r="CT55" s="329">
        <v>0</v>
      </c>
      <c r="CU55" s="329">
        <v>0</v>
      </c>
      <c r="CV55" s="329">
        <v>0</v>
      </c>
      <c r="CW55" s="329">
        <v>0</v>
      </c>
      <c r="CX55" s="329">
        <v>0</v>
      </c>
      <c r="CY55" s="329">
        <v>0</v>
      </c>
      <c r="CZ55" s="329">
        <v>0</v>
      </c>
      <c r="DA55" s="329">
        <v>0</v>
      </c>
      <c r="DB55" s="329">
        <v>0</v>
      </c>
      <c r="DC55" s="329">
        <v>0</v>
      </c>
      <c r="DD55" s="333">
        <f t="shared" si="26"/>
        <v>0</v>
      </c>
      <c r="DE55" s="329">
        <v>0</v>
      </c>
      <c r="DF55" s="329">
        <v>0</v>
      </c>
      <c r="DG55" s="329">
        <v>0</v>
      </c>
      <c r="DH55" s="329">
        <v>0</v>
      </c>
      <c r="DI55" s="329">
        <v>0</v>
      </c>
      <c r="DJ55" s="329">
        <v>0</v>
      </c>
      <c r="DK55" s="329">
        <v>0</v>
      </c>
      <c r="DL55" s="329">
        <v>0</v>
      </c>
      <c r="DM55" s="329">
        <v>0</v>
      </c>
      <c r="DN55" s="329">
        <v>0</v>
      </c>
      <c r="DO55" s="329">
        <v>0</v>
      </c>
      <c r="DP55" s="333">
        <f t="shared" si="27"/>
        <v>0</v>
      </c>
      <c r="DQ55" s="329">
        <v>0</v>
      </c>
      <c r="DR55" s="329">
        <v>0</v>
      </c>
      <c r="DS55" s="329">
        <v>0</v>
      </c>
      <c r="DT55" s="329">
        <v>0</v>
      </c>
      <c r="DU55" s="329">
        <v>0</v>
      </c>
      <c r="DV55" s="329">
        <v>0</v>
      </c>
      <c r="DW55" s="329">
        <v>0</v>
      </c>
      <c r="DX55" s="329">
        <v>0</v>
      </c>
      <c r="DY55" s="329">
        <v>0</v>
      </c>
      <c r="DZ55" s="329">
        <v>0</v>
      </c>
      <c r="EA55" s="329">
        <v>0</v>
      </c>
      <c r="EB55" s="333">
        <f>SUM(DQ55:EA55)</f>
        <v>0</v>
      </c>
      <c r="EC55" s="329">
        <v>0</v>
      </c>
      <c r="ED55" s="329">
        <v>0</v>
      </c>
      <c r="EE55" s="329">
        <v>0</v>
      </c>
      <c r="EF55" s="329">
        <v>0</v>
      </c>
      <c r="EG55" s="329">
        <v>0</v>
      </c>
      <c r="EH55" s="329">
        <v>0</v>
      </c>
      <c r="EI55" s="329">
        <v>0</v>
      </c>
      <c r="EJ55" s="329">
        <v>0</v>
      </c>
      <c r="EK55" s="329">
        <v>0</v>
      </c>
      <c r="EL55" s="329">
        <v>0</v>
      </c>
      <c r="EM55" s="329">
        <v>0</v>
      </c>
      <c r="EN55" s="330">
        <f>SUM(EC55:EM55)</f>
        <v>0</v>
      </c>
      <c r="EO55" s="331">
        <v>6.423</v>
      </c>
    </row>
    <row r="56" spans="1:156" s="101" customFormat="1" ht="15.75" thickBot="1" x14ac:dyDescent="0.3">
      <c r="A56" s="180" t="s">
        <v>1299</v>
      </c>
      <c r="B56" s="308"/>
      <c r="C56" s="308"/>
      <c r="D56" s="308"/>
      <c r="E56" s="308"/>
      <c r="F56" s="308"/>
      <c r="G56" s="312"/>
      <c r="H56" s="312"/>
      <c r="I56" s="312"/>
      <c r="J56" s="281"/>
      <c r="K56" s="281"/>
      <c r="L56" s="281"/>
      <c r="M56" s="337">
        <f t="shared" ref="M56:AR56" si="32">SUM(M18:M55)</f>
        <v>1523363913.7899997</v>
      </c>
      <c r="N56" s="338">
        <f t="shared" si="32"/>
        <v>8277229.29</v>
      </c>
      <c r="O56" s="338">
        <f t="shared" si="32"/>
        <v>3810822.75</v>
      </c>
      <c r="P56" s="338">
        <f t="shared" si="32"/>
        <v>180087</v>
      </c>
      <c r="Q56" s="338">
        <f t="shared" si="32"/>
        <v>8210954.3300000001</v>
      </c>
      <c r="R56" s="338">
        <f t="shared" si="32"/>
        <v>2593252.86</v>
      </c>
      <c r="S56" s="338">
        <f t="shared" si="32"/>
        <v>274712.65000000002</v>
      </c>
      <c r="T56" s="338">
        <f t="shared" si="32"/>
        <v>786250</v>
      </c>
      <c r="U56" s="338">
        <f t="shared" si="32"/>
        <v>138750</v>
      </c>
      <c r="V56" s="338">
        <f t="shared" si="32"/>
        <v>0</v>
      </c>
      <c r="W56" s="338">
        <f t="shared" si="32"/>
        <v>8777898.040000001</v>
      </c>
      <c r="X56" s="338">
        <f t="shared" si="32"/>
        <v>33049956.920000002</v>
      </c>
      <c r="Y56" s="338">
        <f t="shared" si="32"/>
        <v>799493.47000000009</v>
      </c>
      <c r="Z56" s="338">
        <f t="shared" si="32"/>
        <v>50000</v>
      </c>
      <c r="AA56" s="338">
        <f t="shared" si="32"/>
        <v>0</v>
      </c>
      <c r="AB56" s="338">
        <f t="shared" si="32"/>
        <v>0</v>
      </c>
      <c r="AC56" s="338">
        <f t="shared" si="32"/>
        <v>0</v>
      </c>
      <c r="AD56" s="338">
        <f t="shared" si="32"/>
        <v>0</v>
      </c>
      <c r="AE56" s="338">
        <f t="shared" si="32"/>
        <v>1275000</v>
      </c>
      <c r="AF56" s="338">
        <f t="shared" si="32"/>
        <v>225000</v>
      </c>
      <c r="AG56" s="338">
        <f t="shared" si="32"/>
        <v>0</v>
      </c>
      <c r="AH56" s="338">
        <f t="shared" si="32"/>
        <v>0</v>
      </c>
      <c r="AI56" s="338">
        <f t="shared" si="32"/>
        <v>358819.43000000005</v>
      </c>
      <c r="AJ56" s="338">
        <f t="shared" si="32"/>
        <v>2708312.9</v>
      </c>
      <c r="AK56" s="338">
        <f t="shared" si="32"/>
        <v>997080</v>
      </c>
      <c r="AL56" s="338">
        <f t="shared" si="32"/>
        <v>4632444.1234356863</v>
      </c>
      <c r="AM56" s="338">
        <f t="shared" si="32"/>
        <v>0</v>
      </c>
      <c r="AN56" s="338">
        <f t="shared" si="32"/>
        <v>47104581.724083826</v>
      </c>
      <c r="AO56" s="338">
        <f t="shared" si="32"/>
        <v>8312573.2454265589</v>
      </c>
      <c r="AP56" s="338">
        <f t="shared" si="32"/>
        <v>0</v>
      </c>
      <c r="AQ56" s="338">
        <f t="shared" si="32"/>
        <v>9347237.5</v>
      </c>
      <c r="AR56" s="338">
        <f t="shared" si="32"/>
        <v>1649512.5</v>
      </c>
      <c r="AS56" s="338">
        <f t="shared" ref="AS56:BX56" si="33">SUM(AS18:AS55)</f>
        <v>0</v>
      </c>
      <c r="AT56" s="338">
        <f t="shared" si="33"/>
        <v>0</v>
      </c>
      <c r="AU56" s="338">
        <f t="shared" si="33"/>
        <v>168000</v>
      </c>
      <c r="AV56" s="338">
        <f t="shared" si="33"/>
        <v>72211429.092946053</v>
      </c>
      <c r="AW56" s="338">
        <f t="shared" si="33"/>
        <v>9415525.0199999996</v>
      </c>
      <c r="AX56" s="338">
        <f t="shared" si="33"/>
        <v>11941754.774564313</v>
      </c>
      <c r="AY56" s="338">
        <f t="shared" si="33"/>
        <v>0</v>
      </c>
      <c r="AZ56" s="338">
        <f t="shared" si="33"/>
        <v>95928768.814044729</v>
      </c>
      <c r="BA56" s="338">
        <f t="shared" si="33"/>
        <v>16928606.261302013</v>
      </c>
      <c r="BB56" s="338">
        <f t="shared" si="33"/>
        <v>0</v>
      </c>
      <c r="BC56" s="338">
        <f t="shared" si="33"/>
        <v>20185800</v>
      </c>
      <c r="BD56" s="338">
        <f t="shared" si="33"/>
        <v>3562200</v>
      </c>
      <c r="BE56" s="338">
        <f t="shared" si="33"/>
        <v>0</v>
      </c>
      <c r="BF56" s="338">
        <f t="shared" si="33"/>
        <v>23400000</v>
      </c>
      <c r="BG56" s="338">
        <f t="shared" si="33"/>
        <v>670000</v>
      </c>
      <c r="BH56" s="338">
        <f t="shared" si="33"/>
        <v>182032654.86991113</v>
      </c>
      <c r="BI56" s="338">
        <f t="shared" si="33"/>
        <v>21996066.629999999</v>
      </c>
      <c r="BJ56" s="338">
        <f t="shared" si="33"/>
        <v>960500</v>
      </c>
      <c r="BK56" s="338">
        <f t="shared" si="33"/>
        <v>0</v>
      </c>
      <c r="BL56" s="338">
        <f t="shared" si="33"/>
        <v>10873309.137571428</v>
      </c>
      <c r="BM56" s="338">
        <f t="shared" si="33"/>
        <v>1918819.2595714284</v>
      </c>
      <c r="BN56" s="338">
        <f t="shared" si="33"/>
        <v>0</v>
      </c>
      <c r="BO56" s="338">
        <f t="shared" si="33"/>
        <v>55002199.25</v>
      </c>
      <c r="BP56" s="338">
        <f t="shared" si="33"/>
        <v>9701505.75</v>
      </c>
      <c r="BQ56" s="338">
        <f t="shared" si="33"/>
        <v>0</v>
      </c>
      <c r="BR56" s="338">
        <f t="shared" si="33"/>
        <v>144750000</v>
      </c>
      <c r="BS56" s="338">
        <f t="shared" si="33"/>
        <v>6910000</v>
      </c>
      <c r="BT56" s="338">
        <f t="shared" si="33"/>
        <v>252112400.02714285</v>
      </c>
      <c r="BU56" s="338">
        <f t="shared" si="33"/>
        <v>5590600</v>
      </c>
      <c r="BV56" s="338">
        <f t="shared" si="33"/>
        <v>0</v>
      </c>
      <c r="BW56" s="338">
        <f t="shared" si="33"/>
        <v>0</v>
      </c>
      <c r="BX56" s="338">
        <f t="shared" si="33"/>
        <v>117830000</v>
      </c>
      <c r="BY56" s="338">
        <f t="shared" ref="BY56:DD56" si="34">SUM(BY18:BY55)</f>
        <v>20790000</v>
      </c>
      <c r="BZ56" s="338">
        <f t="shared" si="34"/>
        <v>0</v>
      </c>
      <c r="CA56" s="338">
        <f t="shared" si="34"/>
        <v>89250000</v>
      </c>
      <c r="CB56" s="338">
        <f t="shared" si="34"/>
        <v>15750000</v>
      </c>
      <c r="CC56" s="338">
        <f t="shared" si="34"/>
        <v>5000000</v>
      </c>
      <c r="CD56" s="338">
        <f t="shared" si="34"/>
        <v>137101000</v>
      </c>
      <c r="CE56" s="338">
        <f t="shared" si="34"/>
        <v>11921000</v>
      </c>
      <c r="CF56" s="338">
        <f t="shared" si="34"/>
        <v>403232600</v>
      </c>
      <c r="CG56" s="338">
        <f t="shared" si="34"/>
        <v>10021559.98</v>
      </c>
      <c r="CH56" s="338">
        <f t="shared" si="34"/>
        <v>0</v>
      </c>
      <c r="CI56" s="338">
        <f t="shared" si="34"/>
        <v>0</v>
      </c>
      <c r="CJ56" s="338">
        <f t="shared" si="34"/>
        <v>117830000</v>
      </c>
      <c r="CK56" s="338">
        <f t="shared" si="34"/>
        <v>20790000</v>
      </c>
      <c r="CL56" s="338">
        <f t="shared" si="34"/>
        <v>0</v>
      </c>
      <c r="CM56" s="338">
        <f t="shared" si="34"/>
        <v>89250000</v>
      </c>
      <c r="CN56" s="338">
        <f t="shared" si="34"/>
        <v>15750000</v>
      </c>
      <c r="CO56" s="338">
        <f t="shared" si="34"/>
        <v>0</v>
      </c>
      <c r="CP56" s="338">
        <f t="shared" si="34"/>
        <v>137101000</v>
      </c>
      <c r="CQ56" s="338">
        <f t="shared" si="34"/>
        <v>16751000</v>
      </c>
      <c r="CR56" s="338">
        <f t="shared" si="34"/>
        <v>407493559.98000002</v>
      </c>
      <c r="CS56" s="338">
        <f t="shared" si="34"/>
        <v>0</v>
      </c>
      <c r="CT56" s="338">
        <f t="shared" si="34"/>
        <v>0</v>
      </c>
      <c r="CU56" s="338">
        <f t="shared" si="34"/>
        <v>0</v>
      </c>
      <c r="CV56" s="338">
        <f t="shared" si="34"/>
        <v>0</v>
      </c>
      <c r="CW56" s="338">
        <f t="shared" si="34"/>
        <v>0</v>
      </c>
      <c r="CX56" s="338">
        <f t="shared" si="34"/>
        <v>0</v>
      </c>
      <c r="CY56" s="338">
        <f t="shared" si="34"/>
        <v>89250000</v>
      </c>
      <c r="CZ56" s="338">
        <f t="shared" si="34"/>
        <v>15750000</v>
      </c>
      <c r="DA56" s="338">
        <f t="shared" si="34"/>
        <v>0</v>
      </c>
      <c r="DB56" s="338">
        <f t="shared" si="34"/>
        <v>0</v>
      </c>
      <c r="DC56" s="338">
        <f t="shared" si="34"/>
        <v>10550000</v>
      </c>
      <c r="DD56" s="338">
        <f t="shared" si="34"/>
        <v>115550000</v>
      </c>
      <c r="DE56" s="338">
        <f t="shared" ref="DE56:EJ56" si="35">SUM(DE18:DE55)</f>
        <v>0</v>
      </c>
      <c r="DF56" s="338">
        <f t="shared" si="35"/>
        <v>0</v>
      </c>
      <c r="DG56" s="338">
        <f t="shared" si="35"/>
        <v>0</v>
      </c>
      <c r="DH56" s="338">
        <f t="shared" si="35"/>
        <v>0</v>
      </c>
      <c r="DI56" s="338">
        <f t="shared" si="35"/>
        <v>0</v>
      </c>
      <c r="DJ56" s="338">
        <f t="shared" si="35"/>
        <v>0</v>
      </c>
      <c r="DK56" s="338">
        <f t="shared" si="35"/>
        <v>44602050</v>
      </c>
      <c r="DL56" s="338">
        <f t="shared" si="35"/>
        <v>7870950</v>
      </c>
      <c r="DM56" s="338">
        <f t="shared" si="35"/>
        <v>0</v>
      </c>
      <c r="DN56" s="338">
        <f t="shared" si="35"/>
        <v>0</v>
      </c>
      <c r="DO56" s="338">
        <f t="shared" si="35"/>
        <v>2500000</v>
      </c>
      <c r="DP56" s="338">
        <f t="shared" si="35"/>
        <v>54973000</v>
      </c>
      <c r="DQ56" s="338">
        <f t="shared" si="35"/>
        <v>0</v>
      </c>
      <c r="DR56" s="338">
        <f t="shared" si="35"/>
        <v>0</v>
      </c>
      <c r="DS56" s="338">
        <f t="shared" si="35"/>
        <v>0</v>
      </c>
      <c r="DT56" s="338">
        <f t="shared" si="35"/>
        <v>0</v>
      </c>
      <c r="DU56" s="338">
        <f t="shared" si="35"/>
        <v>0</v>
      </c>
      <c r="DV56" s="338">
        <f t="shared" si="35"/>
        <v>0</v>
      </c>
      <c r="DW56" s="338">
        <f t="shared" si="35"/>
        <v>0</v>
      </c>
      <c r="DX56" s="338">
        <f t="shared" si="35"/>
        <v>0</v>
      </c>
      <c r="DY56" s="338">
        <f t="shared" si="35"/>
        <v>0</v>
      </c>
      <c r="DZ56" s="338">
        <f t="shared" si="35"/>
        <v>0</v>
      </c>
      <c r="EA56" s="338">
        <f t="shared" si="35"/>
        <v>0</v>
      </c>
      <c r="EB56" s="338">
        <f t="shared" si="35"/>
        <v>0</v>
      </c>
      <c r="EC56" s="338">
        <f t="shared" si="35"/>
        <v>0</v>
      </c>
      <c r="ED56" s="338">
        <f t="shared" si="35"/>
        <v>0</v>
      </c>
      <c r="EE56" s="338">
        <f t="shared" si="35"/>
        <v>0</v>
      </c>
      <c r="EF56" s="338">
        <f t="shared" si="35"/>
        <v>0</v>
      </c>
      <c r="EG56" s="338">
        <f t="shared" si="35"/>
        <v>0</v>
      </c>
      <c r="EH56" s="338">
        <f t="shared" si="35"/>
        <v>0</v>
      </c>
      <c r="EI56" s="338">
        <f t="shared" si="35"/>
        <v>0</v>
      </c>
      <c r="EJ56" s="338">
        <f t="shared" si="35"/>
        <v>0</v>
      </c>
      <c r="EK56" s="338">
        <f>SUM(EK18:EK55)</f>
        <v>0</v>
      </c>
      <c r="EL56" s="338">
        <f>SUM(EL18:EL55)</f>
        <v>0</v>
      </c>
      <c r="EM56" s="338">
        <f>SUM(EM18:EM55)</f>
        <v>0</v>
      </c>
      <c r="EN56" s="339">
        <f>SUM(EN18:EN55)</f>
        <v>0</v>
      </c>
      <c r="EO56" s="331"/>
      <c r="EY56" s="9"/>
      <c r="EZ56" s="9"/>
    </row>
    <row r="57" spans="1:156" s="11" customFormat="1" ht="15.75" thickBot="1" x14ac:dyDescent="0.3">
      <c r="A57" s="180" t="s">
        <v>1244</v>
      </c>
      <c r="B57" s="308"/>
      <c r="C57" s="308"/>
      <c r="D57" s="308"/>
      <c r="E57" s="308"/>
      <c r="F57" s="308"/>
      <c r="G57" s="313"/>
      <c r="H57" s="313"/>
      <c r="I57" s="313"/>
      <c r="J57" s="281"/>
      <c r="K57" s="281"/>
      <c r="L57" s="281"/>
      <c r="M57" s="337">
        <f>'Proj. prípr. (prebieh.), štúdie'!J24</f>
        <v>83853006.375</v>
      </c>
      <c r="N57" s="338">
        <f>'Proj. prípr. (prebieh.), štúdie'!K24</f>
        <v>20631753.100000001</v>
      </c>
      <c r="O57" s="338">
        <f>'Proj. prípr. (prebieh.), štúdie'!L24</f>
        <v>8930473.8300000001</v>
      </c>
      <c r="P57" s="338">
        <f>'Proj. prípr. (prebieh.), štúdie'!M24</f>
        <v>1137541.3900000001</v>
      </c>
      <c r="Q57" s="338">
        <f>'Proj. prípr. (prebieh.), štúdie'!N24</f>
        <v>20235301.639999997</v>
      </c>
      <c r="R57" s="338">
        <f>'Proj. prípr. (prebieh.), štúdie'!O24</f>
        <v>4979304.83</v>
      </c>
      <c r="S57" s="338">
        <f>'Proj. prípr. (prebieh.), štúdie'!P24</f>
        <v>973767.74</v>
      </c>
      <c r="T57" s="338">
        <f>'Proj. prípr. (prebieh.), štúdie'!Q24</f>
        <v>786250</v>
      </c>
      <c r="U57" s="338">
        <f>'Proj. prípr. (prebieh.), štúdie'!R24</f>
        <v>138750</v>
      </c>
      <c r="V57" s="338">
        <f>'Proj. prípr. (prebieh.), štúdie'!S24</f>
        <v>35616.46</v>
      </c>
      <c r="W57" s="338">
        <f>'Proj. prípr. (prebieh.), štúdie'!T24</f>
        <v>2224893.5150000001</v>
      </c>
      <c r="X57" s="338">
        <f>'Proj. prípr. (prebieh.), štúdie'!U24</f>
        <v>60073652.504999995</v>
      </c>
      <c r="Y57" s="338">
        <f>'Proj. prípr. (prebieh.), štúdie'!V24</f>
        <v>1127908.75</v>
      </c>
      <c r="Z57" s="338">
        <f>'Proj. prípr. (prebieh.), štúdie'!W24</f>
        <v>1096201.3899999999</v>
      </c>
      <c r="AA57" s="338">
        <f>'Proj. prípr. (prebieh.), štúdie'!X24</f>
        <v>0</v>
      </c>
      <c r="AB57" s="338">
        <f>'Proj. prípr. (prebieh.), štúdie'!Y24</f>
        <v>415931.22</v>
      </c>
      <c r="AC57" s="338">
        <f>'Proj. prípr. (prebieh.), štúdie'!Z24</f>
        <v>73399.62</v>
      </c>
      <c r="AD57" s="338">
        <f>'Proj. prípr. (prebieh.), štúdie'!AA24</f>
        <v>0</v>
      </c>
      <c r="AE57" s="338">
        <f>'Proj. prípr. (prebieh.), štúdie'!AB24</f>
        <v>1275000</v>
      </c>
      <c r="AF57" s="338">
        <f>'Proj. prípr. (prebieh.), štúdie'!AC24</f>
        <v>225000</v>
      </c>
      <c r="AG57" s="338">
        <f>'Proj. prípr. (prebieh.), štúdie'!AD24</f>
        <v>0</v>
      </c>
      <c r="AH57" s="338">
        <f>'Proj. prípr. (prebieh.), štúdie'!AE24</f>
        <v>0</v>
      </c>
      <c r="AI57" s="338">
        <f>'Proj. prípr. (prebieh.), štúdie'!AF24</f>
        <v>-534103.11</v>
      </c>
      <c r="AJ57" s="338">
        <f>'Proj. prípr. (prebieh.), štúdie'!AG24</f>
        <v>3679337.87</v>
      </c>
      <c r="AK57" s="338">
        <f>'Proj. prípr. (prebieh.), štúdie'!AH24</f>
        <v>7750000</v>
      </c>
      <c r="AL57" s="338">
        <f>'Proj. prípr. (prebieh.), štúdie'!AI24</f>
        <v>213666</v>
      </c>
      <c r="AM57" s="338">
        <f>'Proj. prípr. (prebieh.), štúdie'!AJ24</f>
        <v>102828</v>
      </c>
      <c r="AN57" s="338">
        <f>'Proj. prípr. (prebieh.), štúdie'!AK24</f>
        <v>112030</v>
      </c>
      <c r="AO57" s="338">
        <f>'Proj. prípr. (prebieh.), štúdie'!AL24</f>
        <v>19770</v>
      </c>
      <c r="AP57" s="338">
        <f>'Proj. prípr. (prebieh.), štúdie'!AM24</f>
        <v>0</v>
      </c>
      <c r="AQ57" s="338">
        <f>'Proj. prípr. (prebieh.), štúdie'!AN24</f>
        <v>1835150</v>
      </c>
      <c r="AR57" s="338">
        <f>'Proj. prípr. (prebieh.), štúdie'!AO24</f>
        <v>323850</v>
      </c>
      <c r="AS57" s="338">
        <f>'Proj. prípr. (prebieh.), štúdie'!AP24</f>
        <v>0</v>
      </c>
      <c r="AT57" s="338">
        <f>'Proj. prípr. (prebieh.), štúdie'!AQ24</f>
        <v>0</v>
      </c>
      <c r="AU57" s="338">
        <f>'Proj. prípr. (prebieh.), štúdie'!AR24</f>
        <v>0</v>
      </c>
      <c r="AV57" s="338">
        <f>'Proj. prípr. (prebieh.), štúdie'!AS24</f>
        <v>10357294</v>
      </c>
      <c r="AW57" s="338">
        <f>'Proj. prípr. (prebieh.), štúdie'!AT24</f>
        <v>2750000</v>
      </c>
      <c r="AX57" s="338">
        <f>'Proj. prípr. (prebieh.), štúdie'!AU24</f>
        <v>31914</v>
      </c>
      <c r="AY57" s="338">
        <f>'Proj. prípr. (prebieh.), štúdie'!AV24</f>
        <v>102828</v>
      </c>
      <c r="AZ57" s="338">
        <f>'Proj. prípr. (prebieh.), štúdie'!AW24</f>
        <v>206533</v>
      </c>
      <c r="BA57" s="338">
        <f>'Proj. prípr. (prebieh.), štúdie'!AX24</f>
        <v>36447</v>
      </c>
      <c r="BB57" s="338">
        <f>'Proj. prípr. (prebieh.), štúdie'!AY24</f>
        <v>0</v>
      </c>
      <c r="BC57" s="338">
        <f>'Proj. prípr. (prebieh.), štúdie'!AZ24</f>
        <v>769250</v>
      </c>
      <c r="BD57" s="338">
        <f>'Proj. prípr. (prebieh.), štúdie'!BA24</f>
        <v>135750</v>
      </c>
      <c r="BE57" s="338">
        <f>'Proj. prípr. (prebieh.), štúdie'!BB24</f>
        <v>0</v>
      </c>
      <c r="BF57" s="338">
        <f>'Proj. prípr. (prebieh.), štúdie'!BC24</f>
        <v>0</v>
      </c>
      <c r="BG57" s="338">
        <f>'Proj. prípr. (prebieh.), štúdie'!BD24</f>
        <v>0</v>
      </c>
      <c r="BH57" s="338">
        <f>'Proj. prípr. (prebieh.), štúdie'!BE24</f>
        <v>4032722</v>
      </c>
      <c r="BI57" s="338">
        <f>'Proj. prípr. (prebieh.), štúdie'!BF24</f>
        <v>2000000</v>
      </c>
      <c r="BJ57" s="338">
        <f>'Proj. prípr. (prebieh.), štúdie'!BG24</f>
        <v>0</v>
      </c>
      <c r="BK57" s="338">
        <f>'Proj. prípr. (prebieh.), štúdie'!BH24</f>
        <v>0</v>
      </c>
      <c r="BL57" s="338">
        <f>'Proj. prípr. (prebieh.), štúdie'!BI24</f>
        <v>0</v>
      </c>
      <c r="BM57" s="338">
        <f>'Proj. prípr. (prebieh.), štúdie'!BJ24</f>
        <v>0</v>
      </c>
      <c r="BN57" s="338">
        <f>'Proj. prípr. (prebieh.), štúdie'!BK24</f>
        <v>0</v>
      </c>
      <c r="BO57" s="338">
        <f>'Proj. prípr. (prebieh.), štúdie'!BL24</f>
        <v>0</v>
      </c>
      <c r="BP57" s="338">
        <f>'Proj. prípr. (prebieh.), štúdie'!BM24</f>
        <v>0</v>
      </c>
      <c r="BQ57" s="338">
        <f>'Proj. prípr. (prebieh.), štúdie'!BN24</f>
        <v>0</v>
      </c>
      <c r="BR57" s="338">
        <f>'Proj. prípr. (prebieh.), štúdie'!BO24</f>
        <v>0</v>
      </c>
      <c r="BS57" s="338">
        <f>'Proj. prípr. (prebieh.), štúdie'!BP24</f>
        <v>0</v>
      </c>
      <c r="BT57" s="338">
        <f>'Proj. prípr. (prebieh.), štúdie'!BQ24</f>
        <v>2000000</v>
      </c>
      <c r="BU57" s="338">
        <f>'Proj. prípr. (prebieh.), štúdie'!BR24</f>
        <v>2400000</v>
      </c>
      <c r="BV57" s="338">
        <f>'Proj. prípr. (prebieh.), štúdie'!BS24</f>
        <v>0</v>
      </c>
      <c r="BW57" s="338">
        <f>'Proj. prípr. (prebieh.), štúdie'!BT24</f>
        <v>0</v>
      </c>
      <c r="BX57" s="338">
        <f>'Proj. prípr. (prebieh.), štúdie'!BU24</f>
        <v>0</v>
      </c>
      <c r="BY57" s="338">
        <f>'Proj. prípr. (prebieh.), štúdie'!BV24</f>
        <v>0</v>
      </c>
      <c r="BZ57" s="338">
        <f>'Proj. prípr. (prebieh.), štúdie'!BW24</f>
        <v>0</v>
      </c>
      <c r="CA57" s="338">
        <f>'Proj. prípr. (prebieh.), štúdie'!BX24</f>
        <v>0</v>
      </c>
      <c r="CB57" s="338">
        <f>'Proj. prípr. (prebieh.), štúdie'!BY24</f>
        <v>0</v>
      </c>
      <c r="CC57" s="338">
        <f>'Proj. prípr. (prebieh.), štúdie'!BZ24</f>
        <v>0</v>
      </c>
      <c r="CD57" s="338">
        <f>'Proj. prípr. (prebieh.), štúdie'!CA24</f>
        <v>0</v>
      </c>
      <c r="CE57" s="338">
        <f>'Proj. prípr. (prebieh.), štúdie'!CB24</f>
        <v>1310000</v>
      </c>
      <c r="CF57" s="338">
        <f>'Proj. prípr. (prebieh.), štúdie'!CC24</f>
        <v>3710000</v>
      </c>
      <c r="CG57" s="338">
        <f>'Proj. prípr. (prebieh.), štúdie'!CD24</f>
        <v>0</v>
      </c>
      <c r="CH57" s="338">
        <f>'Proj. prípr. (prebieh.), štúdie'!CE24</f>
        <v>0</v>
      </c>
      <c r="CI57" s="338">
        <f>'Proj. prípr. (prebieh.), štúdie'!CF24</f>
        <v>0</v>
      </c>
      <c r="CJ57" s="338">
        <f>'Proj. prípr. (prebieh.), štúdie'!CG24</f>
        <v>0</v>
      </c>
      <c r="CK57" s="338">
        <f>'Proj. prípr. (prebieh.), štúdie'!CH24</f>
        <v>0</v>
      </c>
      <c r="CL57" s="338">
        <f>'Proj. prípr. (prebieh.), štúdie'!CI24</f>
        <v>0</v>
      </c>
      <c r="CM57" s="338">
        <f>'Proj. prípr. (prebieh.), štúdie'!CJ24</f>
        <v>0</v>
      </c>
      <c r="CN57" s="338">
        <f>'Proj. prípr. (prebieh.), štúdie'!CK24</f>
        <v>0</v>
      </c>
      <c r="CO57" s="338">
        <f>'Proj. prípr. (prebieh.), štúdie'!CL24</f>
        <v>0</v>
      </c>
      <c r="CP57" s="338">
        <f>'Proj. prípr. (prebieh.), štúdie'!CM24</f>
        <v>0</v>
      </c>
      <c r="CQ57" s="338">
        <f>'Proj. prípr. (prebieh.), štúdie'!CN24</f>
        <v>0</v>
      </c>
      <c r="CR57" s="338">
        <f>'Proj. prípr. (prebieh.), štúdie'!CO24</f>
        <v>0</v>
      </c>
      <c r="CS57" s="338">
        <f>'Proj. prípr. (prebieh.), štúdie'!CP24</f>
        <v>0</v>
      </c>
      <c r="CT57" s="338">
        <f>'Proj. prípr. (prebieh.), štúdie'!CQ24</f>
        <v>0</v>
      </c>
      <c r="CU57" s="338">
        <f>'Proj. prípr. (prebieh.), štúdie'!CR24</f>
        <v>0</v>
      </c>
      <c r="CV57" s="338">
        <f>'Proj. prípr. (prebieh.), štúdie'!CS24</f>
        <v>0</v>
      </c>
      <c r="CW57" s="338">
        <f>'Proj. prípr. (prebieh.), štúdie'!CT24</f>
        <v>0</v>
      </c>
      <c r="CX57" s="338">
        <f>'Proj. prípr. (prebieh.), štúdie'!CU24</f>
        <v>0</v>
      </c>
      <c r="CY57" s="338">
        <f>'Proj. prípr. (prebieh.), štúdie'!CV24</f>
        <v>0</v>
      </c>
      <c r="CZ57" s="338">
        <f>'Proj. prípr. (prebieh.), štúdie'!CW24</f>
        <v>0</v>
      </c>
      <c r="DA57" s="338">
        <f>'Proj. prípr. (prebieh.), štúdie'!CX24</f>
        <v>0</v>
      </c>
      <c r="DB57" s="338">
        <f>'Proj. prípr. (prebieh.), štúdie'!CY24</f>
        <v>0</v>
      </c>
      <c r="DC57" s="338">
        <f>'Proj. prípr. (prebieh.), štúdie'!CZ24</f>
        <v>0</v>
      </c>
      <c r="DD57" s="338">
        <f>'Proj. prípr. (prebieh.), štúdie'!DA24</f>
        <v>0</v>
      </c>
      <c r="DE57" s="338">
        <f>'Proj. prípr. (prebieh.), štúdie'!DB24</f>
        <v>0</v>
      </c>
      <c r="DF57" s="338">
        <f>'Proj. prípr. (prebieh.), štúdie'!DC24</f>
        <v>0</v>
      </c>
      <c r="DG57" s="338">
        <f>'Proj. prípr. (prebieh.), štúdie'!DD24</f>
        <v>0</v>
      </c>
      <c r="DH57" s="338">
        <f>'Proj. prípr. (prebieh.), štúdie'!DE24</f>
        <v>0</v>
      </c>
      <c r="DI57" s="338">
        <f>'Proj. prípr. (prebieh.), štúdie'!DF24</f>
        <v>0</v>
      </c>
      <c r="DJ57" s="338">
        <f>'Proj. prípr. (prebieh.), štúdie'!DG24</f>
        <v>0</v>
      </c>
      <c r="DK57" s="338">
        <f>'Proj. prípr. (prebieh.), štúdie'!DH24</f>
        <v>0</v>
      </c>
      <c r="DL57" s="338">
        <f>'Proj. prípr. (prebieh.), štúdie'!DI24</f>
        <v>0</v>
      </c>
      <c r="DM57" s="338">
        <f>'Proj. prípr. (prebieh.), štúdie'!DJ24</f>
        <v>0</v>
      </c>
      <c r="DN57" s="338">
        <f>'Proj. prípr. (prebieh.), štúdie'!DK24</f>
        <v>0</v>
      </c>
      <c r="DO57" s="338">
        <f>'Proj. prípr. (prebieh.), štúdie'!DL24</f>
        <v>0</v>
      </c>
      <c r="DP57" s="338">
        <f>'Proj. prípr. (prebieh.), štúdie'!DM24</f>
        <v>0</v>
      </c>
      <c r="DQ57" s="338">
        <f>'Proj. prípr. (prebieh.), štúdie'!DN24</f>
        <v>0</v>
      </c>
      <c r="DR57" s="338">
        <f>'Proj. prípr. (prebieh.), štúdie'!DO24</f>
        <v>0</v>
      </c>
      <c r="DS57" s="338">
        <f>'Proj. prípr. (prebieh.), štúdie'!DP24</f>
        <v>0</v>
      </c>
      <c r="DT57" s="338">
        <f>'Proj. prípr. (prebieh.), štúdie'!DQ24</f>
        <v>0</v>
      </c>
      <c r="DU57" s="338">
        <f>'Proj. prípr. (prebieh.), štúdie'!DR24</f>
        <v>0</v>
      </c>
      <c r="DV57" s="338">
        <f>'Proj. prípr. (prebieh.), štúdie'!DS24</f>
        <v>0</v>
      </c>
      <c r="DW57" s="338">
        <f>'Proj. prípr. (prebieh.), štúdie'!DT24</f>
        <v>0</v>
      </c>
      <c r="DX57" s="338">
        <f>'Proj. prípr. (prebieh.), štúdie'!DU24</f>
        <v>0</v>
      </c>
      <c r="DY57" s="338">
        <f>'Proj. prípr. (prebieh.), štúdie'!DV24</f>
        <v>0</v>
      </c>
      <c r="DZ57" s="338">
        <f>'Proj. prípr. (prebieh.), štúdie'!DW24</f>
        <v>0</v>
      </c>
      <c r="EA57" s="338">
        <f>'Proj. prípr. (prebieh.), štúdie'!DX24</f>
        <v>0</v>
      </c>
      <c r="EB57" s="338">
        <f>'Proj. prípr. (prebieh.), štúdie'!DY24</f>
        <v>0</v>
      </c>
      <c r="EC57" s="338">
        <f>'Proj. prípr. (prebieh.), štúdie'!DZ24</f>
        <v>0</v>
      </c>
      <c r="ED57" s="338">
        <f>'Proj. prípr. (prebieh.), štúdie'!EA24</f>
        <v>0</v>
      </c>
      <c r="EE57" s="338">
        <f>'Proj. prípr. (prebieh.), štúdie'!EB24</f>
        <v>0</v>
      </c>
      <c r="EF57" s="338">
        <f>'Proj. prípr. (prebieh.), štúdie'!EC24</f>
        <v>0</v>
      </c>
      <c r="EG57" s="338">
        <f>'Proj. prípr. (prebieh.), štúdie'!ED24</f>
        <v>0</v>
      </c>
      <c r="EH57" s="338">
        <f>'Proj. prípr. (prebieh.), štúdie'!EE24</f>
        <v>0</v>
      </c>
      <c r="EI57" s="338">
        <f>'Proj. prípr. (prebieh.), štúdie'!EF24</f>
        <v>0</v>
      </c>
      <c r="EJ57" s="338">
        <f>'Proj. prípr. (prebieh.), štúdie'!EG24</f>
        <v>0</v>
      </c>
      <c r="EK57" s="338">
        <f>'Proj. prípr. (prebieh.), štúdie'!EH24</f>
        <v>0</v>
      </c>
      <c r="EL57" s="338">
        <f>'Proj. prípr. (prebieh.), štúdie'!EI24</f>
        <v>0</v>
      </c>
      <c r="EM57" s="338">
        <f>'Proj. prípr. (prebieh.), štúdie'!EJ24</f>
        <v>0</v>
      </c>
      <c r="EN57" s="339">
        <f>'Proj. prípr. (prebieh.), štúdie'!EK24</f>
        <v>0</v>
      </c>
      <c r="EO57" s="331"/>
    </row>
    <row r="58" spans="1:156" s="101" customFormat="1" ht="15.75" thickBot="1" x14ac:dyDescent="0.3">
      <c r="A58" s="314"/>
      <c r="B58" s="315"/>
      <c r="C58" s="315"/>
      <c r="D58" s="315"/>
      <c r="E58" s="315"/>
      <c r="F58" s="315"/>
      <c r="G58" s="316"/>
      <c r="H58" s="316"/>
      <c r="I58" s="316"/>
      <c r="J58" s="282"/>
      <c r="K58" s="282"/>
      <c r="L58" s="28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2"/>
      <c r="AN58" s="342"/>
      <c r="AO58" s="342"/>
      <c r="AP58" s="342"/>
      <c r="AQ58" s="342"/>
      <c r="AR58" s="342"/>
      <c r="AS58" s="342"/>
      <c r="AT58" s="342"/>
      <c r="AU58" s="342"/>
      <c r="AV58" s="342"/>
      <c r="AW58" s="342"/>
      <c r="AX58" s="342"/>
      <c r="AY58" s="342"/>
      <c r="AZ58" s="342"/>
      <c r="BA58" s="342"/>
      <c r="BB58" s="342"/>
      <c r="BC58" s="342"/>
      <c r="BD58" s="342"/>
      <c r="BE58" s="342"/>
      <c r="BF58" s="342"/>
      <c r="BG58" s="342"/>
      <c r="BH58" s="342"/>
      <c r="BI58" s="342"/>
      <c r="BJ58" s="342"/>
      <c r="BK58" s="342"/>
      <c r="BL58" s="342"/>
      <c r="BM58" s="342"/>
      <c r="BN58" s="342"/>
      <c r="BO58" s="342"/>
      <c r="BP58" s="342"/>
      <c r="BQ58" s="342"/>
      <c r="BR58" s="342"/>
      <c r="BS58" s="342"/>
      <c r="BT58" s="342"/>
      <c r="BU58" s="342"/>
      <c r="BV58" s="342"/>
      <c r="BW58" s="342"/>
      <c r="BX58" s="342"/>
      <c r="BY58" s="342"/>
      <c r="BZ58" s="342"/>
      <c r="CA58" s="342"/>
      <c r="CB58" s="342"/>
      <c r="CC58" s="342"/>
      <c r="CD58" s="342"/>
      <c r="CE58" s="342"/>
      <c r="CF58" s="342"/>
      <c r="CG58" s="342"/>
      <c r="CH58" s="342"/>
      <c r="CI58" s="342"/>
      <c r="CJ58" s="342"/>
      <c r="CK58" s="342"/>
      <c r="CL58" s="342"/>
      <c r="CM58" s="342"/>
      <c r="CN58" s="342"/>
      <c r="CO58" s="342"/>
      <c r="CP58" s="342"/>
      <c r="CQ58" s="342"/>
      <c r="CR58" s="342"/>
      <c r="CS58" s="342"/>
      <c r="CT58" s="342"/>
      <c r="CU58" s="342"/>
      <c r="CV58" s="342"/>
      <c r="CW58" s="342"/>
      <c r="CX58" s="342"/>
      <c r="CY58" s="342"/>
      <c r="CZ58" s="342"/>
      <c r="DA58" s="342"/>
      <c r="DB58" s="342"/>
      <c r="DC58" s="342"/>
      <c r="DD58" s="342"/>
      <c r="DE58" s="342"/>
      <c r="DF58" s="342"/>
      <c r="DG58" s="342"/>
      <c r="DH58" s="342"/>
      <c r="DI58" s="342"/>
      <c r="DJ58" s="342"/>
      <c r="DK58" s="342"/>
      <c r="DL58" s="342"/>
      <c r="DM58" s="342"/>
      <c r="DN58" s="342"/>
      <c r="DO58" s="342"/>
      <c r="DP58" s="342"/>
      <c r="DQ58" s="342"/>
      <c r="DR58" s="342"/>
      <c r="DS58" s="342"/>
      <c r="DT58" s="342"/>
      <c r="DU58" s="342"/>
      <c r="DV58" s="342"/>
      <c r="DW58" s="342"/>
      <c r="DX58" s="342"/>
      <c r="DY58" s="342"/>
      <c r="DZ58" s="342"/>
      <c r="EA58" s="342"/>
      <c r="EB58" s="342"/>
      <c r="EC58" s="342"/>
      <c r="ED58" s="342"/>
      <c r="EE58" s="342"/>
      <c r="EF58" s="342"/>
      <c r="EG58" s="342"/>
      <c r="EH58" s="342"/>
      <c r="EI58" s="342"/>
      <c r="EJ58" s="342"/>
      <c r="EK58" s="342"/>
      <c r="EL58" s="342"/>
      <c r="EM58" s="342"/>
      <c r="EN58" s="343"/>
      <c r="EO58" s="331"/>
    </row>
    <row r="59" spans="1:156" x14ac:dyDescent="0.25">
      <c r="A59" s="186"/>
      <c r="B59" s="187"/>
      <c r="C59" s="187"/>
      <c r="D59" s="187"/>
      <c r="E59" s="187"/>
      <c r="F59" s="188"/>
      <c r="G59" s="188"/>
      <c r="H59" s="188"/>
      <c r="I59" s="188"/>
      <c r="J59" s="297"/>
      <c r="K59" s="344"/>
      <c r="L59" s="345"/>
      <c r="M59" s="346"/>
      <c r="N59" s="486" t="s">
        <v>1053</v>
      </c>
      <c r="O59" s="487"/>
      <c r="P59" s="487"/>
      <c r="Q59" s="487"/>
      <c r="R59" s="487"/>
      <c r="S59" s="487"/>
      <c r="T59" s="487"/>
      <c r="U59" s="487"/>
      <c r="V59" s="487"/>
      <c r="W59" s="488"/>
      <c r="X59" s="347" t="s">
        <v>1054</v>
      </c>
      <c r="Y59" s="489" t="s">
        <v>1119</v>
      </c>
      <c r="Z59" s="490"/>
      <c r="AA59" s="490"/>
      <c r="AB59" s="490"/>
      <c r="AC59" s="490"/>
      <c r="AD59" s="490"/>
      <c r="AE59" s="490"/>
      <c r="AF59" s="490"/>
      <c r="AG59" s="490"/>
      <c r="AH59" s="490"/>
      <c r="AI59" s="491"/>
      <c r="AJ59" s="348">
        <v>2021</v>
      </c>
      <c r="AK59" s="484" t="s">
        <v>1118</v>
      </c>
      <c r="AL59" s="484"/>
      <c r="AM59" s="484"/>
      <c r="AN59" s="484"/>
      <c r="AO59" s="484"/>
      <c r="AP59" s="484"/>
      <c r="AQ59" s="484"/>
      <c r="AR59" s="484"/>
      <c r="AS59" s="484"/>
      <c r="AT59" s="484"/>
      <c r="AU59" s="485"/>
      <c r="AV59" s="349">
        <v>2022</v>
      </c>
      <c r="AW59" s="484" t="s">
        <v>1117</v>
      </c>
      <c r="AX59" s="484"/>
      <c r="AY59" s="484"/>
      <c r="AZ59" s="484"/>
      <c r="BA59" s="484"/>
      <c r="BB59" s="484"/>
      <c r="BC59" s="484"/>
      <c r="BD59" s="484"/>
      <c r="BE59" s="484"/>
      <c r="BF59" s="484"/>
      <c r="BG59" s="485"/>
      <c r="BH59" s="349">
        <v>2023</v>
      </c>
      <c r="BI59" s="484" t="s">
        <v>1116</v>
      </c>
      <c r="BJ59" s="484"/>
      <c r="BK59" s="484"/>
      <c r="BL59" s="484"/>
      <c r="BM59" s="484"/>
      <c r="BN59" s="484"/>
      <c r="BO59" s="484"/>
      <c r="BP59" s="484"/>
      <c r="BQ59" s="484"/>
      <c r="BR59" s="484"/>
      <c r="BS59" s="485"/>
      <c r="BT59" s="349">
        <v>2024</v>
      </c>
      <c r="BU59" s="484" t="s">
        <v>1120</v>
      </c>
      <c r="BV59" s="484"/>
      <c r="BW59" s="484"/>
      <c r="BX59" s="484"/>
      <c r="BY59" s="484"/>
      <c r="BZ59" s="484"/>
      <c r="CA59" s="484"/>
      <c r="CB59" s="484"/>
      <c r="CC59" s="484"/>
      <c r="CD59" s="484"/>
      <c r="CE59" s="485"/>
      <c r="CF59" s="350">
        <v>2025</v>
      </c>
      <c r="CG59" s="484" t="s">
        <v>1121</v>
      </c>
      <c r="CH59" s="484"/>
      <c r="CI59" s="484"/>
      <c r="CJ59" s="484"/>
      <c r="CK59" s="484"/>
      <c r="CL59" s="484"/>
      <c r="CM59" s="484"/>
      <c r="CN59" s="484"/>
      <c r="CO59" s="484"/>
      <c r="CP59" s="484"/>
      <c r="CQ59" s="485"/>
      <c r="CR59" s="350">
        <v>2026</v>
      </c>
      <c r="CS59" s="484" t="s">
        <v>1122</v>
      </c>
      <c r="CT59" s="484"/>
      <c r="CU59" s="484"/>
      <c r="CV59" s="484"/>
      <c r="CW59" s="484"/>
      <c r="CX59" s="484"/>
      <c r="CY59" s="484"/>
      <c r="CZ59" s="484"/>
      <c r="DA59" s="484"/>
      <c r="DB59" s="484"/>
      <c r="DC59" s="485"/>
      <c r="DD59" s="350">
        <v>2027</v>
      </c>
      <c r="DE59" s="484" t="s">
        <v>1123</v>
      </c>
      <c r="DF59" s="484"/>
      <c r="DG59" s="484"/>
      <c r="DH59" s="484"/>
      <c r="DI59" s="484"/>
      <c r="DJ59" s="484"/>
      <c r="DK59" s="484"/>
      <c r="DL59" s="484"/>
      <c r="DM59" s="484"/>
      <c r="DN59" s="484"/>
      <c r="DO59" s="485"/>
      <c r="DP59" s="350">
        <v>2028</v>
      </c>
      <c r="DQ59" s="484" t="s">
        <v>1125</v>
      </c>
      <c r="DR59" s="484"/>
      <c r="DS59" s="484"/>
      <c r="DT59" s="484"/>
      <c r="DU59" s="484"/>
      <c r="DV59" s="484"/>
      <c r="DW59" s="484"/>
      <c r="DX59" s="484"/>
      <c r="DY59" s="484"/>
      <c r="DZ59" s="484"/>
      <c r="EA59" s="485"/>
      <c r="EB59" s="350">
        <v>2029</v>
      </c>
      <c r="EC59" s="484" t="s">
        <v>1124</v>
      </c>
      <c r="ED59" s="484"/>
      <c r="EE59" s="484"/>
      <c r="EF59" s="484"/>
      <c r="EG59" s="484"/>
      <c r="EH59" s="484"/>
      <c r="EI59" s="484"/>
      <c r="EJ59" s="484"/>
      <c r="EK59" s="484"/>
      <c r="EL59" s="484"/>
      <c r="EM59" s="485"/>
      <c r="EN59" s="350">
        <v>2030</v>
      </c>
      <c r="EO59" s="331"/>
    </row>
    <row r="60" spans="1:156" s="300" customFormat="1" ht="15.75" thickBot="1" x14ac:dyDescent="0.3">
      <c r="A60" s="298"/>
      <c r="B60" s="299" t="s">
        <v>383</v>
      </c>
      <c r="C60" s="299" t="s">
        <v>335</v>
      </c>
      <c r="D60" s="299" t="s">
        <v>288</v>
      </c>
      <c r="E60" s="299"/>
      <c r="F60" s="299" t="s">
        <v>337</v>
      </c>
      <c r="G60" s="299"/>
      <c r="H60" s="299"/>
      <c r="I60" s="299"/>
      <c r="J60" s="299" t="s">
        <v>931</v>
      </c>
      <c r="K60" s="351" t="s">
        <v>310</v>
      </c>
      <c r="L60" s="352" t="s">
        <v>941</v>
      </c>
      <c r="M60" s="353" t="s">
        <v>939</v>
      </c>
      <c r="N60" s="354" t="s">
        <v>940</v>
      </c>
      <c r="O60" s="354" t="s">
        <v>1055</v>
      </c>
      <c r="P60" s="354" t="s">
        <v>1056</v>
      </c>
      <c r="Q60" s="354" t="s">
        <v>1057</v>
      </c>
      <c r="R60" s="354" t="s">
        <v>1058</v>
      </c>
      <c r="S60" s="354" t="s">
        <v>1059</v>
      </c>
      <c r="T60" s="354" t="s">
        <v>929</v>
      </c>
      <c r="U60" s="354" t="s">
        <v>1060</v>
      </c>
      <c r="V60" s="354" t="s">
        <v>1059</v>
      </c>
      <c r="W60" s="354" t="s">
        <v>1061</v>
      </c>
      <c r="X60" s="355" t="s">
        <v>1062</v>
      </c>
      <c r="Y60" s="354" t="s">
        <v>940</v>
      </c>
      <c r="Z60" s="354" t="s">
        <v>1055</v>
      </c>
      <c r="AA60" s="354" t="s">
        <v>1056</v>
      </c>
      <c r="AB60" s="354" t="s">
        <v>1057</v>
      </c>
      <c r="AC60" s="354" t="s">
        <v>1058</v>
      </c>
      <c r="AD60" s="354" t="s">
        <v>1059</v>
      </c>
      <c r="AE60" s="354" t="s">
        <v>929</v>
      </c>
      <c r="AF60" s="354" t="s">
        <v>1060</v>
      </c>
      <c r="AG60" s="354" t="s">
        <v>1059</v>
      </c>
      <c r="AH60" s="354" t="s">
        <v>1063</v>
      </c>
      <c r="AI60" s="354" t="s">
        <v>1061</v>
      </c>
      <c r="AJ60" s="355" t="s">
        <v>1062</v>
      </c>
      <c r="AK60" s="354" t="s">
        <v>940</v>
      </c>
      <c r="AL60" s="354" t="s">
        <v>1055</v>
      </c>
      <c r="AM60" s="354" t="s">
        <v>1056</v>
      </c>
      <c r="AN60" s="354" t="s">
        <v>1057</v>
      </c>
      <c r="AO60" s="354" t="s">
        <v>1058</v>
      </c>
      <c r="AP60" s="354" t="s">
        <v>1059</v>
      </c>
      <c r="AQ60" s="354" t="s">
        <v>929</v>
      </c>
      <c r="AR60" s="354" t="s">
        <v>1060</v>
      </c>
      <c r="AS60" s="354" t="s">
        <v>1059</v>
      </c>
      <c r="AT60" s="354" t="s">
        <v>1063</v>
      </c>
      <c r="AU60" s="354" t="s">
        <v>1061</v>
      </c>
      <c r="AV60" s="355" t="s">
        <v>1062</v>
      </c>
      <c r="AW60" s="354" t="s">
        <v>940</v>
      </c>
      <c r="AX60" s="354" t="s">
        <v>1055</v>
      </c>
      <c r="AY60" s="354" t="s">
        <v>1056</v>
      </c>
      <c r="AZ60" s="354" t="s">
        <v>1057</v>
      </c>
      <c r="BA60" s="354" t="s">
        <v>1058</v>
      </c>
      <c r="BB60" s="354" t="s">
        <v>1059</v>
      </c>
      <c r="BC60" s="354" t="s">
        <v>929</v>
      </c>
      <c r="BD60" s="354" t="s">
        <v>1060</v>
      </c>
      <c r="BE60" s="354" t="s">
        <v>1059</v>
      </c>
      <c r="BF60" s="354" t="s">
        <v>1063</v>
      </c>
      <c r="BG60" s="354" t="s">
        <v>1061</v>
      </c>
      <c r="BH60" s="355" t="s">
        <v>1062</v>
      </c>
      <c r="BI60" s="354" t="s">
        <v>940</v>
      </c>
      <c r="BJ60" s="354" t="s">
        <v>1055</v>
      </c>
      <c r="BK60" s="354" t="s">
        <v>1056</v>
      </c>
      <c r="BL60" s="354" t="s">
        <v>1057</v>
      </c>
      <c r="BM60" s="354" t="s">
        <v>1058</v>
      </c>
      <c r="BN60" s="354" t="s">
        <v>1059</v>
      </c>
      <c r="BO60" s="354" t="s">
        <v>929</v>
      </c>
      <c r="BP60" s="354" t="s">
        <v>1060</v>
      </c>
      <c r="BQ60" s="354" t="s">
        <v>1059</v>
      </c>
      <c r="BR60" s="354" t="s">
        <v>1063</v>
      </c>
      <c r="BS60" s="354" t="s">
        <v>1061</v>
      </c>
      <c r="BT60" s="355" t="s">
        <v>1062</v>
      </c>
      <c r="BU60" s="354" t="s">
        <v>940</v>
      </c>
      <c r="BV60" s="354" t="s">
        <v>1055</v>
      </c>
      <c r="BW60" s="354" t="s">
        <v>1056</v>
      </c>
      <c r="BX60" s="354" t="s">
        <v>1057</v>
      </c>
      <c r="BY60" s="354" t="s">
        <v>1058</v>
      </c>
      <c r="BZ60" s="354" t="s">
        <v>1059</v>
      </c>
      <c r="CA60" s="354" t="s">
        <v>929</v>
      </c>
      <c r="CB60" s="354" t="s">
        <v>1060</v>
      </c>
      <c r="CC60" s="354" t="s">
        <v>1059</v>
      </c>
      <c r="CD60" s="354" t="s">
        <v>1063</v>
      </c>
      <c r="CE60" s="354" t="s">
        <v>1061</v>
      </c>
      <c r="CF60" s="356" t="s">
        <v>1062</v>
      </c>
      <c r="CG60" s="354" t="s">
        <v>940</v>
      </c>
      <c r="CH60" s="354" t="s">
        <v>1055</v>
      </c>
      <c r="CI60" s="354" t="s">
        <v>1056</v>
      </c>
      <c r="CJ60" s="354" t="s">
        <v>1057</v>
      </c>
      <c r="CK60" s="354" t="s">
        <v>1058</v>
      </c>
      <c r="CL60" s="354" t="s">
        <v>1059</v>
      </c>
      <c r="CM60" s="354" t="s">
        <v>929</v>
      </c>
      <c r="CN60" s="354" t="s">
        <v>1060</v>
      </c>
      <c r="CO60" s="354" t="s">
        <v>1059</v>
      </c>
      <c r="CP60" s="354" t="s">
        <v>1063</v>
      </c>
      <c r="CQ60" s="354" t="s">
        <v>1061</v>
      </c>
      <c r="CR60" s="356" t="s">
        <v>1062</v>
      </c>
      <c r="CS60" s="354" t="s">
        <v>940</v>
      </c>
      <c r="CT60" s="354" t="s">
        <v>1055</v>
      </c>
      <c r="CU60" s="354" t="s">
        <v>1056</v>
      </c>
      <c r="CV60" s="354" t="s">
        <v>1057</v>
      </c>
      <c r="CW60" s="354" t="s">
        <v>1058</v>
      </c>
      <c r="CX60" s="354" t="s">
        <v>1059</v>
      </c>
      <c r="CY60" s="354" t="s">
        <v>929</v>
      </c>
      <c r="CZ60" s="354" t="s">
        <v>1060</v>
      </c>
      <c r="DA60" s="354" t="s">
        <v>1059</v>
      </c>
      <c r="DB60" s="354" t="s">
        <v>1063</v>
      </c>
      <c r="DC60" s="354" t="s">
        <v>1061</v>
      </c>
      <c r="DD60" s="356" t="s">
        <v>1062</v>
      </c>
      <c r="DE60" s="354" t="s">
        <v>940</v>
      </c>
      <c r="DF60" s="354" t="s">
        <v>1055</v>
      </c>
      <c r="DG60" s="354" t="s">
        <v>1056</v>
      </c>
      <c r="DH60" s="354" t="s">
        <v>1057</v>
      </c>
      <c r="DI60" s="354" t="s">
        <v>1058</v>
      </c>
      <c r="DJ60" s="354" t="s">
        <v>1059</v>
      </c>
      <c r="DK60" s="354" t="s">
        <v>929</v>
      </c>
      <c r="DL60" s="354" t="s">
        <v>1060</v>
      </c>
      <c r="DM60" s="354" t="s">
        <v>1059</v>
      </c>
      <c r="DN60" s="354" t="s">
        <v>1063</v>
      </c>
      <c r="DO60" s="354" t="s">
        <v>1061</v>
      </c>
      <c r="DP60" s="356" t="s">
        <v>1062</v>
      </c>
      <c r="DQ60" s="354" t="s">
        <v>940</v>
      </c>
      <c r="DR60" s="354" t="s">
        <v>1055</v>
      </c>
      <c r="DS60" s="354" t="s">
        <v>1056</v>
      </c>
      <c r="DT60" s="354" t="s">
        <v>1057</v>
      </c>
      <c r="DU60" s="354" t="s">
        <v>1058</v>
      </c>
      <c r="DV60" s="354" t="s">
        <v>1059</v>
      </c>
      <c r="DW60" s="354" t="s">
        <v>929</v>
      </c>
      <c r="DX60" s="354" t="s">
        <v>1060</v>
      </c>
      <c r="DY60" s="354" t="s">
        <v>1059</v>
      </c>
      <c r="DZ60" s="354" t="s">
        <v>1063</v>
      </c>
      <c r="EA60" s="354" t="s">
        <v>1061</v>
      </c>
      <c r="EB60" s="356" t="s">
        <v>1062</v>
      </c>
      <c r="EC60" s="354" t="s">
        <v>940</v>
      </c>
      <c r="ED60" s="354" t="s">
        <v>1055</v>
      </c>
      <c r="EE60" s="354" t="s">
        <v>1056</v>
      </c>
      <c r="EF60" s="354" t="s">
        <v>1057</v>
      </c>
      <c r="EG60" s="354" t="s">
        <v>1058</v>
      </c>
      <c r="EH60" s="354" t="s">
        <v>1059</v>
      </c>
      <c r="EI60" s="354" t="s">
        <v>929</v>
      </c>
      <c r="EJ60" s="354" t="s">
        <v>1060</v>
      </c>
      <c r="EK60" s="354" t="s">
        <v>1059</v>
      </c>
      <c r="EL60" s="354" t="s">
        <v>1063</v>
      </c>
      <c r="EM60" s="354" t="s">
        <v>1061</v>
      </c>
      <c r="EN60" s="356" t="s">
        <v>1062</v>
      </c>
      <c r="EO60" s="331"/>
    </row>
    <row r="61" spans="1:156" s="11" customFormat="1" ht="27" thickBot="1" x14ac:dyDescent="0.3">
      <c r="A61" s="190" t="s">
        <v>1188</v>
      </c>
      <c r="B61" s="317"/>
      <c r="C61" s="317"/>
      <c r="D61" s="317"/>
      <c r="E61" s="317"/>
      <c r="F61" s="317"/>
      <c r="G61" s="318"/>
      <c r="H61" s="318"/>
      <c r="I61" s="318"/>
      <c r="J61" s="191"/>
      <c r="K61" s="191"/>
      <c r="L61" s="191"/>
      <c r="M61" s="357"/>
      <c r="N61" s="357"/>
      <c r="O61" s="357"/>
      <c r="P61" s="357"/>
      <c r="Q61" s="357"/>
      <c r="R61" s="357"/>
      <c r="S61" s="357"/>
      <c r="T61" s="357"/>
      <c r="U61" s="357"/>
      <c r="V61" s="357"/>
      <c r="W61" s="357"/>
      <c r="X61" s="357"/>
      <c r="Y61" s="357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57"/>
      <c r="AM61" s="357"/>
      <c r="AN61" s="357"/>
      <c r="AO61" s="357"/>
      <c r="AP61" s="357"/>
      <c r="AQ61" s="357"/>
      <c r="AR61" s="357"/>
      <c r="AS61" s="357"/>
      <c r="AT61" s="357"/>
      <c r="AU61" s="357"/>
      <c r="AV61" s="357"/>
      <c r="AW61" s="357"/>
      <c r="AX61" s="357"/>
      <c r="AY61" s="357"/>
      <c r="AZ61" s="357"/>
      <c r="BA61" s="357"/>
      <c r="BB61" s="357"/>
      <c r="BC61" s="357"/>
      <c r="BD61" s="357"/>
      <c r="BE61" s="357"/>
      <c r="BF61" s="357"/>
      <c r="BG61" s="357"/>
      <c r="BH61" s="357"/>
      <c r="BI61" s="357"/>
      <c r="BJ61" s="357"/>
      <c r="BK61" s="357"/>
      <c r="BL61" s="357"/>
      <c r="BM61" s="357"/>
      <c r="BN61" s="357"/>
      <c r="BO61" s="357"/>
      <c r="BP61" s="357"/>
      <c r="BQ61" s="357"/>
      <c r="BR61" s="357"/>
      <c r="BS61" s="357"/>
      <c r="BT61" s="357"/>
      <c r="BU61" s="357"/>
      <c r="BV61" s="357"/>
      <c r="BW61" s="357"/>
      <c r="BX61" s="357"/>
      <c r="BY61" s="357"/>
      <c r="BZ61" s="357"/>
      <c r="CA61" s="357"/>
      <c r="CB61" s="357"/>
      <c r="CC61" s="357"/>
      <c r="CD61" s="357"/>
      <c r="CE61" s="357"/>
      <c r="CF61" s="357"/>
      <c r="CG61" s="357"/>
      <c r="CH61" s="357"/>
      <c r="CI61" s="357"/>
      <c r="CJ61" s="357"/>
      <c r="CK61" s="357"/>
      <c r="CL61" s="357"/>
      <c r="CM61" s="357"/>
      <c r="CN61" s="357"/>
      <c r="CO61" s="357"/>
      <c r="CP61" s="357"/>
      <c r="CQ61" s="357"/>
      <c r="CR61" s="357"/>
      <c r="CS61" s="357"/>
      <c r="CT61" s="357"/>
      <c r="CU61" s="357"/>
      <c r="CV61" s="357"/>
      <c r="CW61" s="357"/>
      <c r="CX61" s="357"/>
      <c r="CY61" s="357"/>
      <c r="CZ61" s="357"/>
      <c r="DA61" s="357"/>
      <c r="DB61" s="357"/>
      <c r="DC61" s="357"/>
      <c r="DD61" s="357"/>
      <c r="DE61" s="357"/>
      <c r="DF61" s="357"/>
      <c r="DG61" s="357"/>
      <c r="DH61" s="357"/>
      <c r="DI61" s="357"/>
      <c r="DJ61" s="357"/>
      <c r="DK61" s="357"/>
      <c r="DL61" s="357"/>
      <c r="DM61" s="357"/>
      <c r="DN61" s="357"/>
      <c r="DO61" s="357"/>
      <c r="DP61" s="357"/>
      <c r="DQ61" s="357"/>
      <c r="DR61" s="357"/>
      <c r="DS61" s="357"/>
      <c r="DT61" s="357"/>
      <c r="DU61" s="357"/>
      <c r="DV61" s="357"/>
      <c r="DW61" s="357"/>
      <c r="DX61" s="357"/>
      <c r="DY61" s="357"/>
      <c r="DZ61" s="357"/>
      <c r="EA61" s="357"/>
      <c r="EB61" s="357"/>
      <c r="EC61" s="357"/>
      <c r="ED61" s="357"/>
      <c r="EE61" s="357"/>
      <c r="EF61" s="357"/>
      <c r="EG61" s="357"/>
      <c r="EH61" s="357"/>
      <c r="EI61" s="357"/>
      <c r="EJ61" s="357"/>
      <c r="EK61" s="357"/>
      <c r="EL61" s="357"/>
      <c r="EM61" s="357"/>
      <c r="EN61" s="358"/>
      <c r="EO61" s="331"/>
      <c r="EY61" s="9"/>
      <c r="EZ61" s="9"/>
    </row>
    <row r="62" spans="1:156" ht="105" x14ac:dyDescent="0.25">
      <c r="A62" s="192" t="s">
        <v>1300</v>
      </c>
      <c r="B62" s="176" t="s">
        <v>1126</v>
      </c>
      <c r="C62" s="176" t="s">
        <v>210</v>
      </c>
      <c r="D62" s="176" t="s">
        <v>1127</v>
      </c>
      <c r="E62" s="176"/>
      <c r="F62" s="177" t="s">
        <v>1286</v>
      </c>
      <c r="G62" s="266" t="s">
        <v>1461</v>
      </c>
      <c r="H62" s="267" t="s">
        <v>1443</v>
      </c>
      <c r="I62" s="268" t="s">
        <v>1497</v>
      </c>
      <c r="J62" s="296" t="s">
        <v>935</v>
      </c>
      <c r="K62" s="185" t="s">
        <v>1128</v>
      </c>
      <c r="L62" s="176" t="s">
        <v>948</v>
      </c>
      <c r="M62" s="332">
        <f>SUM(X62,AV62,BH62,BT62,CF62,CR62,DD62,DP62,EB62,EN62,EY62)</f>
        <v>37091753.21470274</v>
      </c>
      <c r="N62" s="332">
        <v>0</v>
      </c>
      <c r="O62" s="332">
        <v>0</v>
      </c>
      <c r="P62" s="332">
        <v>0</v>
      </c>
      <c r="Q62" s="332">
        <v>0</v>
      </c>
      <c r="R62" s="332">
        <v>0</v>
      </c>
      <c r="S62" s="332">
        <v>0</v>
      </c>
      <c r="T62" s="332">
        <v>0</v>
      </c>
      <c r="U62" s="332">
        <v>0</v>
      </c>
      <c r="V62" s="332">
        <v>0</v>
      </c>
      <c r="W62" s="332">
        <v>0</v>
      </c>
      <c r="X62" s="325">
        <f t="shared" ref="X62:X89" si="36">SUM(N62:W62)</f>
        <v>0</v>
      </c>
      <c r="Y62" s="329">
        <v>0</v>
      </c>
      <c r="Z62" s="329">
        <v>0</v>
      </c>
      <c r="AA62" s="329">
        <v>0</v>
      </c>
      <c r="AB62" s="329">
        <v>0</v>
      </c>
      <c r="AC62" s="329">
        <v>0</v>
      </c>
      <c r="AD62" s="329">
        <v>0</v>
      </c>
      <c r="AE62" s="329">
        <v>0</v>
      </c>
      <c r="AF62" s="329">
        <v>0</v>
      </c>
      <c r="AG62" s="329">
        <v>0</v>
      </c>
      <c r="AH62" s="329">
        <v>0</v>
      </c>
      <c r="AI62" s="329">
        <v>0</v>
      </c>
      <c r="AJ62" s="332">
        <f t="shared" ref="AJ62:AJ84" si="37">SUM(Y62:AI62)</f>
        <v>0</v>
      </c>
      <c r="AK62" s="332">
        <v>0</v>
      </c>
      <c r="AL62" s="332">
        <v>0</v>
      </c>
      <c r="AM62" s="332">
        <v>0</v>
      </c>
      <c r="AN62" s="332">
        <v>0</v>
      </c>
      <c r="AO62" s="332">
        <v>0</v>
      </c>
      <c r="AP62" s="332">
        <v>0</v>
      </c>
      <c r="AQ62" s="332">
        <v>0</v>
      </c>
      <c r="AR62" s="332">
        <v>0</v>
      </c>
      <c r="AS62" s="332">
        <v>0</v>
      </c>
      <c r="AT62" s="332">
        <v>0</v>
      </c>
      <c r="AU62" s="332">
        <v>0</v>
      </c>
      <c r="AV62" s="332">
        <f t="shared" ref="AV62:AV84" si="38">SUM(AK62:AU62)</f>
        <v>0</v>
      </c>
      <c r="AW62" s="333">
        <v>463646.91518378432</v>
      </c>
      <c r="AX62" s="332">
        <v>0</v>
      </c>
      <c r="AY62" s="332">
        <v>0</v>
      </c>
      <c r="AZ62" s="332">
        <v>0</v>
      </c>
      <c r="BA62" s="332">
        <v>0</v>
      </c>
      <c r="BB62" s="332">
        <v>0</v>
      </c>
      <c r="BC62" s="332">
        <v>0</v>
      </c>
      <c r="BD62" s="332">
        <v>0</v>
      </c>
      <c r="BE62" s="332">
        <v>0</v>
      </c>
      <c r="BF62" s="332">
        <v>0</v>
      </c>
      <c r="BG62" s="332">
        <v>0</v>
      </c>
      <c r="BH62" s="332">
        <f t="shared" ref="BH62:BH84" si="39">SUM(AW62:BG62)</f>
        <v>463646.91518378432</v>
      </c>
      <c r="BI62" s="332">
        <v>463646.91518378432</v>
      </c>
      <c r="BJ62" s="332">
        <v>0</v>
      </c>
      <c r="BK62" s="332">
        <v>0</v>
      </c>
      <c r="BL62" s="332">
        <v>0</v>
      </c>
      <c r="BM62" s="332">
        <v>0</v>
      </c>
      <c r="BN62" s="332">
        <v>0</v>
      </c>
      <c r="BO62" s="332">
        <v>0</v>
      </c>
      <c r="BP62" s="332">
        <v>0</v>
      </c>
      <c r="BQ62" s="332">
        <v>0</v>
      </c>
      <c r="BR62" s="332">
        <v>0</v>
      </c>
      <c r="BS62" s="332">
        <v>0</v>
      </c>
      <c r="BT62" s="332">
        <f t="shared" ref="BT62:BT84" si="40">SUM(BI62:BS62)</f>
        <v>463646.91518378432</v>
      </c>
      <c r="BU62" s="332">
        <v>463646.91518378432</v>
      </c>
      <c r="BV62" s="332">
        <v>0</v>
      </c>
      <c r="BW62" s="332">
        <v>0</v>
      </c>
      <c r="BX62" s="332">
        <v>0</v>
      </c>
      <c r="BY62" s="332">
        <v>0</v>
      </c>
      <c r="BZ62" s="332">
        <v>0</v>
      </c>
      <c r="CA62" s="332">
        <v>0</v>
      </c>
      <c r="CB62" s="332">
        <v>0</v>
      </c>
      <c r="CC62" s="332">
        <v>0</v>
      </c>
      <c r="CD62" s="332">
        <v>0</v>
      </c>
      <c r="CE62" s="332">
        <v>0</v>
      </c>
      <c r="CF62" s="332">
        <f t="shared" ref="CF62:CF84" si="41">SUM(BU62:CE62)</f>
        <v>463646.91518378432</v>
      </c>
      <c r="CG62" s="332">
        <v>463646.91518378432</v>
      </c>
      <c r="CH62" s="332">
        <v>0</v>
      </c>
      <c r="CI62" s="332">
        <v>0</v>
      </c>
      <c r="CJ62" s="332">
        <v>0</v>
      </c>
      <c r="CK62" s="332">
        <v>0</v>
      </c>
      <c r="CL62" s="332">
        <v>0</v>
      </c>
      <c r="CM62" s="332">
        <v>0</v>
      </c>
      <c r="CN62" s="332">
        <v>0</v>
      </c>
      <c r="CO62" s="332">
        <v>0</v>
      </c>
      <c r="CP62" s="332">
        <v>0</v>
      </c>
      <c r="CQ62" s="332">
        <v>0</v>
      </c>
      <c r="CR62" s="332">
        <f t="shared" ref="CR62:CR84" si="42">SUM(CG62:CQ62)</f>
        <v>463646.91518378432</v>
      </c>
      <c r="CS62" s="332">
        <v>11745721.851322534</v>
      </c>
      <c r="CT62" s="329">
        <v>0</v>
      </c>
      <c r="CU62" s="329">
        <v>0</v>
      </c>
      <c r="CV62" s="333">
        <v>0</v>
      </c>
      <c r="CW62" s="333">
        <v>0</v>
      </c>
      <c r="CX62" s="329">
        <v>0</v>
      </c>
      <c r="CY62" s="329">
        <v>0</v>
      </c>
      <c r="CZ62" s="329">
        <v>0</v>
      </c>
      <c r="DA62" s="329">
        <v>0</v>
      </c>
      <c r="DB62" s="333">
        <v>0</v>
      </c>
      <c r="DC62" s="329">
        <v>0</v>
      </c>
      <c r="DD62" s="332">
        <f t="shared" ref="DD62:DD84" si="43">SUM(CS62:DC62)</f>
        <v>11745721.851322534</v>
      </c>
      <c r="DE62" s="333">
        <v>11745721.851322534</v>
      </c>
      <c r="DF62" s="329">
        <v>0</v>
      </c>
      <c r="DG62" s="329">
        <v>0</v>
      </c>
      <c r="DH62" s="329">
        <v>0</v>
      </c>
      <c r="DI62" s="329">
        <v>0</v>
      </c>
      <c r="DJ62" s="329">
        <v>0</v>
      </c>
      <c r="DK62" s="329">
        <v>0</v>
      </c>
      <c r="DL62" s="329">
        <v>0</v>
      </c>
      <c r="DM62" s="329">
        <v>0</v>
      </c>
      <c r="DN62" s="329">
        <v>0</v>
      </c>
      <c r="DO62" s="329">
        <v>0</v>
      </c>
      <c r="DP62" s="329">
        <f t="shared" ref="DP62:DP84" si="44">SUM(DE62:DO62)</f>
        <v>11745721.851322534</v>
      </c>
      <c r="DQ62" s="333">
        <v>11745721.851322534</v>
      </c>
      <c r="DR62" s="329">
        <v>0</v>
      </c>
      <c r="DS62" s="329">
        <v>0</v>
      </c>
      <c r="DT62" s="329">
        <v>0</v>
      </c>
      <c r="DU62" s="329">
        <v>0</v>
      </c>
      <c r="DV62" s="329">
        <v>0</v>
      </c>
      <c r="DW62" s="329">
        <v>0</v>
      </c>
      <c r="DX62" s="329">
        <v>0</v>
      </c>
      <c r="DY62" s="329">
        <v>0</v>
      </c>
      <c r="DZ62" s="329">
        <v>0</v>
      </c>
      <c r="EA62" s="329">
        <v>0</v>
      </c>
      <c r="EB62" s="329">
        <f t="shared" ref="EB62:EB84" si="45">SUM(DQ62:EA62)</f>
        <v>11745721.851322534</v>
      </c>
      <c r="EC62" s="329">
        <v>0</v>
      </c>
      <c r="ED62" s="329">
        <v>0</v>
      </c>
      <c r="EE62" s="329">
        <v>0</v>
      </c>
      <c r="EF62" s="329">
        <v>0</v>
      </c>
      <c r="EG62" s="329">
        <v>0</v>
      </c>
      <c r="EH62" s="329">
        <v>0</v>
      </c>
      <c r="EI62" s="329">
        <v>0</v>
      </c>
      <c r="EJ62" s="329">
        <v>0</v>
      </c>
      <c r="EK62" s="329">
        <v>0</v>
      </c>
      <c r="EL62" s="329">
        <v>0</v>
      </c>
      <c r="EM62" s="329">
        <v>0</v>
      </c>
      <c r="EN62" s="330">
        <f t="shared" ref="EN62:EN84" si="46">SUM(EC62:EM62)</f>
        <v>0</v>
      </c>
      <c r="EO62" s="331">
        <v>14.058999999999999</v>
      </c>
      <c r="EP62" s="91"/>
      <c r="EQ62" s="91"/>
      <c r="ER62" s="91"/>
      <c r="ES62" s="91"/>
      <c r="ET62" s="91"/>
      <c r="EU62" s="91"/>
      <c r="EV62" s="91"/>
      <c r="EW62" s="91"/>
      <c r="EX62" s="91"/>
    </row>
    <row r="63" spans="1:156" s="32" customFormat="1" ht="144" x14ac:dyDescent="0.25">
      <c r="A63" s="301"/>
      <c r="B63" s="175" t="s">
        <v>657</v>
      </c>
      <c r="C63" s="175">
        <v>140</v>
      </c>
      <c r="D63" s="175" t="s">
        <v>1090</v>
      </c>
      <c r="E63" s="175" t="s">
        <v>1365</v>
      </c>
      <c r="F63" s="183" t="s">
        <v>336</v>
      </c>
      <c r="G63" s="269" t="s">
        <v>1440</v>
      </c>
      <c r="H63" s="270" t="s">
        <v>1441</v>
      </c>
      <c r="I63" s="271" t="s">
        <v>1485</v>
      </c>
      <c r="J63" s="296" t="s">
        <v>1279</v>
      </c>
      <c r="K63" s="175">
        <v>4.2</v>
      </c>
      <c r="L63" s="175" t="s">
        <v>1163</v>
      </c>
      <c r="M63" s="329">
        <f>SUM(X63,AV63,BH63,BT63,CF63,CR63,DD63,DP63,EB63,EN63,EY63)</f>
        <v>145272842</v>
      </c>
      <c r="N63" s="326">
        <v>0</v>
      </c>
      <c r="O63" s="326">
        <v>0</v>
      </c>
      <c r="P63" s="326">
        <v>0</v>
      </c>
      <c r="Q63" s="326">
        <v>0</v>
      </c>
      <c r="R63" s="326">
        <v>0</v>
      </c>
      <c r="S63" s="326">
        <v>0</v>
      </c>
      <c r="T63" s="326">
        <v>0</v>
      </c>
      <c r="U63" s="326">
        <v>0</v>
      </c>
      <c r="V63" s="326">
        <v>0</v>
      </c>
      <c r="W63" s="326">
        <v>0</v>
      </c>
      <c r="X63" s="326">
        <f t="shared" si="36"/>
        <v>0</v>
      </c>
      <c r="Y63" s="326">
        <v>0</v>
      </c>
      <c r="Z63" s="329">
        <v>0</v>
      </c>
      <c r="AA63" s="329">
        <v>0</v>
      </c>
      <c r="AB63" s="329">
        <v>0</v>
      </c>
      <c r="AC63" s="329">
        <v>0</v>
      </c>
      <c r="AD63" s="329">
        <v>0</v>
      </c>
      <c r="AE63" s="329">
        <v>0</v>
      </c>
      <c r="AF63" s="329">
        <v>0</v>
      </c>
      <c r="AG63" s="329">
        <v>0</v>
      </c>
      <c r="AH63" s="329">
        <v>0</v>
      </c>
      <c r="AI63" s="329">
        <v>0</v>
      </c>
      <c r="AJ63" s="326">
        <f t="shared" si="37"/>
        <v>0</v>
      </c>
      <c r="AK63" s="326">
        <v>0</v>
      </c>
      <c r="AL63" s="326">
        <v>0</v>
      </c>
      <c r="AM63" s="326">
        <v>0</v>
      </c>
      <c r="AN63" s="326">
        <v>0</v>
      </c>
      <c r="AO63" s="326">
        <v>0</v>
      </c>
      <c r="AP63" s="326">
        <v>0</v>
      </c>
      <c r="AQ63" s="326">
        <v>0</v>
      </c>
      <c r="AR63" s="326">
        <v>0</v>
      </c>
      <c r="AS63" s="326">
        <v>0</v>
      </c>
      <c r="AT63" s="326">
        <v>0</v>
      </c>
      <c r="AU63" s="326">
        <v>0</v>
      </c>
      <c r="AV63" s="326">
        <f t="shared" si="38"/>
        <v>0</v>
      </c>
      <c r="AW63" s="326">
        <v>0</v>
      </c>
      <c r="AX63" s="326">
        <v>0</v>
      </c>
      <c r="AY63" s="326">
        <v>0</v>
      </c>
      <c r="AZ63" s="326">
        <v>300000</v>
      </c>
      <c r="BA63" s="326">
        <v>54000</v>
      </c>
      <c r="BB63" s="326">
        <v>0</v>
      </c>
      <c r="BC63" s="326">
        <v>0</v>
      </c>
      <c r="BD63" s="326">
        <v>0</v>
      </c>
      <c r="BE63" s="326">
        <v>0</v>
      </c>
      <c r="BF63" s="326">
        <v>0</v>
      </c>
      <c r="BG63" s="326">
        <v>0</v>
      </c>
      <c r="BH63" s="326">
        <f t="shared" si="39"/>
        <v>354000</v>
      </c>
      <c r="BI63" s="326">
        <v>0</v>
      </c>
      <c r="BJ63" s="326">
        <v>0</v>
      </c>
      <c r="BK63" s="326">
        <v>0</v>
      </c>
      <c r="BL63" s="326">
        <v>2000000</v>
      </c>
      <c r="BM63" s="326">
        <v>360000</v>
      </c>
      <c r="BN63" s="326">
        <v>0</v>
      </c>
      <c r="BO63" s="326">
        <v>0</v>
      </c>
      <c r="BP63" s="326">
        <v>0</v>
      </c>
      <c r="BQ63" s="326">
        <v>0</v>
      </c>
      <c r="BR63" s="326">
        <v>0</v>
      </c>
      <c r="BS63" s="326">
        <v>0</v>
      </c>
      <c r="BT63" s="326">
        <f t="shared" si="40"/>
        <v>2360000</v>
      </c>
      <c r="BU63" s="326">
        <v>0</v>
      </c>
      <c r="BV63" s="326">
        <v>0</v>
      </c>
      <c r="BW63" s="326">
        <v>0</v>
      </c>
      <c r="BX63" s="326">
        <v>5154520</v>
      </c>
      <c r="BY63" s="326">
        <v>1131480</v>
      </c>
      <c r="BZ63" s="326">
        <v>0</v>
      </c>
      <c r="CA63" s="326">
        <v>0</v>
      </c>
      <c r="CB63" s="326">
        <v>0</v>
      </c>
      <c r="CC63" s="326">
        <v>0</v>
      </c>
      <c r="CD63" s="326">
        <v>0</v>
      </c>
      <c r="CE63" s="326">
        <v>0</v>
      </c>
      <c r="CF63" s="326">
        <f t="shared" si="41"/>
        <v>6286000</v>
      </c>
      <c r="CG63" s="329">
        <v>0</v>
      </c>
      <c r="CH63" s="329">
        <v>0</v>
      </c>
      <c r="CI63" s="329">
        <v>0</v>
      </c>
      <c r="CJ63" s="329">
        <v>37247910</v>
      </c>
      <c r="CK63" s="329">
        <v>8176370</v>
      </c>
      <c r="CL63" s="329">
        <v>0</v>
      </c>
      <c r="CM63" s="329">
        <v>0</v>
      </c>
      <c r="CN63" s="329">
        <v>0</v>
      </c>
      <c r="CO63" s="329">
        <v>0</v>
      </c>
      <c r="CP63" s="326">
        <v>0</v>
      </c>
      <c r="CQ63" s="329">
        <v>0</v>
      </c>
      <c r="CR63" s="326">
        <f t="shared" si="42"/>
        <v>45424280</v>
      </c>
      <c r="CS63" s="329">
        <v>0</v>
      </c>
      <c r="CT63" s="329">
        <v>0</v>
      </c>
      <c r="CU63" s="329">
        <v>0</v>
      </c>
      <c r="CV63" s="329">
        <v>37247910</v>
      </c>
      <c r="CW63" s="329">
        <v>8176371</v>
      </c>
      <c r="CX63" s="329">
        <v>0</v>
      </c>
      <c r="CY63" s="329">
        <v>0</v>
      </c>
      <c r="CZ63" s="329">
        <v>0</v>
      </c>
      <c r="DA63" s="329">
        <v>0</v>
      </c>
      <c r="DB63" s="329">
        <v>0</v>
      </c>
      <c r="DC63" s="329">
        <v>0</v>
      </c>
      <c r="DD63" s="326">
        <f t="shared" si="43"/>
        <v>45424281</v>
      </c>
      <c r="DE63" s="329">
        <v>0</v>
      </c>
      <c r="DF63" s="329">
        <v>0</v>
      </c>
      <c r="DG63" s="329">
        <v>0</v>
      </c>
      <c r="DH63" s="329">
        <v>37247910</v>
      </c>
      <c r="DI63" s="329">
        <v>8176371</v>
      </c>
      <c r="DJ63" s="329">
        <v>0</v>
      </c>
      <c r="DK63" s="329">
        <v>0</v>
      </c>
      <c r="DL63" s="329">
        <v>0</v>
      </c>
      <c r="DM63" s="329">
        <v>0</v>
      </c>
      <c r="DN63" s="329">
        <v>0</v>
      </c>
      <c r="DO63" s="329">
        <v>0</v>
      </c>
      <c r="DP63" s="326">
        <f t="shared" si="44"/>
        <v>45424281</v>
      </c>
      <c r="DQ63" s="329">
        <v>0</v>
      </c>
      <c r="DR63" s="329">
        <v>0</v>
      </c>
      <c r="DS63" s="329">
        <v>0</v>
      </c>
      <c r="DT63" s="329">
        <v>0</v>
      </c>
      <c r="DU63" s="329">
        <v>0</v>
      </c>
      <c r="DV63" s="329">
        <v>0</v>
      </c>
      <c r="DW63" s="329">
        <v>0</v>
      </c>
      <c r="DX63" s="329">
        <v>0</v>
      </c>
      <c r="DY63" s="329">
        <v>0</v>
      </c>
      <c r="DZ63" s="329">
        <v>0</v>
      </c>
      <c r="EA63" s="329">
        <v>0</v>
      </c>
      <c r="EB63" s="326">
        <f t="shared" si="45"/>
        <v>0</v>
      </c>
      <c r="EC63" s="329">
        <v>0</v>
      </c>
      <c r="ED63" s="329">
        <v>0</v>
      </c>
      <c r="EE63" s="329">
        <v>0</v>
      </c>
      <c r="EF63" s="329">
        <v>0</v>
      </c>
      <c r="EG63" s="329">
        <v>0</v>
      </c>
      <c r="EH63" s="329">
        <v>0</v>
      </c>
      <c r="EI63" s="329">
        <v>0</v>
      </c>
      <c r="EJ63" s="329">
        <v>0</v>
      </c>
      <c r="EK63" s="329">
        <v>0</v>
      </c>
      <c r="EL63" s="329">
        <v>0</v>
      </c>
      <c r="EM63" s="329">
        <v>0</v>
      </c>
      <c r="EN63" s="341">
        <f t="shared" si="46"/>
        <v>0</v>
      </c>
      <c r="EO63" s="331">
        <v>71.274000000000001</v>
      </c>
    </row>
    <row r="64" spans="1:156" ht="75" x14ac:dyDescent="0.25">
      <c r="A64" s="193"/>
      <c r="B64" s="176" t="s">
        <v>1474</v>
      </c>
      <c r="C64" s="176" t="s">
        <v>1475</v>
      </c>
      <c r="D64" s="176" t="s">
        <v>1093</v>
      </c>
      <c r="E64" s="176"/>
      <c r="F64" s="183" t="s">
        <v>1011</v>
      </c>
      <c r="G64" s="269" t="s">
        <v>1442</v>
      </c>
      <c r="H64" s="270" t="s">
        <v>1443</v>
      </c>
      <c r="I64" s="273" t="s">
        <v>1486</v>
      </c>
      <c r="J64" s="296" t="s">
        <v>1278</v>
      </c>
      <c r="K64" s="296" t="s">
        <v>1195</v>
      </c>
      <c r="L64" s="176" t="s">
        <v>1196</v>
      </c>
      <c r="M64" s="332">
        <f>SUM(X64,AJ64,AV64,BH64,BT64,CF64,CR64,DD64,DP64,EB64,EN64)</f>
        <v>68794000</v>
      </c>
      <c r="N64" s="332">
        <v>0</v>
      </c>
      <c r="O64" s="332">
        <v>0</v>
      </c>
      <c r="P64" s="332">
        <v>0</v>
      </c>
      <c r="Q64" s="332">
        <v>0</v>
      </c>
      <c r="R64" s="332">
        <v>0</v>
      </c>
      <c r="S64" s="332">
        <v>0</v>
      </c>
      <c r="T64" s="332">
        <v>0</v>
      </c>
      <c r="U64" s="332">
        <v>0</v>
      </c>
      <c r="V64" s="332">
        <v>0</v>
      </c>
      <c r="W64" s="332">
        <v>0</v>
      </c>
      <c r="X64" s="325">
        <f t="shared" si="36"/>
        <v>0</v>
      </c>
      <c r="Y64" s="332">
        <v>0</v>
      </c>
      <c r="Z64" s="332">
        <v>0</v>
      </c>
      <c r="AA64" s="332">
        <v>0</v>
      </c>
      <c r="AB64" s="332">
        <v>0</v>
      </c>
      <c r="AC64" s="332">
        <v>0</v>
      </c>
      <c r="AD64" s="332">
        <v>0</v>
      </c>
      <c r="AE64" s="332">
        <v>0</v>
      </c>
      <c r="AF64" s="332">
        <v>0</v>
      </c>
      <c r="AG64" s="332">
        <v>0</v>
      </c>
      <c r="AH64" s="332">
        <v>0</v>
      </c>
      <c r="AI64" s="332">
        <v>0</v>
      </c>
      <c r="AJ64" s="332">
        <f t="shared" si="37"/>
        <v>0</v>
      </c>
      <c r="AK64" s="332">
        <v>260000</v>
      </c>
      <c r="AL64" s="332">
        <v>0</v>
      </c>
      <c r="AM64" s="332">
        <v>0</v>
      </c>
      <c r="AN64" s="332">
        <v>0</v>
      </c>
      <c r="AO64" s="332">
        <v>0</v>
      </c>
      <c r="AP64" s="332">
        <v>0</v>
      </c>
      <c r="AQ64" s="332">
        <v>0</v>
      </c>
      <c r="AR64" s="332">
        <v>0</v>
      </c>
      <c r="AS64" s="332">
        <v>0</v>
      </c>
      <c r="AT64" s="332">
        <v>0</v>
      </c>
      <c r="AU64" s="332">
        <v>0</v>
      </c>
      <c r="AV64" s="332">
        <f t="shared" si="38"/>
        <v>260000</v>
      </c>
      <c r="AW64" s="332">
        <v>1500000</v>
      </c>
      <c r="AX64" s="332">
        <v>0</v>
      </c>
      <c r="AY64" s="332">
        <v>0</v>
      </c>
      <c r="AZ64" s="332">
        <v>0</v>
      </c>
      <c r="BA64" s="332">
        <v>0</v>
      </c>
      <c r="BB64" s="332">
        <v>0</v>
      </c>
      <c r="BC64" s="332">
        <v>0</v>
      </c>
      <c r="BD64" s="332">
        <v>0</v>
      </c>
      <c r="BE64" s="332">
        <v>0</v>
      </c>
      <c r="BF64" s="332">
        <v>0</v>
      </c>
      <c r="BG64" s="332">
        <v>0</v>
      </c>
      <c r="BH64" s="332">
        <f t="shared" si="39"/>
        <v>1500000</v>
      </c>
      <c r="BI64" s="332">
        <v>1500000</v>
      </c>
      <c r="BJ64" s="332">
        <v>0</v>
      </c>
      <c r="BK64" s="332">
        <v>0</v>
      </c>
      <c r="BL64" s="332">
        <v>0</v>
      </c>
      <c r="BM64" s="332">
        <v>0</v>
      </c>
      <c r="BN64" s="332">
        <v>0</v>
      </c>
      <c r="BO64" s="332">
        <v>0</v>
      </c>
      <c r="BP64" s="332">
        <v>0</v>
      </c>
      <c r="BQ64" s="332">
        <v>0</v>
      </c>
      <c r="BR64" s="332">
        <v>0</v>
      </c>
      <c r="BS64" s="332">
        <v>0</v>
      </c>
      <c r="BT64" s="332">
        <f t="shared" si="40"/>
        <v>1500000</v>
      </c>
      <c r="BU64" s="332">
        <v>634000</v>
      </c>
      <c r="BV64" s="332">
        <v>0</v>
      </c>
      <c r="BW64" s="332">
        <v>0</v>
      </c>
      <c r="BX64" s="332">
        <v>18388334</v>
      </c>
      <c r="BY64" s="332">
        <v>3245000</v>
      </c>
      <c r="BZ64" s="332">
        <v>0</v>
      </c>
      <c r="CA64" s="332">
        <v>0</v>
      </c>
      <c r="CB64" s="332">
        <v>0</v>
      </c>
      <c r="CC64" s="332">
        <v>0</v>
      </c>
      <c r="CD64" s="332">
        <v>0</v>
      </c>
      <c r="CE64" s="332">
        <v>0</v>
      </c>
      <c r="CF64" s="332">
        <f t="shared" si="41"/>
        <v>22267334</v>
      </c>
      <c r="CG64" s="359">
        <v>0</v>
      </c>
      <c r="CH64" s="329">
        <v>0</v>
      </c>
      <c r="CI64" s="329">
        <v>0</v>
      </c>
      <c r="CJ64" s="329">
        <v>18388333</v>
      </c>
      <c r="CK64" s="329">
        <v>3245000</v>
      </c>
      <c r="CL64" s="329">
        <v>0</v>
      </c>
      <c r="CM64" s="329">
        <v>0</v>
      </c>
      <c r="CN64" s="329">
        <v>0</v>
      </c>
      <c r="CO64" s="329">
        <v>0</v>
      </c>
      <c r="CP64" s="329">
        <v>0</v>
      </c>
      <c r="CQ64" s="329">
        <v>0</v>
      </c>
      <c r="CR64" s="332">
        <f t="shared" si="42"/>
        <v>21633333</v>
      </c>
      <c r="CS64" s="359">
        <v>0</v>
      </c>
      <c r="CT64" s="329">
        <v>0</v>
      </c>
      <c r="CU64" s="329">
        <v>0</v>
      </c>
      <c r="CV64" s="329">
        <v>18388333</v>
      </c>
      <c r="CW64" s="329">
        <v>3245000</v>
      </c>
      <c r="CX64" s="329">
        <v>0</v>
      </c>
      <c r="CY64" s="329">
        <v>0</v>
      </c>
      <c r="CZ64" s="329">
        <v>0</v>
      </c>
      <c r="DA64" s="329">
        <v>0</v>
      </c>
      <c r="DB64" s="329">
        <v>0</v>
      </c>
      <c r="DC64" s="329">
        <v>0</v>
      </c>
      <c r="DD64" s="329">
        <f t="shared" si="43"/>
        <v>21633333</v>
      </c>
      <c r="DE64" s="333">
        <v>0</v>
      </c>
      <c r="DF64" s="332">
        <v>0</v>
      </c>
      <c r="DG64" s="332">
        <v>0</v>
      </c>
      <c r="DH64" s="332">
        <v>0</v>
      </c>
      <c r="DI64" s="332">
        <v>0</v>
      </c>
      <c r="DJ64" s="332">
        <v>0</v>
      </c>
      <c r="DK64" s="332">
        <v>0</v>
      </c>
      <c r="DL64" s="332">
        <v>0</v>
      </c>
      <c r="DM64" s="332">
        <v>0</v>
      </c>
      <c r="DN64" s="332">
        <v>0</v>
      </c>
      <c r="DO64" s="332">
        <v>0</v>
      </c>
      <c r="DP64" s="329">
        <f t="shared" si="44"/>
        <v>0</v>
      </c>
      <c r="DQ64" s="332">
        <v>0</v>
      </c>
      <c r="DR64" s="332">
        <v>0</v>
      </c>
      <c r="DS64" s="332">
        <v>0</v>
      </c>
      <c r="DT64" s="332">
        <v>0</v>
      </c>
      <c r="DU64" s="332">
        <v>0</v>
      </c>
      <c r="DV64" s="332">
        <v>0</v>
      </c>
      <c r="DW64" s="332">
        <v>0</v>
      </c>
      <c r="DX64" s="332">
        <v>0</v>
      </c>
      <c r="DY64" s="332">
        <v>0</v>
      </c>
      <c r="DZ64" s="332">
        <v>0</v>
      </c>
      <c r="EA64" s="332">
        <v>0</v>
      </c>
      <c r="EB64" s="329">
        <f t="shared" si="45"/>
        <v>0</v>
      </c>
      <c r="EC64" s="332">
        <v>0</v>
      </c>
      <c r="ED64" s="332">
        <v>0</v>
      </c>
      <c r="EE64" s="332">
        <v>0</v>
      </c>
      <c r="EF64" s="332">
        <v>0</v>
      </c>
      <c r="EG64" s="332">
        <v>0</v>
      </c>
      <c r="EH64" s="332">
        <v>0</v>
      </c>
      <c r="EI64" s="332">
        <v>0</v>
      </c>
      <c r="EJ64" s="332">
        <v>0</v>
      </c>
      <c r="EK64" s="332">
        <v>0</v>
      </c>
      <c r="EL64" s="332">
        <v>0</v>
      </c>
      <c r="EM64" s="332">
        <v>0</v>
      </c>
      <c r="EN64" s="341">
        <f t="shared" si="46"/>
        <v>0</v>
      </c>
      <c r="EO64" s="331">
        <v>68.665999999999997</v>
      </c>
    </row>
    <row r="65" spans="1:156" s="105" customFormat="1" ht="48" x14ac:dyDescent="0.25">
      <c r="A65" s="193"/>
      <c r="B65" s="176" t="s">
        <v>860</v>
      </c>
      <c r="C65" s="176" t="s">
        <v>58</v>
      </c>
      <c r="D65" s="176" t="s">
        <v>1203</v>
      </c>
      <c r="E65" s="176"/>
      <c r="F65" s="177" t="s">
        <v>59</v>
      </c>
      <c r="G65" s="269" t="s">
        <v>1462</v>
      </c>
      <c r="H65" s="270" t="s">
        <v>1444</v>
      </c>
      <c r="I65" s="271" t="s">
        <v>1515</v>
      </c>
      <c r="J65" s="185" t="s">
        <v>934</v>
      </c>
      <c r="K65" s="185" t="s">
        <v>1111</v>
      </c>
      <c r="L65" s="185">
        <v>0</v>
      </c>
      <c r="M65" s="332">
        <v>45984326.182713799</v>
      </c>
      <c r="N65" s="332">
        <v>0</v>
      </c>
      <c r="O65" s="332">
        <v>0</v>
      </c>
      <c r="P65" s="332">
        <v>0</v>
      </c>
      <c r="Q65" s="332">
        <v>0</v>
      </c>
      <c r="R65" s="332">
        <v>0</v>
      </c>
      <c r="S65" s="332">
        <v>0</v>
      </c>
      <c r="T65" s="332">
        <v>0</v>
      </c>
      <c r="U65" s="332">
        <v>0</v>
      </c>
      <c r="V65" s="332">
        <v>0</v>
      </c>
      <c r="W65" s="332">
        <v>0</v>
      </c>
      <c r="X65" s="325">
        <f t="shared" si="36"/>
        <v>0</v>
      </c>
      <c r="Y65" s="332">
        <v>0</v>
      </c>
      <c r="Z65" s="332">
        <v>0</v>
      </c>
      <c r="AA65" s="332">
        <v>0</v>
      </c>
      <c r="AB65" s="332">
        <v>0</v>
      </c>
      <c r="AC65" s="332">
        <v>0</v>
      </c>
      <c r="AD65" s="332">
        <v>0</v>
      </c>
      <c r="AE65" s="332">
        <v>0</v>
      </c>
      <c r="AF65" s="332">
        <v>0</v>
      </c>
      <c r="AG65" s="332">
        <v>0</v>
      </c>
      <c r="AH65" s="332">
        <v>0</v>
      </c>
      <c r="AI65" s="332">
        <v>0</v>
      </c>
      <c r="AJ65" s="332">
        <f t="shared" si="37"/>
        <v>0</v>
      </c>
      <c r="AK65" s="332">
        <f>$M$65*0.05/5</f>
        <v>459843.26182713796</v>
      </c>
      <c r="AL65" s="332">
        <v>0</v>
      </c>
      <c r="AM65" s="332">
        <v>0</v>
      </c>
      <c r="AN65" s="332">
        <v>0</v>
      </c>
      <c r="AO65" s="332">
        <v>0</v>
      </c>
      <c r="AP65" s="332">
        <v>0</v>
      </c>
      <c r="AQ65" s="332">
        <v>0</v>
      </c>
      <c r="AR65" s="332">
        <v>0</v>
      </c>
      <c r="AS65" s="332">
        <v>0</v>
      </c>
      <c r="AT65" s="332">
        <v>0</v>
      </c>
      <c r="AU65" s="332">
        <v>0</v>
      </c>
      <c r="AV65" s="332">
        <f t="shared" si="38"/>
        <v>459843.26182713796</v>
      </c>
      <c r="AW65" s="332">
        <f>$M$65*0.05/5</f>
        <v>459843.26182713796</v>
      </c>
      <c r="AX65" s="332">
        <v>0</v>
      </c>
      <c r="AY65" s="332">
        <v>0</v>
      </c>
      <c r="AZ65" s="332">
        <v>0</v>
      </c>
      <c r="BA65" s="332">
        <v>0</v>
      </c>
      <c r="BB65" s="332">
        <v>0</v>
      </c>
      <c r="BC65" s="332">
        <v>0</v>
      </c>
      <c r="BD65" s="332">
        <v>0</v>
      </c>
      <c r="BE65" s="332">
        <v>0</v>
      </c>
      <c r="BF65" s="332">
        <v>0</v>
      </c>
      <c r="BG65" s="332">
        <v>0</v>
      </c>
      <c r="BH65" s="332">
        <f t="shared" si="39"/>
        <v>459843.26182713796</v>
      </c>
      <c r="BI65" s="332">
        <f>$M$65*0.05/5</f>
        <v>459843.26182713796</v>
      </c>
      <c r="BJ65" s="332">
        <v>0</v>
      </c>
      <c r="BK65" s="332">
        <v>0</v>
      </c>
      <c r="BL65" s="332">
        <v>0</v>
      </c>
      <c r="BM65" s="332">
        <v>0</v>
      </c>
      <c r="BN65" s="332">
        <v>0</v>
      </c>
      <c r="BO65" s="332">
        <v>0</v>
      </c>
      <c r="BP65" s="332">
        <v>0</v>
      </c>
      <c r="BQ65" s="332">
        <v>0</v>
      </c>
      <c r="BR65" s="332">
        <v>0</v>
      </c>
      <c r="BS65" s="332">
        <v>0</v>
      </c>
      <c r="BT65" s="332">
        <f t="shared" si="40"/>
        <v>459843.26182713796</v>
      </c>
      <c r="BU65" s="332">
        <f>$M$65*0.05/5</f>
        <v>459843.26182713796</v>
      </c>
      <c r="BV65" s="332">
        <v>0</v>
      </c>
      <c r="BW65" s="332">
        <v>0</v>
      </c>
      <c r="BX65" s="332">
        <v>0</v>
      </c>
      <c r="BY65" s="332">
        <v>0</v>
      </c>
      <c r="BZ65" s="332">
        <v>0</v>
      </c>
      <c r="CA65" s="332">
        <v>0</v>
      </c>
      <c r="CB65" s="332">
        <v>0</v>
      </c>
      <c r="CC65" s="332">
        <v>0</v>
      </c>
      <c r="CD65" s="332">
        <v>0</v>
      </c>
      <c r="CE65" s="332">
        <v>0</v>
      </c>
      <c r="CF65" s="332">
        <f t="shared" si="41"/>
        <v>459843.26182713796</v>
      </c>
      <c r="CG65" s="332">
        <f>$M$65*0.05/5</f>
        <v>459843.26182713796</v>
      </c>
      <c r="CH65" s="332">
        <v>0</v>
      </c>
      <c r="CI65" s="332">
        <v>0</v>
      </c>
      <c r="CJ65" s="332">
        <v>0</v>
      </c>
      <c r="CK65" s="332">
        <v>0</v>
      </c>
      <c r="CL65" s="332">
        <v>0</v>
      </c>
      <c r="CM65" s="332">
        <v>0</v>
      </c>
      <c r="CN65" s="332">
        <v>0</v>
      </c>
      <c r="CO65" s="332">
        <v>0</v>
      </c>
      <c r="CP65" s="332">
        <v>0</v>
      </c>
      <c r="CQ65" s="332">
        <v>0</v>
      </c>
      <c r="CR65" s="332">
        <f t="shared" si="42"/>
        <v>459843.26182713796</v>
      </c>
      <c r="CS65" s="333">
        <f>$M$65*0.95/3</f>
        <v>14561703.291192703</v>
      </c>
      <c r="CT65" s="332">
        <v>0</v>
      </c>
      <c r="CU65" s="332">
        <v>0</v>
      </c>
      <c r="CV65" s="332">
        <v>0</v>
      </c>
      <c r="CW65" s="332">
        <v>0</v>
      </c>
      <c r="CX65" s="332">
        <v>0</v>
      </c>
      <c r="CY65" s="332">
        <v>0</v>
      </c>
      <c r="CZ65" s="332">
        <v>0</v>
      </c>
      <c r="DA65" s="332">
        <v>0</v>
      </c>
      <c r="DB65" s="332">
        <v>0</v>
      </c>
      <c r="DC65" s="332">
        <v>0</v>
      </c>
      <c r="DD65" s="332">
        <f t="shared" si="43"/>
        <v>14561703.291192703</v>
      </c>
      <c r="DE65" s="333">
        <f>$M$65*0.95/3</f>
        <v>14561703.291192703</v>
      </c>
      <c r="DF65" s="332">
        <v>0</v>
      </c>
      <c r="DG65" s="332">
        <v>0</v>
      </c>
      <c r="DH65" s="332">
        <v>0</v>
      </c>
      <c r="DI65" s="332">
        <v>0</v>
      </c>
      <c r="DJ65" s="332">
        <v>0</v>
      </c>
      <c r="DK65" s="332">
        <v>0</v>
      </c>
      <c r="DL65" s="332">
        <v>0</v>
      </c>
      <c r="DM65" s="332">
        <v>0</v>
      </c>
      <c r="DN65" s="332">
        <v>0</v>
      </c>
      <c r="DO65" s="332">
        <v>0</v>
      </c>
      <c r="DP65" s="329">
        <f t="shared" si="44"/>
        <v>14561703.291192703</v>
      </c>
      <c r="DQ65" s="333">
        <f>$M$65*0.95/3</f>
        <v>14561703.291192703</v>
      </c>
      <c r="DR65" s="332">
        <v>0</v>
      </c>
      <c r="DS65" s="332">
        <v>0</v>
      </c>
      <c r="DT65" s="332">
        <v>0</v>
      </c>
      <c r="DU65" s="332">
        <v>0</v>
      </c>
      <c r="DV65" s="332">
        <v>0</v>
      </c>
      <c r="DW65" s="332">
        <v>0</v>
      </c>
      <c r="DX65" s="332">
        <v>0</v>
      </c>
      <c r="DY65" s="332">
        <v>0</v>
      </c>
      <c r="DZ65" s="332">
        <v>0</v>
      </c>
      <c r="EA65" s="332">
        <v>0</v>
      </c>
      <c r="EB65" s="329">
        <f t="shared" si="45"/>
        <v>14561703.291192703</v>
      </c>
      <c r="EC65" s="332">
        <v>0</v>
      </c>
      <c r="ED65" s="332">
        <v>0</v>
      </c>
      <c r="EE65" s="332">
        <v>0</v>
      </c>
      <c r="EF65" s="332">
        <v>0</v>
      </c>
      <c r="EG65" s="332">
        <v>0</v>
      </c>
      <c r="EH65" s="332">
        <v>0</v>
      </c>
      <c r="EI65" s="332">
        <v>0</v>
      </c>
      <c r="EJ65" s="332">
        <v>0</v>
      </c>
      <c r="EK65" s="332">
        <v>0</v>
      </c>
      <c r="EL65" s="332">
        <v>0</v>
      </c>
      <c r="EM65" s="332">
        <v>0</v>
      </c>
      <c r="EN65" s="341">
        <f t="shared" si="46"/>
        <v>0</v>
      </c>
      <c r="EO65" s="331">
        <v>13.987</v>
      </c>
    </row>
    <row r="66" spans="1:156" ht="60" x14ac:dyDescent="0.25">
      <c r="A66" s="193"/>
      <c r="B66" s="176" t="s">
        <v>1136</v>
      </c>
      <c r="C66" s="176" t="s">
        <v>70</v>
      </c>
      <c r="D66" s="176" t="s">
        <v>1133</v>
      </c>
      <c r="E66" s="176"/>
      <c r="F66" s="177" t="s">
        <v>71</v>
      </c>
      <c r="G66" s="269" t="s">
        <v>1463</v>
      </c>
      <c r="H66" s="270" t="s">
        <v>1445</v>
      </c>
      <c r="I66" s="271" t="s">
        <v>1483</v>
      </c>
      <c r="J66" s="185" t="s">
        <v>1115</v>
      </c>
      <c r="K66" s="185" t="s">
        <v>1134</v>
      </c>
      <c r="L66" s="185">
        <v>0</v>
      </c>
      <c r="M66" s="332">
        <v>37762565.039865501</v>
      </c>
      <c r="N66" s="332">
        <v>0</v>
      </c>
      <c r="O66" s="332">
        <v>0</v>
      </c>
      <c r="P66" s="332">
        <v>0</v>
      </c>
      <c r="Q66" s="332">
        <v>0</v>
      </c>
      <c r="R66" s="332">
        <v>0</v>
      </c>
      <c r="S66" s="332">
        <v>0</v>
      </c>
      <c r="T66" s="332">
        <v>0</v>
      </c>
      <c r="U66" s="332">
        <v>0</v>
      </c>
      <c r="V66" s="332">
        <v>0</v>
      </c>
      <c r="W66" s="332">
        <v>0</v>
      </c>
      <c r="X66" s="325">
        <f t="shared" si="36"/>
        <v>0</v>
      </c>
      <c r="Y66" s="332">
        <v>0</v>
      </c>
      <c r="Z66" s="332">
        <v>0</v>
      </c>
      <c r="AA66" s="332">
        <v>0</v>
      </c>
      <c r="AB66" s="332">
        <v>0</v>
      </c>
      <c r="AC66" s="332">
        <v>0</v>
      </c>
      <c r="AD66" s="332">
        <v>0</v>
      </c>
      <c r="AE66" s="332">
        <v>0</v>
      </c>
      <c r="AF66" s="332">
        <v>0</v>
      </c>
      <c r="AG66" s="332">
        <v>0</v>
      </c>
      <c r="AH66" s="332">
        <v>0</v>
      </c>
      <c r="AI66" s="332">
        <v>0</v>
      </c>
      <c r="AJ66" s="332">
        <f t="shared" si="37"/>
        <v>0</v>
      </c>
      <c r="AK66" s="332">
        <v>377625.65039865539</v>
      </c>
      <c r="AL66" s="332">
        <v>0</v>
      </c>
      <c r="AM66" s="332">
        <v>0</v>
      </c>
      <c r="AN66" s="332">
        <v>0</v>
      </c>
      <c r="AO66" s="332">
        <v>0</v>
      </c>
      <c r="AP66" s="332">
        <v>0</v>
      </c>
      <c r="AQ66" s="332">
        <v>0</v>
      </c>
      <c r="AR66" s="332">
        <v>0</v>
      </c>
      <c r="AS66" s="332">
        <v>0</v>
      </c>
      <c r="AT66" s="332">
        <v>0</v>
      </c>
      <c r="AU66" s="332">
        <v>0</v>
      </c>
      <c r="AV66" s="332">
        <f t="shared" si="38"/>
        <v>377625.65039865539</v>
      </c>
      <c r="AW66" s="332">
        <v>377625.65039865539</v>
      </c>
      <c r="AX66" s="332">
        <v>0</v>
      </c>
      <c r="AY66" s="332">
        <v>0</v>
      </c>
      <c r="AZ66" s="332">
        <v>0</v>
      </c>
      <c r="BA66" s="332">
        <v>0</v>
      </c>
      <c r="BB66" s="332">
        <v>0</v>
      </c>
      <c r="BC66" s="332">
        <v>0</v>
      </c>
      <c r="BD66" s="332">
        <v>0</v>
      </c>
      <c r="BE66" s="332">
        <v>0</v>
      </c>
      <c r="BF66" s="332">
        <v>0</v>
      </c>
      <c r="BG66" s="332">
        <v>0</v>
      </c>
      <c r="BH66" s="332">
        <f t="shared" si="39"/>
        <v>377625.65039865539</v>
      </c>
      <c r="BI66" s="332">
        <v>377625.65039865539</v>
      </c>
      <c r="BJ66" s="332">
        <v>0</v>
      </c>
      <c r="BK66" s="332">
        <v>0</v>
      </c>
      <c r="BL66" s="332">
        <v>0</v>
      </c>
      <c r="BM66" s="332">
        <v>0</v>
      </c>
      <c r="BN66" s="332">
        <v>0</v>
      </c>
      <c r="BO66" s="332">
        <v>0</v>
      </c>
      <c r="BP66" s="332">
        <v>0</v>
      </c>
      <c r="BQ66" s="332">
        <v>0</v>
      </c>
      <c r="BR66" s="332">
        <v>0</v>
      </c>
      <c r="BS66" s="332">
        <v>0</v>
      </c>
      <c r="BT66" s="332">
        <f t="shared" si="40"/>
        <v>377625.65039865539</v>
      </c>
      <c r="BU66" s="332">
        <v>377625.65039865539</v>
      </c>
      <c r="BV66" s="332">
        <v>0</v>
      </c>
      <c r="BW66" s="332">
        <v>0</v>
      </c>
      <c r="BX66" s="332">
        <v>0</v>
      </c>
      <c r="BY66" s="332">
        <v>0</v>
      </c>
      <c r="BZ66" s="332">
        <v>0</v>
      </c>
      <c r="CA66" s="332">
        <v>0</v>
      </c>
      <c r="CB66" s="332">
        <v>0</v>
      </c>
      <c r="CC66" s="332">
        <v>0</v>
      </c>
      <c r="CD66" s="332">
        <v>0</v>
      </c>
      <c r="CE66" s="332">
        <v>0</v>
      </c>
      <c r="CF66" s="332">
        <f t="shared" si="41"/>
        <v>377625.65039865539</v>
      </c>
      <c r="CG66" s="332">
        <v>377625.65039865539</v>
      </c>
      <c r="CH66" s="332">
        <v>0</v>
      </c>
      <c r="CI66" s="332">
        <v>0</v>
      </c>
      <c r="CJ66" s="332">
        <v>0</v>
      </c>
      <c r="CK66" s="332">
        <v>0</v>
      </c>
      <c r="CL66" s="332">
        <v>0</v>
      </c>
      <c r="CM66" s="332">
        <v>0</v>
      </c>
      <c r="CN66" s="332">
        <v>0</v>
      </c>
      <c r="CO66" s="332">
        <v>0</v>
      </c>
      <c r="CP66" s="332">
        <v>0</v>
      </c>
      <c r="CQ66" s="332">
        <v>0</v>
      </c>
      <c r="CR66" s="332">
        <f t="shared" si="42"/>
        <v>377625.65039865539</v>
      </c>
      <c r="CS66" s="333">
        <v>11958145.595957419</v>
      </c>
      <c r="CT66" s="332">
        <v>0</v>
      </c>
      <c r="CU66" s="332">
        <v>0</v>
      </c>
      <c r="CV66" s="332">
        <v>0</v>
      </c>
      <c r="CW66" s="332">
        <v>0</v>
      </c>
      <c r="CX66" s="332">
        <v>0</v>
      </c>
      <c r="CY66" s="332">
        <v>0</v>
      </c>
      <c r="CZ66" s="332">
        <v>0</v>
      </c>
      <c r="DA66" s="332">
        <v>0</v>
      </c>
      <c r="DB66" s="332">
        <v>0</v>
      </c>
      <c r="DC66" s="332">
        <v>0</v>
      </c>
      <c r="DD66" s="332">
        <f t="shared" si="43"/>
        <v>11958145.595957419</v>
      </c>
      <c r="DE66" s="333">
        <v>11958145.595957419</v>
      </c>
      <c r="DF66" s="332">
        <v>0</v>
      </c>
      <c r="DG66" s="332">
        <v>0</v>
      </c>
      <c r="DH66" s="332">
        <v>0</v>
      </c>
      <c r="DI66" s="332">
        <v>0</v>
      </c>
      <c r="DJ66" s="332">
        <v>0</v>
      </c>
      <c r="DK66" s="332">
        <v>0</v>
      </c>
      <c r="DL66" s="332">
        <v>0</v>
      </c>
      <c r="DM66" s="332">
        <v>0</v>
      </c>
      <c r="DN66" s="332">
        <v>0</v>
      </c>
      <c r="DO66" s="332">
        <v>0</v>
      </c>
      <c r="DP66" s="329">
        <f t="shared" si="44"/>
        <v>11958145.595957419</v>
      </c>
      <c r="DQ66" s="333">
        <v>11958145.595957419</v>
      </c>
      <c r="DR66" s="332">
        <v>0</v>
      </c>
      <c r="DS66" s="332">
        <v>0</v>
      </c>
      <c r="DT66" s="332">
        <v>0</v>
      </c>
      <c r="DU66" s="332">
        <v>0</v>
      </c>
      <c r="DV66" s="332">
        <v>0</v>
      </c>
      <c r="DW66" s="332">
        <v>0</v>
      </c>
      <c r="DX66" s="332">
        <v>0</v>
      </c>
      <c r="DY66" s="332">
        <v>0</v>
      </c>
      <c r="DZ66" s="332">
        <v>0</v>
      </c>
      <c r="EA66" s="332">
        <v>0</v>
      </c>
      <c r="EB66" s="329">
        <f t="shared" si="45"/>
        <v>11958145.595957419</v>
      </c>
      <c r="EC66" s="332">
        <v>0</v>
      </c>
      <c r="ED66" s="332">
        <v>0</v>
      </c>
      <c r="EE66" s="332">
        <v>0</v>
      </c>
      <c r="EF66" s="332">
        <v>0</v>
      </c>
      <c r="EG66" s="332">
        <v>0</v>
      </c>
      <c r="EH66" s="332">
        <v>0</v>
      </c>
      <c r="EI66" s="332">
        <v>0</v>
      </c>
      <c r="EJ66" s="332">
        <v>0</v>
      </c>
      <c r="EK66" s="332">
        <v>0</v>
      </c>
      <c r="EL66" s="332">
        <v>0</v>
      </c>
      <c r="EM66" s="332">
        <v>0</v>
      </c>
      <c r="EN66" s="341">
        <f t="shared" si="46"/>
        <v>0</v>
      </c>
      <c r="EO66" s="331">
        <v>21.408000000000001</v>
      </c>
    </row>
    <row r="67" spans="1:156" ht="48" x14ac:dyDescent="0.25">
      <c r="A67" s="319"/>
      <c r="B67" s="176" t="s">
        <v>861</v>
      </c>
      <c r="C67" s="176" t="s">
        <v>62</v>
      </c>
      <c r="D67" s="176" t="s">
        <v>1110</v>
      </c>
      <c r="E67" s="176"/>
      <c r="F67" s="177" t="s">
        <v>1314</v>
      </c>
      <c r="G67" s="269" t="s">
        <v>1461</v>
      </c>
      <c r="H67" s="270" t="s">
        <v>1443</v>
      </c>
      <c r="I67" s="271" t="s">
        <v>1503</v>
      </c>
      <c r="J67" s="185" t="s">
        <v>923</v>
      </c>
      <c r="K67" s="185">
        <v>8.6</v>
      </c>
      <c r="L67" s="185">
        <v>0</v>
      </c>
      <c r="M67" s="332">
        <v>108488055.14887901</v>
      </c>
      <c r="N67" s="332">
        <v>0</v>
      </c>
      <c r="O67" s="332">
        <v>0</v>
      </c>
      <c r="P67" s="332">
        <v>0</v>
      </c>
      <c r="Q67" s="332">
        <v>0</v>
      </c>
      <c r="R67" s="332">
        <v>0</v>
      </c>
      <c r="S67" s="332">
        <v>0</v>
      </c>
      <c r="T67" s="332">
        <v>0</v>
      </c>
      <c r="U67" s="332">
        <v>0</v>
      </c>
      <c r="V67" s="332">
        <v>0</v>
      </c>
      <c r="W67" s="332">
        <v>0</v>
      </c>
      <c r="X67" s="325">
        <f t="shared" si="36"/>
        <v>0</v>
      </c>
      <c r="Y67" s="332">
        <v>0</v>
      </c>
      <c r="Z67" s="332">
        <v>0</v>
      </c>
      <c r="AA67" s="332">
        <v>0</v>
      </c>
      <c r="AB67" s="332">
        <v>0</v>
      </c>
      <c r="AC67" s="332">
        <v>0</v>
      </c>
      <c r="AD67" s="332">
        <v>0</v>
      </c>
      <c r="AE67" s="332">
        <v>0</v>
      </c>
      <c r="AF67" s="332">
        <v>0</v>
      </c>
      <c r="AG67" s="332">
        <v>0</v>
      </c>
      <c r="AH67" s="332">
        <v>0</v>
      </c>
      <c r="AI67" s="332">
        <v>0</v>
      </c>
      <c r="AJ67" s="332">
        <f t="shared" si="37"/>
        <v>0</v>
      </c>
      <c r="AK67" s="332">
        <v>1084880.55</v>
      </c>
      <c r="AL67" s="332">
        <v>0</v>
      </c>
      <c r="AM67" s="332">
        <v>0</v>
      </c>
      <c r="AN67" s="332">
        <v>0</v>
      </c>
      <c r="AO67" s="332">
        <v>0</v>
      </c>
      <c r="AP67" s="332">
        <v>0</v>
      </c>
      <c r="AQ67" s="332">
        <v>0</v>
      </c>
      <c r="AR67" s="332">
        <v>0</v>
      </c>
      <c r="AS67" s="332">
        <v>0</v>
      </c>
      <c r="AT67" s="332">
        <v>0</v>
      </c>
      <c r="AU67" s="332">
        <v>0</v>
      </c>
      <c r="AV67" s="332">
        <f t="shared" si="38"/>
        <v>1084880.55</v>
      </c>
      <c r="AW67" s="332">
        <v>1084880.55</v>
      </c>
      <c r="AX67" s="332">
        <v>0</v>
      </c>
      <c r="AY67" s="332">
        <v>0</v>
      </c>
      <c r="AZ67" s="332">
        <v>0</v>
      </c>
      <c r="BA67" s="332">
        <v>0</v>
      </c>
      <c r="BB67" s="332">
        <v>0</v>
      </c>
      <c r="BC67" s="332">
        <v>0</v>
      </c>
      <c r="BD67" s="332">
        <v>0</v>
      </c>
      <c r="BE67" s="332">
        <v>0</v>
      </c>
      <c r="BF67" s="332">
        <v>0</v>
      </c>
      <c r="BG67" s="332">
        <v>0</v>
      </c>
      <c r="BH67" s="332">
        <f t="shared" si="39"/>
        <v>1084880.55</v>
      </c>
      <c r="BI67" s="332">
        <v>1084880.55</v>
      </c>
      <c r="BJ67" s="332">
        <v>0</v>
      </c>
      <c r="BK67" s="332">
        <v>0</v>
      </c>
      <c r="BL67" s="332">
        <v>0</v>
      </c>
      <c r="BM67" s="332">
        <v>0</v>
      </c>
      <c r="BN67" s="332">
        <v>0</v>
      </c>
      <c r="BO67" s="332">
        <v>0</v>
      </c>
      <c r="BP67" s="332">
        <v>0</v>
      </c>
      <c r="BQ67" s="332">
        <v>0</v>
      </c>
      <c r="BR67" s="332">
        <v>0</v>
      </c>
      <c r="BS67" s="332">
        <v>0</v>
      </c>
      <c r="BT67" s="332">
        <f t="shared" si="40"/>
        <v>1084880.55</v>
      </c>
      <c r="BU67" s="332">
        <v>1084880.55</v>
      </c>
      <c r="BV67" s="332">
        <v>0</v>
      </c>
      <c r="BW67" s="332">
        <v>0</v>
      </c>
      <c r="BX67" s="332">
        <v>0</v>
      </c>
      <c r="BY67" s="332">
        <v>0</v>
      </c>
      <c r="BZ67" s="332">
        <v>0</v>
      </c>
      <c r="CA67" s="332">
        <v>0</v>
      </c>
      <c r="CB67" s="332">
        <v>0</v>
      </c>
      <c r="CC67" s="332">
        <v>0</v>
      </c>
      <c r="CD67" s="332">
        <v>0</v>
      </c>
      <c r="CE67" s="332">
        <v>0</v>
      </c>
      <c r="CF67" s="332">
        <f t="shared" si="41"/>
        <v>1084880.55</v>
      </c>
      <c r="CG67" s="332">
        <v>1084880.55</v>
      </c>
      <c r="CH67" s="332">
        <v>0</v>
      </c>
      <c r="CI67" s="332">
        <v>0</v>
      </c>
      <c r="CJ67" s="332">
        <v>0</v>
      </c>
      <c r="CK67" s="332">
        <v>0</v>
      </c>
      <c r="CL67" s="332">
        <v>0</v>
      </c>
      <c r="CM67" s="332">
        <v>0</v>
      </c>
      <c r="CN67" s="332">
        <v>0</v>
      </c>
      <c r="CO67" s="332">
        <v>0</v>
      </c>
      <c r="CP67" s="332">
        <v>0</v>
      </c>
      <c r="CQ67" s="332">
        <v>0</v>
      </c>
      <c r="CR67" s="332">
        <f t="shared" si="42"/>
        <v>1084880.55</v>
      </c>
      <c r="CS67" s="333">
        <v>25765913.100000001</v>
      </c>
      <c r="CT67" s="332">
        <v>0</v>
      </c>
      <c r="CU67" s="332">
        <v>0</v>
      </c>
      <c r="CV67" s="332">
        <v>0</v>
      </c>
      <c r="CW67" s="332">
        <v>0</v>
      </c>
      <c r="CX67" s="332">
        <v>0</v>
      </c>
      <c r="CY67" s="332">
        <v>0</v>
      </c>
      <c r="CZ67" s="332">
        <v>0</v>
      </c>
      <c r="DA67" s="332">
        <v>0</v>
      </c>
      <c r="DB67" s="332">
        <v>0</v>
      </c>
      <c r="DC67" s="332">
        <v>0</v>
      </c>
      <c r="DD67" s="332">
        <f t="shared" si="43"/>
        <v>25765913.100000001</v>
      </c>
      <c r="DE67" s="333">
        <v>25765913.100000001</v>
      </c>
      <c r="DF67" s="332">
        <v>0</v>
      </c>
      <c r="DG67" s="332">
        <v>0</v>
      </c>
      <c r="DH67" s="332">
        <v>0</v>
      </c>
      <c r="DI67" s="332">
        <v>0</v>
      </c>
      <c r="DJ67" s="332">
        <v>0</v>
      </c>
      <c r="DK67" s="332">
        <v>0</v>
      </c>
      <c r="DL67" s="332">
        <v>0</v>
      </c>
      <c r="DM67" s="332">
        <v>0</v>
      </c>
      <c r="DN67" s="332">
        <v>0</v>
      </c>
      <c r="DO67" s="332">
        <v>0</v>
      </c>
      <c r="DP67" s="329">
        <f t="shared" si="44"/>
        <v>25765913.100000001</v>
      </c>
      <c r="DQ67" s="333">
        <v>25765913.100000001</v>
      </c>
      <c r="DR67" s="332">
        <v>0</v>
      </c>
      <c r="DS67" s="332">
        <v>0</v>
      </c>
      <c r="DT67" s="332">
        <v>0</v>
      </c>
      <c r="DU67" s="332">
        <v>0</v>
      </c>
      <c r="DV67" s="332">
        <v>0</v>
      </c>
      <c r="DW67" s="332">
        <v>0</v>
      </c>
      <c r="DX67" s="332">
        <v>0</v>
      </c>
      <c r="DY67" s="332">
        <v>0</v>
      </c>
      <c r="DZ67" s="332">
        <v>0</v>
      </c>
      <c r="EA67" s="332">
        <v>0</v>
      </c>
      <c r="EB67" s="329">
        <f t="shared" si="45"/>
        <v>25765913.100000001</v>
      </c>
      <c r="EC67" s="333">
        <v>25765913.100000001</v>
      </c>
      <c r="ED67" s="332">
        <v>0</v>
      </c>
      <c r="EE67" s="332">
        <v>0</v>
      </c>
      <c r="EF67" s="332">
        <v>0</v>
      </c>
      <c r="EG67" s="332">
        <v>0</v>
      </c>
      <c r="EH67" s="332">
        <v>0</v>
      </c>
      <c r="EI67" s="332">
        <v>0</v>
      </c>
      <c r="EJ67" s="332">
        <v>0</v>
      </c>
      <c r="EK67" s="332">
        <v>0</v>
      </c>
      <c r="EL67" s="332">
        <v>0</v>
      </c>
      <c r="EM67" s="332">
        <v>0</v>
      </c>
      <c r="EN67" s="341">
        <f t="shared" si="46"/>
        <v>25765913.100000001</v>
      </c>
      <c r="EO67" s="331">
        <v>32.341000000000001</v>
      </c>
    </row>
    <row r="68" spans="1:156" ht="60" x14ac:dyDescent="0.25">
      <c r="A68" s="193"/>
      <c r="B68" s="176" t="s">
        <v>863</v>
      </c>
      <c r="C68" s="176" t="s">
        <v>272</v>
      </c>
      <c r="D68" s="176" t="s">
        <v>1262</v>
      </c>
      <c r="E68" s="176"/>
      <c r="F68" s="177" t="s">
        <v>1264</v>
      </c>
      <c r="G68" s="269" t="s">
        <v>1461</v>
      </c>
      <c r="H68" s="270" t="s">
        <v>1443</v>
      </c>
      <c r="I68" s="271" t="s">
        <v>1508</v>
      </c>
      <c r="J68" s="185" t="s">
        <v>923</v>
      </c>
      <c r="K68" s="185">
        <v>8.1999999999999993</v>
      </c>
      <c r="L68" s="176" t="s">
        <v>1266</v>
      </c>
      <c r="M68" s="332">
        <v>76123773.8766177</v>
      </c>
      <c r="N68" s="332">
        <v>0</v>
      </c>
      <c r="O68" s="332">
        <v>0</v>
      </c>
      <c r="P68" s="332">
        <v>0</v>
      </c>
      <c r="Q68" s="332">
        <v>0</v>
      </c>
      <c r="R68" s="332">
        <v>0</v>
      </c>
      <c r="S68" s="332">
        <v>0</v>
      </c>
      <c r="T68" s="332">
        <v>0</v>
      </c>
      <c r="U68" s="332">
        <v>0</v>
      </c>
      <c r="V68" s="332">
        <v>0</v>
      </c>
      <c r="W68" s="332">
        <v>0</v>
      </c>
      <c r="X68" s="325">
        <f t="shared" si="36"/>
        <v>0</v>
      </c>
      <c r="Y68" s="332">
        <v>0</v>
      </c>
      <c r="Z68" s="332">
        <v>0</v>
      </c>
      <c r="AA68" s="332">
        <v>0</v>
      </c>
      <c r="AB68" s="332">
        <v>0</v>
      </c>
      <c r="AC68" s="332">
        <v>0</v>
      </c>
      <c r="AD68" s="332">
        <v>0</v>
      </c>
      <c r="AE68" s="332">
        <v>0</v>
      </c>
      <c r="AF68" s="332">
        <v>0</v>
      </c>
      <c r="AG68" s="332">
        <v>0</v>
      </c>
      <c r="AH68" s="332">
        <v>0</v>
      </c>
      <c r="AI68" s="332">
        <v>0</v>
      </c>
      <c r="AJ68" s="332">
        <f t="shared" si="37"/>
        <v>0</v>
      </c>
      <c r="AK68" s="329">
        <v>0</v>
      </c>
      <c r="AL68" s="329">
        <v>0</v>
      </c>
      <c r="AM68" s="329">
        <v>0</v>
      </c>
      <c r="AN68" s="329">
        <v>0</v>
      </c>
      <c r="AO68" s="329">
        <v>0</v>
      </c>
      <c r="AP68" s="329">
        <v>0</v>
      </c>
      <c r="AQ68" s="329">
        <v>0</v>
      </c>
      <c r="AR68" s="329">
        <v>0</v>
      </c>
      <c r="AS68" s="329">
        <v>0</v>
      </c>
      <c r="AT68" s="329">
        <v>0</v>
      </c>
      <c r="AU68" s="329">
        <v>0</v>
      </c>
      <c r="AV68" s="329">
        <f t="shared" si="38"/>
        <v>0</v>
      </c>
      <c r="AW68" s="332">
        <v>951547.17</v>
      </c>
      <c r="AX68" s="332">
        <v>0</v>
      </c>
      <c r="AY68" s="332">
        <v>0</v>
      </c>
      <c r="AZ68" s="332">
        <v>0</v>
      </c>
      <c r="BA68" s="332">
        <v>0</v>
      </c>
      <c r="BB68" s="332">
        <v>0</v>
      </c>
      <c r="BC68" s="332">
        <v>0</v>
      </c>
      <c r="BD68" s="332">
        <v>0</v>
      </c>
      <c r="BE68" s="332">
        <v>0</v>
      </c>
      <c r="BF68" s="332">
        <v>0</v>
      </c>
      <c r="BG68" s="332">
        <v>0</v>
      </c>
      <c r="BH68" s="332">
        <f t="shared" si="39"/>
        <v>951547.17</v>
      </c>
      <c r="BI68" s="332">
        <v>951547.17</v>
      </c>
      <c r="BJ68" s="332">
        <v>0</v>
      </c>
      <c r="BK68" s="332">
        <v>0</v>
      </c>
      <c r="BL68" s="332">
        <v>0</v>
      </c>
      <c r="BM68" s="332">
        <v>0</v>
      </c>
      <c r="BN68" s="332">
        <v>0</v>
      </c>
      <c r="BO68" s="332">
        <v>0</v>
      </c>
      <c r="BP68" s="332">
        <v>0</v>
      </c>
      <c r="BQ68" s="332">
        <v>0</v>
      </c>
      <c r="BR68" s="332">
        <v>0</v>
      </c>
      <c r="BS68" s="332">
        <v>0</v>
      </c>
      <c r="BT68" s="332">
        <f t="shared" si="40"/>
        <v>951547.17</v>
      </c>
      <c r="BU68" s="332">
        <v>951547.17</v>
      </c>
      <c r="BV68" s="332">
        <v>0</v>
      </c>
      <c r="BW68" s="332">
        <v>0</v>
      </c>
      <c r="BX68" s="332">
        <v>0</v>
      </c>
      <c r="BY68" s="332">
        <v>0</v>
      </c>
      <c r="BZ68" s="332">
        <v>0</v>
      </c>
      <c r="CA68" s="332">
        <v>0</v>
      </c>
      <c r="CB68" s="332">
        <v>0</v>
      </c>
      <c r="CC68" s="332">
        <v>0</v>
      </c>
      <c r="CD68" s="332">
        <v>0</v>
      </c>
      <c r="CE68" s="332">
        <v>0</v>
      </c>
      <c r="CF68" s="332">
        <f t="shared" si="41"/>
        <v>951547.17</v>
      </c>
      <c r="CG68" s="332">
        <v>951547.17</v>
      </c>
      <c r="CH68" s="332">
        <v>0</v>
      </c>
      <c r="CI68" s="332">
        <v>0</v>
      </c>
      <c r="CJ68" s="332">
        <v>0</v>
      </c>
      <c r="CK68" s="332">
        <v>0</v>
      </c>
      <c r="CL68" s="332">
        <v>0</v>
      </c>
      <c r="CM68" s="332">
        <v>0</v>
      </c>
      <c r="CN68" s="332">
        <v>0</v>
      </c>
      <c r="CO68" s="332">
        <v>0</v>
      </c>
      <c r="CP68" s="332">
        <v>0</v>
      </c>
      <c r="CQ68" s="332">
        <v>0</v>
      </c>
      <c r="CR68" s="332">
        <f t="shared" si="42"/>
        <v>951547.17</v>
      </c>
      <c r="CS68" s="332">
        <v>24105861.73</v>
      </c>
      <c r="CT68" s="332">
        <v>0</v>
      </c>
      <c r="CU68" s="332">
        <v>0</v>
      </c>
      <c r="CV68" s="332">
        <v>0</v>
      </c>
      <c r="CW68" s="332">
        <v>0</v>
      </c>
      <c r="CX68" s="332">
        <v>0</v>
      </c>
      <c r="CY68" s="332">
        <v>0</v>
      </c>
      <c r="CZ68" s="332">
        <v>0</v>
      </c>
      <c r="DA68" s="332">
        <v>0</v>
      </c>
      <c r="DB68" s="332">
        <v>0</v>
      </c>
      <c r="DC68" s="332">
        <v>0</v>
      </c>
      <c r="DD68" s="332">
        <f t="shared" si="43"/>
        <v>24105861.73</v>
      </c>
      <c r="DE68" s="332">
        <v>24105861.73</v>
      </c>
      <c r="DF68" s="332">
        <v>0</v>
      </c>
      <c r="DG68" s="332">
        <v>0</v>
      </c>
      <c r="DH68" s="332">
        <v>0</v>
      </c>
      <c r="DI68" s="332">
        <v>0</v>
      </c>
      <c r="DJ68" s="332">
        <v>0</v>
      </c>
      <c r="DK68" s="332">
        <v>0</v>
      </c>
      <c r="DL68" s="332">
        <v>0</v>
      </c>
      <c r="DM68" s="332">
        <v>0</v>
      </c>
      <c r="DN68" s="332">
        <v>0</v>
      </c>
      <c r="DO68" s="332">
        <v>0</v>
      </c>
      <c r="DP68" s="332">
        <f t="shared" si="44"/>
        <v>24105861.73</v>
      </c>
      <c r="DQ68" s="332">
        <v>24105861.73</v>
      </c>
      <c r="DR68" s="332">
        <v>0</v>
      </c>
      <c r="DS68" s="332">
        <v>0</v>
      </c>
      <c r="DT68" s="332">
        <v>0</v>
      </c>
      <c r="DU68" s="332">
        <v>0</v>
      </c>
      <c r="DV68" s="332">
        <v>0</v>
      </c>
      <c r="DW68" s="332">
        <v>0</v>
      </c>
      <c r="DX68" s="332">
        <v>0</v>
      </c>
      <c r="DY68" s="332">
        <v>0</v>
      </c>
      <c r="DZ68" s="332">
        <v>0</v>
      </c>
      <c r="EA68" s="332">
        <v>0</v>
      </c>
      <c r="EB68" s="332">
        <f t="shared" si="45"/>
        <v>24105861.73</v>
      </c>
      <c r="EC68" s="332">
        <v>0</v>
      </c>
      <c r="ED68" s="332">
        <v>0</v>
      </c>
      <c r="EE68" s="332">
        <v>0</v>
      </c>
      <c r="EF68" s="332">
        <v>0</v>
      </c>
      <c r="EG68" s="332">
        <v>0</v>
      </c>
      <c r="EH68" s="332">
        <v>0</v>
      </c>
      <c r="EI68" s="332">
        <v>0</v>
      </c>
      <c r="EJ68" s="332">
        <v>0</v>
      </c>
      <c r="EK68" s="332">
        <v>0</v>
      </c>
      <c r="EL68" s="332">
        <v>0</v>
      </c>
      <c r="EM68" s="332">
        <v>0</v>
      </c>
      <c r="EN68" s="341">
        <f t="shared" si="46"/>
        <v>0</v>
      </c>
      <c r="EO68" s="331">
        <v>26.14</v>
      </c>
      <c r="EP68" s="89"/>
      <c r="EQ68" s="89"/>
      <c r="ER68" s="89"/>
      <c r="ES68" s="89"/>
      <c r="ET68" s="89"/>
      <c r="EU68" s="89"/>
      <c r="EV68" s="89"/>
      <c r="EW68" s="89"/>
      <c r="EX68" s="89"/>
    </row>
    <row r="69" spans="1:156" ht="60" x14ac:dyDescent="0.25">
      <c r="A69" s="193"/>
      <c r="B69" s="176" t="s">
        <v>864</v>
      </c>
      <c r="C69" s="176" t="s">
        <v>274</v>
      </c>
      <c r="D69" s="176" t="s">
        <v>1263</v>
      </c>
      <c r="E69" s="176"/>
      <c r="F69" s="177" t="s">
        <v>1265</v>
      </c>
      <c r="G69" s="269" t="s">
        <v>1461</v>
      </c>
      <c r="H69" s="270" t="s">
        <v>1443</v>
      </c>
      <c r="I69" s="271" t="s">
        <v>1516</v>
      </c>
      <c r="J69" s="185" t="s">
        <v>923</v>
      </c>
      <c r="K69" s="185">
        <v>6.5</v>
      </c>
      <c r="L69" s="176" t="s">
        <v>1266</v>
      </c>
      <c r="M69" s="332">
        <v>75287054.99708873</v>
      </c>
      <c r="N69" s="332">
        <v>0</v>
      </c>
      <c r="O69" s="332">
        <v>0</v>
      </c>
      <c r="P69" s="332">
        <v>0</v>
      </c>
      <c r="Q69" s="332">
        <v>0</v>
      </c>
      <c r="R69" s="332">
        <v>0</v>
      </c>
      <c r="S69" s="332">
        <v>0</v>
      </c>
      <c r="T69" s="332">
        <v>0</v>
      </c>
      <c r="U69" s="332">
        <v>0</v>
      </c>
      <c r="V69" s="332">
        <v>0</v>
      </c>
      <c r="W69" s="332">
        <v>0</v>
      </c>
      <c r="X69" s="325">
        <f t="shared" si="36"/>
        <v>0</v>
      </c>
      <c r="Y69" s="332">
        <v>0</v>
      </c>
      <c r="Z69" s="332">
        <v>0</v>
      </c>
      <c r="AA69" s="332">
        <v>0</v>
      </c>
      <c r="AB69" s="332">
        <v>0</v>
      </c>
      <c r="AC69" s="332">
        <v>0</v>
      </c>
      <c r="AD69" s="332">
        <v>0</v>
      </c>
      <c r="AE69" s="332">
        <v>0</v>
      </c>
      <c r="AF69" s="332">
        <v>0</v>
      </c>
      <c r="AG69" s="332">
        <v>0</v>
      </c>
      <c r="AH69" s="332">
        <v>0</v>
      </c>
      <c r="AI69" s="332">
        <v>0</v>
      </c>
      <c r="AJ69" s="332">
        <f t="shared" si="37"/>
        <v>0</v>
      </c>
      <c r="AK69" s="329">
        <v>0</v>
      </c>
      <c r="AL69" s="329">
        <v>0</v>
      </c>
      <c r="AM69" s="329">
        <v>0</v>
      </c>
      <c r="AN69" s="329">
        <v>0</v>
      </c>
      <c r="AO69" s="329">
        <v>0</v>
      </c>
      <c r="AP69" s="329">
        <v>0</v>
      </c>
      <c r="AQ69" s="329">
        <v>0</v>
      </c>
      <c r="AR69" s="329">
        <v>0</v>
      </c>
      <c r="AS69" s="329">
        <v>0</v>
      </c>
      <c r="AT69" s="329">
        <v>0</v>
      </c>
      <c r="AU69" s="329">
        <v>0</v>
      </c>
      <c r="AV69" s="329">
        <f t="shared" si="38"/>
        <v>0</v>
      </c>
      <c r="AW69" s="332">
        <v>941088.19</v>
      </c>
      <c r="AX69" s="332">
        <v>0</v>
      </c>
      <c r="AY69" s="332">
        <v>0</v>
      </c>
      <c r="AZ69" s="332">
        <v>0</v>
      </c>
      <c r="BA69" s="332">
        <v>0</v>
      </c>
      <c r="BB69" s="332">
        <v>0</v>
      </c>
      <c r="BC69" s="332">
        <v>0</v>
      </c>
      <c r="BD69" s="332">
        <v>0</v>
      </c>
      <c r="BE69" s="332">
        <v>0</v>
      </c>
      <c r="BF69" s="332">
        <v>0</v>
      </c>
      <c r="BG69" s="332">
        <v>0</v>
      </c>
      <c r="BH69" s="332">
        <f t="shared" si="39"/>
        <v>941088.19</v>
      </c>
      <c r="BI69" s="332">
        <v>941088.19</v>
      </c>
      <c r="BJ69" s="332">
        <v>0</v>
      </c>
      <c r="BK69" s="332">
        <v>0</v>
      </c>
      <c r="BL69" s="332">
        <v>0</v>
      </c>
      <c r="BM69" s="332">
        <v>0</v>
      </c>
      <c r="BN69" s="332">
        <v>0</v>
      </c>
      <c r="BO69" s="332">
        <v>0</v>
      </c>
      <c r="BP69" s="332">
        <v>0</v>
      </c>
      <c r="BQ69" s="332">
        <v>0</v>
      </c>
      <c r="BR69" s="332">
        <v>0</v>
      </c>
      <c r="BS69" s="332">
        <v>0</v>
      </c>
      <c r="BT69" s="332">
        <f t="shared" si="40"/>
        <v>941088.19</v>
      </c>
      <c r="BU69" s="332">
        <v>941088.19</v>
      </c>
      <c r="BV69" s="332">
        <v>0</v>
      </c>
      <c r="BW69" s="332">
        <v>0</v>
      </c>
      <c r="BX69" s="332">
        <v>0</v>
      </c>
      <c r="BY69" s="332">
        <v>0</v>
      </c>
      <c r="BZ69" s="332">
        <v>0</v>
      </c>
      <c r="CA69" s="332">
        <v>0</v>
      </c>
      <c r="CB69" s="332">
        <v>0</v>
      </c>
      <c r="CC69" s="332">
        <v>0</v>
      </c>
      <c r="CD69" s="332">
        <v>0</v>
      </c>
      <c r="CE69" s="332">
        <v>0</v>
      </c>
      <c r="CF69" s="332">
        <f t="shared" si="41"/>
        <v>941088.19</v>
      </c>
      <c r="CG69" s="332">
        <v>941088.19</v>
      </c>
      <c r="CH69" s="332">
        <v>0</v>
      </c>
      <c r="CI69" s="332">
        <v>0</v>
      </c>
      <c r="CJ69" s="332">
        <v>0</v>
      </c>
      <c r="CK69" s="332">
        <v>0</v>
      </c>
      <c r="CL69" s="332">
        <v>0</v>
      </c>
      <c r="CM69" s="332">
        <v>0</v>
      </c>
      <c r="CN69" s="332">
        <v>0</v>
      </c>
      <c r="CO69" s="332">
        <v>0</v>
      </c>
      <c r="CP69" s="332">
        <v>0</v>
      </c>
      <c r="CQ69" s="332">
        <v>0</v>
      </c>
      <c r="CR69" s="332">
        <f t="shared" si="42"/>
        <v>941088.19</v>
      </c>
      <c r="CS69" s="332">
        <v>23840900.75</v>
      </c>
      <c r="CT69" s="332">
        <v>0</v>
      </c>
      <c r="CU69" s="332">
        <v>0</v>
      </c>
      <c r="CV69" s="332">
        <v>0</v>
      </c>
      <c r="CW69" s="332">
        <v>0</v>
      </c>
      <c r="CX69" s="332">
        <v>0</v>
      </c>
      <c r="CY69" s="332">
        <v>0</v>
      </c>
      <c r="CZ69" s="332">
        <v>0</v>
      </c>
      <c r="DA69" s="332">
        <v>0</v>
      </c>
      <c r="DB69" s="332">
        <v>0</v>
      </c>
      <c r="DC69" s="332">
        <v>0</v>
      </c>
      <c r="DD69" s="332">
        <f t="shared" si="43"/>
        <v>23840900.75</v>
      </c>
      <c r="DE69" s="332">
        <v>23840900.75</v>
      </c>
      <c r="DF69" s="332">
        <v>0</v>
      </c>
      <c r="DG69" s="332">
        <v>0</v>
      </c>
      <c r="DH69" s="332">
        <v>0</v>
      </c>
      <c r="DI69" s="332">
        <v>0</v>
      </c>
      <c r="DJ69" s="332">
        <v>0</v>
      </c>
      <c r="DK69" s="332">
        <v>0</v>
      </c>
      <c r="DL69" s="332">
        <v>0</v>
      </c>
      <c r="DM69" s="332">
        <v>0</v>
      </c>
      <c r="DN69" s="332">
        <v>0</v>
      </c>
      <c r="DO69" s="332">
        <v>0</v>
      </c>
      <c r="DP69" s="332">
        <f t="shared" si="44"/>
        <v>23840900.75</v>
      </c>
      <c r="DQ69" s="332">
        <v>23840900.75</v>
      </c>
      <c r="DR69" s="332">
        <v>0</v>
      </c>
      <c r="DS69" s="332">
        <v>0</v>
      </c>
      <c r="DT69" s="332">
        <v>0</v>
      </c>
      <c r="DU69" s="332">
        <v>0</v>
      </c>
      <c r="DV69" s="332">
        <v>0</v>
      </c>
      <c r="DW69" s="332">
        <v>0</v>
      </c>
      <c r="DX69" s="332">
        <v>0</v>
      </c>
      <c r="DY69" s="332">
        <v>0</v>
      </c>
      <c r="DZ69" s="332">
        <v>0</v>
      </c>
      <c r="EA69" s="332">
        <v>0</v>
      </c>
      <c r="EB69" s="332">
        <f t="shared" si="45"/>
        <v>23840900.75</v>
      </c>
      <c r="EC69" s="332">
        <v>0</v>
      </c>
      <c r="ED69" s="332">
        <v>0</v>
      </c>
      <c r="EE69" s="332">
        <v>0</v>
      </c>
      <c r="EF69" s="332">
        <v>0</v>
      </c>
      <c r="EG69" s="332">
        <v>0</v>
      </c>
      <c r="EH69" s="332">
        <v>0</v>
      </c>
      <c r="EI69" s="332">
        <v>0</v>
      </c>
      <c r="EJ69" s="332">
        <v>0</v>
      </c>
      <c r="EK69" s="332">
        <v>0</v>
      </c>
      <c r="EL69" s="332">
        <v>0</v>
      </c>
      <c r="EM69" s="332">
        <v>0</v>
      </c>
      <c r="EN69" s="341">
        <f t="shared" si="46"/>
        <v>0</v>
      </c>
      <c r="EO69" s="331">
        <v>15.885</v>
      </c>
      <c r="EP69" s="89"/>
      <c r="EQ69" s="89"/>
      <c r="ER69" s="89"/>
      <c r="ES69" s="89"/>
      <c r="ET69" s="89"/>
      <c r="EU69" s="89"/>
      <c r="EV69" s="89"/>
      <c r="EW69" s="89"/>
      <c r="EX69" s="89"/>
    </row>
    <row r="70" spans="1:156" s="105" customFormat="1" ht="60" x14ac:dyDescent="0.25">
      <c r="A70" s="193"/>
      <c r="B70" s="176" t="s">
        <v>1135</v>
      </c>
      <c r="C70" s="176" t="s">
        <v>72</v>
      </c>
      <c r="D70" s="176" t="s">
        <v>1131</v>
      </c>
      <c r="E70" s="176"/>
      <c r="F70" s="177" t="s">
        <v>73</v>
      </c>
      <c r="G70" s="269" t="s">
        <v>1461</v>
      </c>
      <c r="H70" s="270" t="s">
        <v>1443</v>
      </c>
      <c r="I70" s="271" t="s">
        <v>1487</v>
      </c>
      <c r="J70" s="185" t="s">
        <v>923</v>
      </c>
      <c r="K70" s="185" t="s">
        <v>1132</v>
      </c>
      <c r="L70" s="176">
        <v>0</v>
      </c>
      <c r="M70" s="332">
        <v>36967214.608133666</v>
      </c>
      <c r="N70" s="332">
        <v>0</v>
      </c>
      <c r="O70" s="332">
        <v>0</v>
      </c>
      <c r="P70" s="332">
        <v>0</v>
      </c>
      <c r="Q70" s="332">
        <v>0</v>
      </c>
      <c r="R70" s="332">
        <v>0</v>
      </c>
      <c r="S70" s="332">
        <v>0</v>
      </c>
      <c r="T70" s="332">
        <v>0</v>
      </c>
      <c r="U70" s="332">
        <v>0</v>
      </c>
      <c r="V70" s="332">
        <v>0</v>
      </c>
      <c r="W70" s="332">
        <v>0</v>
      </c>
      <c r="X70" s="325">
        <f t="shared" si="36"/>
        <v>0</v>
      </c>
      <c r="Y70" s="332">
        <v>0</v>
      </c>
      <c r="Z70" s="332">
        <v>0</v>
      </c>
      <c r="AA70" s="332">
        <v>0</v>
      </c>
      <c r="AB70" s="332">
        <v>0</v>
      </c>
      <c r="AC70" s="332">
        <v>0</v>
      </c>
      <c r="AD70" s="332">
        <v>0</v>
      </c>
      <c r="AE70" s="332">
        <v>0</v>
      </c>
      <c r="AF70" s="332">
        <v>0</v>
      </c>
      <c r="AG70" s="332">
        <v>0</v>
      </c>
      <c r="AH70" s="332">
        <v>0</v>
      </c>
      <c r="AI70" s="332">
        <v>0</v>
      </c>
      <c r="AJ70" s="332">
        <f t="shared" si="37"/>
        <v>0</v>
      </c>
      <c r="AK70" s="332">
        <v>369672.14608133672</v>
      </c>
      <c r="AL70" s="332">
        <v>0</v>
      </c>
      <c r="AM70" s="332">
        <v>0</v>
      </c>
      <c r="AN70" s="332">
        <v>0</v>
      </c>
      <c r="AO70" s="332">
        <v>0</v>
      </c>
      <c r="AP70" s="332">
        <v>0</v>
      </c>
      <c r="AQ70" s="332">
        <v>0</v>
      </c>
      <c r="AR70" s="332">
        <v>0</v>
      </c>
      <c r="AS70" s="332">
        <v>0</v>
      </c>
      <c r="AT70" s="332">
        <v>0</v>
      </c>
      <c r="AU70" s="332">
        <v>0</v>
      </c>
      <c r="AV70" s="332">
        <f t="shared" si="38"/>
        <v>369672.14608133672</v>
      </c>
      <c r="AW70" s="332">
        <v>369672.14608133672</v>
      </c>
      <c r="AX70" s="332">
        <v>0</v>
      </c>
      <c r="AY70" s="332">
        <v>0</v>
      </c>
      <c r="AZ70" s="332">
        <v>0</v>
      </c>
      <c r="BA70" s="332">
        <v>0</v>
      </c>
      <c r="BB70" s="332">
        <v>0</v>
      </c>
      <c r="BC70" s="332">
        <v>0</v>
      </c>
      <c r="BD70" s="332">
        <v>0</v>
      </c>
      <c r="BE70" s="332">
        <v>0</v>
      </c>
      <c r="BF70" s="332">
        <v>0</v>
      </c>
      <c r="BG70" s="332">
        <v>0</v>
      </c>
      <c r="BH70" s="332">
        <f t="shared" si="39"/>
        <v>369672.14608133672</v>
      </c>
      <c r="BI70" s="332">
        <v>369672.14608133672</v>
      </c>
      <c r="BJ70" s="332">
        <v>0</v>
      </c>
      <c r="BK70" s="332">
        <v>0</v>
      </c>
      <c r="BL70" s="332">
        <v>0</v>
      </c>
      <c r="BM70" s="332">
        <v>0</v>
      </c>
      <c r="BN70" s="332">
        <v>0</v>
      </c>
      <c r="BO70" s="332">
        <v>0</v>
      </c>
      <c r="BP70" s="332">
        <v>0</v>
      </c>
      <c r="BQ70" s="332">
        <v>0</v>
      </c>
      <c r="BR70" s="332">
        <v>0</v>
      </c>
      <c r="BS70" s="332">
        <v>0</v>
      </c>
      <c r="BT70" s="332">
        <f t="shared" si="40"/>
        <v>369672.14608133672</v>
      </c>
      <c r="BU70" s="332">
        <v>369672.14608133672</v>
      </c>
      <c r="BV70" s="332">
        <v>0</v>
      </c>
      <c r="BW70" s="332">
        <v>0</v>
      </c>
      <c r="BX70" s="332">
        <v>0</v>
      </c>
      <c r="BY70" s="332">
        <v>0</v>
      </c>
      <c r="BZ70" s="332">
        <v>0</v>
      </c>
      <c r="CA70" s="332">
        <v>0</v>
      </c>
      <c r="CB70" s="332">
        <v>0</v>
      </c>
      <c r="CC70" s="332">
        <v>0</v>
      </c>
      <c r="CD70" s="332">
        <v>0</v>
      </c>
      <c r="CE70" s="332">
        <v>0</v>
      </c>
      <c r="CF70" s="332">
        <f t="shared" si="41"/>
        <v>369672.14608133672</v>
      </c>
      <c r="CG70" s="332">
        <v>369672.14608133672</v>
      </c>
      <c r="CH70" s="332">
        <v>0</v>
      </c>
      <c r="CI70" s="332">
        <v>0</v>
      </c>
      <c r="CJ70" s="332">
        <v>0</v>
      </c>
      <c r="CK70" s="332">
        <v>0</v>
      </c>
      <c r="CL70" s="332">
        <v>0</v>
      </c>
      <c r="CM70" s="332">
        <v>0</v>
      </c>
      <c r="CN70" s="332">
        <v>0</v>
      </c>
      <c r="CO70" s="332">
        <v>0</v>
      </c>
      <c r="CP70" s="332">
        <v>0</v>
      </c>
      <c r="CQ70" s="332">
        <v>0</v>
      </c>
      <c r="CR70" s="332">
        <f t="shared" si="42"/>
        <v>369672.14608133672</v>
      </c>
      <c r="CS70" s="333">
        <v>11706284.625908993</v>
      </c>
      <c r="CT70" s="329">
        <v>0</v>
      </c>
      <c r="CU70" s="329">
        <v>0</v>
      </c>
      <c r="CV70" s="333">
        <v>0</v>
      </c>
      <c r="CW70" s="333">
        <v>0</v>
      </c>
      <c r="CX70" s="329">
        <v>0</v>
      </c>
      <c r="CY70" s="329">
        <v>0</v>
      </c>
      <c r="CZ70" s="329">
        <v>0</v>
      </c>
      <c r="DA70" s="329">
        <v>0</v>
      </c>
      <c r="DB70" s="333">
        <v>0</v>
      </c>
      <c r="DC70" s="329">
        <v>0</v>
      </c>
      <c r="DD70" s="332">
        <f t="shared" si="43"/>
        <v>11706284.625908993</v>
      </c>
      <c r="DE70" s="333">
        <v>11706284.625908993</v>
      </c>
      <c r="DF70" s="329">
        <v>0</v>
      </c>
      <c r="DG70" s="329">
        <v>0</v>
      </c>
      <c r="DH70" s="329">
        <v>0</v>
      </c>
      <c r="DI70" s="329">
        <v>0</v>
      </c>
      <c r="DJ70" s="329">
        <v>0</v>
      </c>
      <c r="DK70" s="329">
        <v>0</v>
      </c>
      <c r="DL70" s="329">
        <v>0</v>
      </c>
      <c r="DM70" s="329">
        <v>0</v>
      </c>
      <c r="DN70" s="329">
        <v>0</v>
      </c>
      <c r="DO70" s="329">
        <v>0</v>
      </c>
      <c r="DP70" s="329">
        <f t="shared" si="44"/>
        <v>11706284.625908993</v>
      </c>
      <c r="DQ70" s="333">
        <v>11706284.625908993</v>
      </c>
      <c r="DR70" s="329">
        <v>0</v>
      </c>
      <c r="DS70" s="329">
        <v>0</v>
      </c>
      <c r="DT70" s="329">
        <v>0</v>
      </c>
      <c r="DU70" s="329">
        <v>0</v>
      </c>
      <c r="DV70" s="329">
        <v>0</v>
      </c>
      <c r="DW70" s="329">
        <v>0</v>
      </c>
      <c r="DX70" s="329">
        <v>0</v>
      </c>
      <c r="DY70" s="329">
        <v>0</v>
      </c>
      <c r="DZ70" s="329">
        <v>0</v>
      </c>
      <c r="EA70" s="329">
        <v>0</v>
      </c>
      <c r="EB70" s="329">
        <f t="shared" si="45"/>
        <v>11706284.625908993</v>
      </c>
      <c r="EC70" s="329">
        <v>0</v>
      </c>
      <c r="ED70" s="329">
        <v>0</v>
      </c>
      <c r="EE70" s="329">
        <v>0</v>
      </c>
      <c r="EF70" s="329">
        <v>0</v>
      </c>
      <c r="EG70" s="329">
        <v>0</v>
      </c>
      <c r="EH70" s="329">
        <v>0</v>
      </c>
      <c r="EI70" s="329">
        <v>0</v>
      </c>
      <c r="EJ70" s="329">
        <v>0</v>
      </c>
      <c r="EK70" s="329">
        <v>0</v>
      </c>
      <c r="EL70" s="329">
        <v>0</v>
      </c>
      <c r="EM70" s="329">
        <v>0</v>
      </c>
      <c r="EN70" s="341">
        <f t="shared" si="46"/>
        <v>0</v>
      </c>
      <c r="EO70" s="331">
        <v>20.129000000000001</v>
      </c>
      <c r="EY70" s="9"/>
    </row>
    <row r="71" spans="1:156" ht="60" x14ac:dyDescent="0.25">
      <c r="A71" s="193"/>
      <c r="B71" s="176" t="s">
        <v>1288</v>
      </c>
      <c r="C71" s="176" t="s">
        <v>20</v>
      </c>
      <c r="D71" s="176" t="s">
        <v>1289</v>
      </c>
      <c r="E71" s="176"/>
      <c r="F71" s="177" t="s">
        <v>1287</v>
      </c>
      <c r="G71" s="269" t="s">
        <v>1446</v>
      </c>
      <c r="H71" s="270" t="s">
        <v>1447</v>
      </c>
      <c r="I71" s="271" t="s">
        <v>1517</v>
      </c>
      <c r="J71" s="296" t="s">
        <v>924</v>
      </c>
      <c r="K71" s="175" t="s">
        <v>1290</v>
      </c>
      <c r="L71" s="175">
        <v>0</v>
      </c>
      <c r="M71" s="325">
        <v>18113455.494910698</v>
      </c>
      <c r="N71" s="325">
        <v>0</v>
      </c>
      <c r="O71" s="325">
        <v>0</v>
      </c>
      <c r="P71" s="325">
        <v>0</v>
      </c>
      <c r="Q71" s="325">
        <v>0</v>
      </c>
      <c r="R71" s="325">
        <v>0</v>
      </c>
      <c r="S71" s="325">
        <v>0</v>
      </c>
      <c r="T71" s="325">
        <v>0</v>
      </c>
      <c r="U71" s="325">
        <v>0</v>
      </c>
      <c r="V71" s="325">
        <v>0</v>
      </c>
      <c r="W71" s="325">
        <v>0</v>
      </c>
      <c r="X71" s="325">
        <f t="shared" si="36"/>
        <v>0</v>
      </c>
      <c r="Y71" s="332">
        <v>0</v>
      </c>
      <c r="Z71" s="332">
        <v>0</v>
      </c>
      <c r="AA71" s="332">
        <v>0</v>
      </c>
      <c r="AB71" s="332">
        <v>0</v>
      </c>
      <c r="AC71" s="332">
        <v>0</v>
      </c>
      <c r="AD71" s="332">
        <v>0</v>
      </c>
      <c r="AE71" s="332">
        <v>0</v>
      </c>
      <c r="AF71" s="332">
        <v>0</v>
      </c>
      <c r="AG71" s="332">
        <v>0</v>
      </c>
      <c r="AH71" s="332">
        <v>0</v>
      </c>
      <c r="AI71" s="332">
        <v>0</v>
      </c>
      <c r="AJ71" s="332">
        <f t="shared" si="37"/>
        <v>0</v>
      </c>
      <c r="AK71" s="325">
        <v>181134.55</v>
      </c>
      <c r="AL71" s="332">
        <v>0</v>
      </c>
      <c r="AM71" s="332">
        <v>0</v>
      </c>
      <c r="AN71" s="332">
        <v>0</v>
      </c>
      <c r="AO71" s="332">
        <v>0</v>
      </c>
      <c r="AP71" s="332">
        <v>0</v>
      </c>
      <c r="AQ71" s="332">
        <v>0</v>
      </c>
      <c r="AR71" s="332">
        <v>0</v>
      </c>
      <c r="AS71" s="332">
        <v>0</v>
      </c>
      <c r="AT71" s="332">
        <v>0</v>
      </c>
      <c r="AU71" s="332">
        <v>0</v>
      </c>
      <c r="AV71" s="332">
        <f t="shared" si="38"/>
        <v>181134.55</v>
      </c>
      <c r="AW71" s="325">
        <v>181134.55</v>
      </c>
      <c r="AX71" s="332">
        <v>0</v>
      </c>
      <c r="AY71" s="332">
        <v>0</v>
      </c>
      <c r="AZ71" s="332">
        <v>0</v>
      </c>
      <c r="BA71" s="332">
        <v>0</v>
      </c>
      <c r="BB71" s="332">
        <v>0</v>
      </c>
      <c r="BC71" s="332">
        <v>0</v>
      </c>
      <c r="BD71" s="332">
        <v>0</v>
      </c>
      <c r="BE71" s="332">
        <v>0</v>
      </c>
      <c r="BF71" s="332">
        <v>0</v>
      </c>
      <c r="BG71" s="332">
        <v>0</v>
      </c>
      <c r="BH71" s="332">
        <f t="shared" si="39"/>
        <v>181134.55</v>
      </c>
      <c r="BI71" s="325">
        <v>181134.55</v>
      </c>
      <c r="BJ71" s="332">
        <v>0</v>
      </c>
      <c r="BK71" s="332">
        <v>0</v>
      </c>
      <c r="BL71" s="332">
        <v>0</v>
      </c>
      <c r="BM71" s="332">
        <v>0</v>
      </c>
      <c r="BN71" s="332">
        <v>0</v>
      </c>
      <c r="BO71" s="332">
        <v>0</v>
      </c>
      <c r="BP71" s="332">
        <v>0</v>
      </c>
      <c r="BQ71" s="332">
        <v>0</v>
      </c>
      <c r="BR71" s="332">
        <v>0</v>
      </c>
      <c r="BS71" s="332">
        <v>0</v>
      </c>
      <c r="BT71" s="332">
        <f t="shared" si="40"/>
        <v>181134.55</v>
      </c>
      <c r="BU71" s="325">
        <v>181134.55</v>
      </c>
      <c r="BV71" s="332">
        <v>0</v>
      </c>
      <c r="BW71" s="332">
        <v>0</v>
      </c>
      <c r="BX71" s="332">
        <v>0</v>
      </c>
      <c r="BY71" s="332">
        <v>0</v>
      </c>
      <c r="BZ71" s="332">
        <v>0</v>
      </c>
      <c r="CA71" s="332">
        <v>0</v>
      </c>
      <c r="CB71" s="332">
        <v>0</v>
      </c>
      <c r="CC71" s="332">
        <v>0</v>
      </c>
      <c r="CD71" s="332">
        <v>0</v>
      </c>
      <c r="CE71" s="332">
        <v>0</v>
      </c>
      <c r="CF71" s="332">
        <f t="shared" si="41"/>
        <v>181134.55</v>
      </c>
      <c r="CG71" s="325">
        <v>181134.55</v>
      </c>
      <c r="CH71" s="332">
        <v>0</v>
      </c>
      <c r="CI71" s="332">
        <v>0</v>
      </c>
      <c r="CJ71" s="332">
        <v>0</v>
      </c>
      <c r="CK71" s="332">
        <v>0</v>
      </c>
      <c r="CL71" s="332">
        <v>0</v>
      </c>
      <c r="CM71" s="332">
        <v>0</v>
      </c>
      <c r="CN71" s="332">
        <v>0</v>
      </c>
      <c r="CO71" s="332">
        <v>0</v>
      </c>
      <c r="CP71" s="332">
        <v>0</v>
      </c>
      <c r="CQ71" s="332">
        <v>0</v>
      </c>
      <c r="CR71" s="332">
        <f t="shared" si="42"/>
        <v>181134.55</v>
      </c>
      <c r="CS71" s="329">
        <v>5735927.5700000003</v>
      </c>
      <c r="CT71" s="329">
        <v>0</v>
      </c>
      <c r="CU71" s="329">
        <v>0</v>
      </c>
      <c r="CV71" s="333">
        <v>0</v>
      </c>
      <c r="CW71" s="333">
        <v>0</v>
      </c>
      <c r="CX71" s="329">
        <v>0</v>
      </c>
      <c r="CY71" s="329">
        <v>0</v>
      </c>
      <c r="CZ71" s="329">
        <v>0</v>
      </c>
      <c r="DA71" s="329">
        <v>0</v>
      </c>
      <c r="DB71" s="333">
        <v>0</v>
      </c>
      <c r="DC71" s="329">
        <v>0</v>
      </c>
      <c r="DD71" s="332">
        <f t="shared" si="43"/>
        <v>5735927.5700000003</v>
      </c>
      <c r="DE71" s="329">
        <v>5735927.5700000003</v>
      </c>
      <c r="DF71" s="329">
        <v>0</v>
      </c>
      <c r="DG71" s="329">
        <v>0</v>
      </c>
      <c r="DH71" s="333">
        <v>0</v>
      </c>
      <c r="DI71" s="333">
        <v>0</v>
      </c>
      <c r="DJ71" s="329">
        <v>0</v>
      </c>
      <c r="DK71" s="329">
        <v>0</v>
      </c>
      <c r="DL71" s="329">
        <v>0</v>
      </c>
      <c r="DM71" s="329">
        <v>0</v>
      </c>
      <c r="DN71" s="333">
        <v>0</v>
      </c>
      <c r="DO71" s="329">
        <v>0</v>
      </c>
      <c r="DP71" s="332">
        <f t="shared" si="44"/>
        <v>5735927.5700000003</v>
      </c>
      <c r="DQ71" s="329">
        <v>5735927.5700000003</v>
      </c>
      <c r="DR71" s="329">
        <v>0</v>
      </c>
      <c r="DS71" s="329">
        <v>0</v>
      </c>
      <c r="DT71" s="333">
        <v>0</v>
      </c>
      <c r="DU71" s="333">
        <v>0</v>
      </c>
      <c r="DV71" s="329">
        <v>0</v>
      </c>
      <c r="DW71" s="329">
        <v>0</v>
      </c>
      <c r="DX71" s="329">
        <v>0</v>
      </c>
      <c r="DY71" s="329">
        <v>0</v>
      </c>
      <c r="DZ71" s="333">
        <v>0</v>
      </c>
      <c r="EA71" s="329">
        <v>0</v>
      </c>
      <c r="EB71" s="332">
        <f t="shared" si="45"/>
        <v>5735927.5700000003</v>
      </c>
      <c r="EC71" s="329">
        <v>0</v>
      </c>
      <c r="ED71" s="329">
        <v>0</v>
      </c>
      <c r="EE71" s="329">
        <v>0</v>
      </c>
      <c r="EF71" s="333">
        <v>0</v>
      </c>
      <c r="EG71" s="333">
        <v>0</v>
      </c>
      <c r="EH71" s="329">
        <v>0</v>
      </c>
      <c r="EI71" s="329">
        <v>0</v>
      </c>
      <c r="EJ71" s="329">
        <v>0</v>
      </c>
      <c r="EK71" s="329">
        <v>0</v>
      </c>
      <c r="EL71" s="333">
        <v>0</v>
      </c>
      <c r="EM71" s="329">
        <v>0</v>
      </c>
      <c r="EN71" s="341">
        <f t="shared" si="46"/>
        <v>0</v>
      </c>
      <c r="EO71" s="331">
        <v>37.453000000000003</v>
      </c>
    </row>
    <row r="72" spans="1:156" s="105" customFormat="1" ht="156" x14ac:dyDescent="0.25">
      <c r="A72" s="193"/>
      <c r="B72" s="176" t="s">
        <v>1137</v>
      </c>
      <c r="C72" s="176" t="s">
        <v>48</v>
      </c>
      <c r="D72" s="176" t="s">
        <v>1138</v>
      </c>
      <c r="E72" s="176"/>
      <c r="F72" s="177" t="s">
        <v>49</v>
      </c>
      <c r="G72" s="269" t="s">
        <v>1464</v>
      </c>
      <c r="H72" s="270" t="s">
        <v>1410</v>
      </c>
      <c r="I72" s="271" t="s">
        <v>1518</v>
      </c>
      <c r="J72" s="296" t="s">
        <v>923</v>
      </c>
      <c r="K72" s="296">
        <v>4.5</v>
      </c>
      <c r="L72" s="176">
        <v>0</v>
      </c>
      <c r="M72" s="332">
        <v>47315397.536581099</v>
      </c>
      <c r="N72" s="332">
        <v>0</v>
      </c>
      <c r="O72" s="332">
        <v>0</v>
      </c>
      <c r="P72" s="332">
        <v>0</v>
      </c>
      <c r="Q72" s="332">
        <v>0</v>
      </c>
      <c r="R72" s="332">
        <v>0</v>
      </c>
      <c r="S72" s="332">
        <v>0</v>
      </c>
      <c r="T72" s="332">
        <v>0</v>
      </c>
      <c r="U72" s="332">
        <v>0</v>
      </c>
      <c r="V72" s="332">
        <v>0</v>
      </c>
      <c r="W72" s="332">
        <v>0</v>
      </c>
      <c r="X72" s="325">
        <f t="shared" si="36"/>
        <v>0</v>
      </c>
      <c r="Y72" s="332">
        <v>0</v>
      </c>
      <c r="Z72" s="332">
        <v>0</v>
      </c>
      <c r="AA72" s="332">
        <v>0</v>
      </c>
      <c r="AB72" s="332">
        <v>0</v>
      </c>
      <c r="AC72" s="332">
        <v>0</v>
      </c>
      <c r="AD72" s="332">
        <v>0</v>
      </c>
      <c r="AE72" s="332">
        <v>0</v>
      </c>
      <c r="AF72" s="332">
        <v>0</v>
      </c>
      <c r="AG72" s="332">
        <v>0</v>
      </c>
      <c r="AH72" s="332">
        <v>0</v>
      </c>
      <c r="AI72" s="332">
        <v>0</v>
      </c>
      <c r="AJ72" s="332">
        <f t="shared" si="37"/>
        <v>0</v>
      </c>
      <c r="AK72" s="332">
        <v>473153.97536581103</v>
      </c>
      <c r="AL72" s="332">
        <v>0</v>
      </c>
      <c r="AM72" s="332">
        <v>0</v>
      </c>
      <c r="AN72" s="332">
        <v>0</v>
      </c>
      <c r="AO72" s="332">
        <v>0</v>
      </c>
      <c r="AP72" s="332">
        <v>0</v>
      </c>
      <c r="AQ72" s="332">
        <v>0</v>
      </c>
      <c r="AR72" s="332">
        <v>0</v>
      </c>
      <c r="AS72" s="332">
        <v>0</v>
      </c>
      <c r="AT72" s="332">
        <v>0</v>
      </c>
      <c r="AU72" s="332">
        <v>0</v>
      </c>
      <c r="AV72" s="332">
        <f t="shared" si="38"/>
        <v>473153.97536581103</v>
      </c>
      <c r="AW72" s="332">
        <v>473153.97536581103</v>
      </c>
      <c r="AX72" s="332">
        <v>0</v>
      </c>
      <c r="AY72" s="332">
        <v>0</v>
      </c>
      <c r="AZ72" s="332">
        <v>0</v>
      </c>
      <c r="BA72" s="332">
        <v>0</v>
      </c>
      <c r="BB72" s="332">
        <v>0</v>
      </c>
      <c r="BC72" s="332">
        <v>0</v>
      </c>
      <c r="BD72" s="332">
        <v>0</v>
      </c>
      <c r="BE72" s="332">
        <v>0</v>
      </c>
      <c r="BF72" s="332">
        <v>0</v>
      </c>
      <c r="BG72" s="332">
        <v>0</v>
      </c>
      <c r="BH72" s="332">
        <f t="shared" si="39"/>
        <v>473153.97536581103</v>
      </c>
      <c r="BI72" s="332">
        <v>473153.97536581103</v>
      </c>
      <c r="BJ72" s="332">
        <v>0</v>
      </c>
      <c r="BK72" s="332">
        <v>0</v>
      </c>
      <c r="BL72" s="332">
        <v>0</v>
      </c>
      <c r="BM72" s="332">
        <v>0</v>
      </c>
      <c r="BN72" s="332">
        <v>0</v>
      </c>
      <c r="BO72" s="332">
        <v>0</v>
      </c>
      <c r="BP72" s="332">
        <v>0</v>
      </c>
      <c r="BQ72" s="332">
        <v>0</v>
      </c>
      <c r="BR72" s="332">
        <v>0</v>
      </c>
      <c r="BS72" s="332">
        <v>0</v>
      </c>
      <c r="BT72" s="332">
        <f t="shared" si="40"/>
        <v>473153.97536581103</v>
      </c>
      <c r="BU72" s="332">
        <v>473153.97536581103</v>
      </c>
      <c r="BV72" s="332">
        <v>0</v>
      </c>
      <c r="BW72" s="332">
        <v>0</v>
      </c>
      <c r="BX72" s="332">
        <v>0</v>
      </c>
      <c r="BY72" s="332">
        <v>0</v>
      </c>
      <c r="BZ72" s="332">
        <v>0</v>
      </c>
      <c r="CA72" s="332">
        <v>0</v>
      </c>
      <c r="CB72" s="332">
        <v>0</v>
      </c>
      <c r="CC72" s="332">
        <v>0</v>
      </c>
      <c r="CD72" s="332">
        <v>0</v>
      </c>
      <c r="CE72" s="332">
        <v>0</v>
      </c>
      <c r="CF72" s="332">
        <f t="shared" si="41"/>
        <v>473153.97536581103</v>
      </c>
      <c r="CG72" s="332">
        <v>473153.97536581103</v>
      </c>
      <c r="CH72" s="332">
        <v>0</v>
      </c>
      <c r="CI72" s="332">
        <v>0</v>
      </c>
      <c r="CJ72" s="332">
        <v>0</v>
      </c>
      <c r="CK72" s="332">
        <v>0</v>
      </c>
      <c r="CL72" s="332">
        <v>0</v>
      </c>
      <c r="CM72" s="332">
        <v>0</v>
      </c>
      <c r="CN72" s="332">
        <v>0</v>
      </c>
      <c r="CO72" s="332">
        <v>0</v>
      </c>
      <c r="CP72" s="332">
        <v>0</v>
      </c>
      <c r="CQ72" s="332">
        <v>0</v>
      </c>
      <c r="CR72" s="332">
        <f t="shared" si="42"/>
        <v>473153.97536581103</v>
      </c>
      <c r="CS72" s="333">
        <v>14983209.21991735</v>
      </c>
      <c r="CT72" s="329">
        <v>0</v>
      </c>
      <c r="CU72" s="329">
        <v>0</v>
      </c>
      <c r="CV72" s="333">
        <v>0</v>
      </c>
      <c r="CW72" s="333">
        <v>0</v>
      </c>
      <c r="CX72" s="329">
        <v>0</v>
      </c>
      <c r="CY72" s="329">
        <v>0</v>
      </c>
      <c r="CZ72" s="329">
        <v>0</v>
      </c>
      <c r="DA72" s="329">
        <v>0</v>
      </c>
      <c r="DB72" s="333">
        <v>0</v>
      </c>
      <c r="DC72" s="329">
        <v>0</v>
      </c>
      <c r="DD72" s="332">
        <f t="shared" si="43"/>
        <v>14983209.21991735</v>
      </c>
      <c r="DE72" s="332">
        <v>14983209.21991735</v>
      </c>
      <c r="DF72" s="329">
        <v>0</v>
      </c>
      <c r="DG72" s="329">
        <v>0</v>
      </c>
      <c r="DH72" s="329">
        <v>0</v>
      </c>
      <c r="DI72" s="329">
        <v>0</v>
      </c>
      <c r="DJ72" s="329">
        <v>0</v>
      </c>
      <c r="DK72" s="329">
        <v>0</v>
      </c>
      <c r="DL72" s="329">
        <v>0</v>
      </c>
      <c r="DM72" s="329">
        <v>0</v>
      </c>
      <c r="DN72" s="329">
        <v>0</v>
      </c>
      <c r="DO72" s="329">
        <v>0</v>
      </c>
      <c r="DP72" s="329">
        <f t="shared" si="44"/>
        <v>14983209.21991735</v>
      </c>
      <c r="DQ72" s="332">
        <v>14983209.21991735</v>
      </c>
      <c r="DR72" s="329">
        <v>0</v>
      </c>
      <c r="DS72" s="329">
        <v>0</v>
      </c>
      <c r="DT72" s="329">
        <v>0</v>
      </c>
      <c r="DU72" s="329">
        <v>0</v>
      </c>
      <c r="DV72" s="329">
        <v>0</v>
      </c>
      <c r="DW72" s="329">
        <v>0</v>
      </c>
      <c r="DX72" s="329">
        <v>0</v>
      </c>
      <c r="DY72" s="329">
        <v>0</v>
      </c>
      <c r="DZ72" s="329">
        <v>0</v>
      </c>
      <c r="EA72" s="329">
        <v>0</v>
      </c>
      <c r="EB72" s="329">
        <f t="shared" si="45"/>
        <v>14983209.21991735</v>
      </c>
      <c r="EC72" s="329">
        <v>0</v>
      </c>
      <c r="ED72" s="329">
        <v>0</v>
      </c>
      <c r="EE72" s="329">
        <v>0</v>
      </c>
      <c r="EF72" s="329">
        <v>0</v>
      </c>
      <c r="EG72" s="329">
        <v>0</v>
      </c>
      <c r="EH72" s="329">
        <v>0</v>
      </c>
      <c r="EI72" s="329">
        <v>0</v>
      </c>
      <c r="EJ72" s="329">
        <v>0</v>
      </c>
      <c r="EK72" s="329">
        <v>0</v>
      </c>
      <c r="EL72" s="329">
        <v>0</v>
      </c>
      <c r="EM72" s="329">
        <v>0</v>
      </c>
      <c r="EN72" s="341">
        <f t="shared" si="46"/>
        <v>0</v>
      </c>
      <c r="EO72" s="331">
        <v>9.1720000000000006</v>
      </c>
    </row>
    <row r="73" spans="1:156" ht="45" x14ac:dyDescent="0.25">
      <c r="A73" s="193"/>
      <c r="B73" s="176" t="s">
        <v>1199</v>
      </c>
      <c r="C73" s="176" t="s">
        <v>1200</v>
      </c>
      <c r="D73" s="176" t="s">
        <v>1201</v>
      </c>
      <c r="E73" s="176"/>
      <c r="F73" s="177" t="s">
        <v>1014</v>
      </c>
      <c r="G73" s="269" t="s">
        <v>1442</v>
      </c>
      <c r="H73" s="270" t="s">
        <v>1443</v>
      </c>
      <c r="I73" s="273" t="s">
        <v>1488</v>
      </c>
      <c r="J73" s="175" t="s">
        <v>925</v>
      </c>
      <c r="K73" s="176" t="s">
        <v>1202</v>
      </c>
      <c r="L73" s="176" t="s">
        <v>1008</v>
      </c>
      <c r="M73" s="325">
        <f>SUM(X73,AJ73, AV73,BH73,BT73,CF73,CR73, DD73, DP73, EB73, EN73)</f>
        <v>26650000</v>
      </c>
      <c r="N73" s="325">
        <v>0</v>
      </c>
      <c r="O73" s="325">
        <v>0</v>
      </c>
      <c r="P73" s="325">
        <v>0</v>
      </c>
      <c r="Q73" s="325">
        <v>0</v>
      </c>
      <c r="R73" s="325">
        <v>0</v>
      </c>
      <c r="S73" s="325">
        <v>0</v>
      </c>
      <c r="T73" s="325">
        <v>0</v>
      </c>
      <c r="U73" s="325">
        <v>0</v>
      </c>
      <c r="V73" s="325">
        <v>0</v>
      </c>
      <c r="W73" s="325">
        <v>0</v>
      </c>
      <c r="X73" s="325">
        <f t="shared" si="36"/>
        <v>0</v>
      </c>
      <c r="Y73" s="332">
        <v>0</v>
      </c>
      <c r="Z73" s="332">
        <v>0</v>
      </c>
      <c r="AA73" s="332">
        <v>0</v>
      </c>
      <c r="AB73" s="332">
        <v>0</v>
      </c>
      <c r="AC73" s="332">
        <v>0</v>
      </c>
      <c r="AD73" s="332">
        <v>0</v>
      </c>
      <c r="AE73" s="332">
        <v>0</v>
      </c>
      <c r="AF73" s="332">
        <v>0</v>
      </c>
      <c r="AG73" s="332">
        <v>0</v>
      </c>
      <c r="AH73" s="332">
        <v>0</v>
      </c>
      <c r="AI73" s="332">
        <v>0</v>
      </c>
      <c r="AJ73" s="332">
        <f t="shared" si="37"/>
        <v>0</v>
      </c>
      <c r="AK73" s="325">
        <v>0</v>
      </c>
      <c r="AL73" s="325">
        <v>0</v>
      </c>
      <c r="AM73" s="325">
        <v>0</v>
      </c>
      <c r="AN73" s="325">
        <v>0</v>
      </c>
      <c r="AO73" s="325">
        <v>0</v>
      </c>
      <c r="AP73" s="325">
        <v>0</v>
      </c>
      <c r="AQ73" s="325">
        <v>0</v>
      </c>
      <c r="AR73" s="325">
        <v>0</v>
      </c>
      <c r="AS73" s="325">
        <v>0</v>
      </c>
      <c r="AT73" s="325">
        <v>0</v>
      </c>
      <c r="AU73" s="325">
        <v>0</v>
      </c>
      <c r="AV73" s="325">
        <f t="shared" si="38"/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>
        <v>0</v>
      </c>
      <c r="BC73" s="325">
        <v>0</v>
      </c>
      <c r="BD73" s="325">
        <v>0</v>
      </c>
      <c r="BE73" s="325">
        <v>0</v>
      </c>
      <c r="BF73" s="325">
        <v>0</v>
      </c>
      <c r="BG73" s="325">
        <v>0</v>
      </c>
      <c r="BH73" s="325">
        <f t="shared" si="39"/>
        <v>0</v>
      </c>
      <c r="BI73" s="325">
        <v>350000</v>
      </c>
      <c r="BJ73" s="325">
        <v>0</v>
      </c>
      <c r="BK73" s="325">
        <v>0</v>
      </c>
      <c r="BL73" s="325">
        <v>0</v>
      </c>
      <c r="BM73" s="325">
        <v>0</v>
      </c>
      <c r="BN73" s="325">
        <v>0</v>
      </c>
      <c r="BO73" s="325">
        <v>0</v>
      </c>
      <c r="BP73" s="325">
        <v>0</v>
      </c>
      <c r="BQ73" s="325">
        <v>0</v>
      </c>
      <c r="BR73" s="325">
        <v>0</v>
      </c>
      <c r="BS73" s="325">
        <v>0</v>
      </c>
      <c r="BT73" s="325">
        <f t="shared" si="40"/>
        <v>350000</v>
      </c>
      <c r="BU73" s="325">
        <v>1000000</v>
      </c>
      <c r="BV73" s="325">
        <v>0</v>
      </c>
      <c r="BW73" s="325">
        <v>0</v>
      </c>
      <c r="BX73" s="325">
        <v>0</v>
      </c>
      <c r="BY73" s="325">
        <v>0</v>
      </c>
      <c r="BZ73" s="325">
        <v>0</v>
      </c>
      <c r="CA73" s="325">
        <v>0</v>
      </c>
      <c r="CB73" s="325">
        <v>0</v>
      </c>
      <c r="CC73" s="325">
        <v>0</v>
      </c>
      <c r="CD73" s="325">
        <v>0</v>
      </c>
      <c r="CE73" s="325">
        <v>0</v>
      </c>
      <c r="CF73" s="325">
        <f t="shared" si="41"/>
        <v>1000000</v>
      </c>
      <c r="CG73" s="325">
        <v>0</v>
      </c>
      <c r="CH73" s="325">
        <v>0</v>
      </c>
      <c r="CI73" s="325">
        <v>0</v>
      </c>
      <c r="CJ73" s="325">
        <v>10752500</v>
      </c>
      <c r="CK73" s="325">
        <v>1897500</v>
      </c>
      <c r="CL73" s="325">
        <v>0</v>
      </c>
      <c r="CM73" s="325">
        <v>0</v>
      </c>
      <c r="CN73" s="325">
        <v>0</v>
      </c>
      <c r="CO73" s="325">
        <v>0</v>
      </c>
      <c r="CP73" s="325">
        <v>0</v>
      </c>
      <c r="CQ73" s="325">
        <v>0</v>
      </c>
      <c r="CR73" s="325">
        <f t="shared" si="42"/>
        <v>12650000</v>
      </c>
      <c r="CS73" s="359">
        <v>0</v>
      </c>
      <c r="CT73" s="329">
        <v>0</v>
      </c>
      <c r="CU73" s="329">
        <v>0</v>
      </c>
      <c r="CV73" s="325">
        <v>10752500</v>
      </c>
      <c r="CW73" s="325">
        <v>1897500</v>
      </c>
      <c r="CX73" s="329">
        <v>0</v>
      </c>
      <c r="CY73" s="329">
        <v>0</v>
      </c>
      <c r="CZ73" s="329">
        <v>0</v>
      </c>
      <c r="DA73" s="329">
        <v>0</v>
      </c>
      <c r="DB73" s="359">
        <v>0</v>
      </c>
      <c r="DC73" s="329">
        <v>0</v>
      </c>
      <c r="DD73" s="329">
        <f t="shared" si="43"/>
        <v>12650000</v>
      </c>
      <c r="DE73" s="359">
        <v>0</v>
      </c>
      <c r="DF73" s="329">
        <v>0</v>
      </c>
      <c r="DG73" s="329">
        <v>0</v>
      </c>
      <c r="DH73" s="359">
        <v>0</v>
      </c>
      <c r="DI73" s="359">
        <v>0</v>
      </c>
      <c r="DJ73" s="329">
        <v>0</v>
      </c>
      <c r="DK73" s="329">
        <v>0</v>
      </c>
      <c r="DL73" s="329">
        <v>0</v>
      </c>
      <c r="DM73" s="329">
        <v>0</v>
      </c>
      <c r="DN73" s="359">
        <v>0</v>
      </c>
      <c r="DO73" s="329">
        <v>0</v>
      </c>
      <c r="DP73" s="329">
        <f t="shared" si="44"/>
        <v>0</v>
      </c>
      <c r="DQ73" s="359">
        <v>0</v>
      </c>
      <c r="DR73" s="329">
        <v>0</v>
      </c>
      <c r="DS73" s="329">
        <v>0</v>
      </c>
      <c r="DT73" s="359">
        <v>0</v>
      </c>
      <c r="DU73" s="359">
        <v>0</v>
      </c>
      <c r="DV73" s="329">
        <v>0</v>
      </c>
      <c r="DW73" s="329">
        <v>0</v>
      </c>
      <c r="DX73" s="329">
        <v>0</v>
      </c>
      <c r="DY73" s="329">
        <v>0</v>
      </c>
      <c r="DZ73" s="359">
        <v>0</v>
      </c>
      <c r="EA73" s="329">
        <v>0</v>
      </c>
      <c r="EB73" s="329">
        <f t="shared" si="45"/>
        <v>0</v>
      </c>
      <c r="EC73" s="359">
        <v>0</v>
      </c>
      <c r="ED73" s="329">
        <v>0</v>
      </c>
      <c r="EE73" s="329">
        <v>0</v>
      </c>
      <c r="EF73" s="359">
        <v>0</v>
      </c>
      <c r="EG73" s="359">
        <v>0</v>
      </c>
      <c r="EH73" s="329">
        <v>0</v>
      </c>
      <c r="EI73" s="329">
        <v>0</v>
      </c>
      <c r="EJ73" s="329">
        <v>0</v>
      </c>
      <c r="EK73" s="329">
        <v>0</v>
      </c>
      <c r="EL73" s="359">
        <v>0</v>
      </c>
      <c r="EM73" s="329">
        <v>0</v>
      </c>
      <c r="EN73" s="341">
        <f t="shared" si="46"/>
        <v>0</v>
      </c>
      <c r="EO73" s="331">
        <v>60.540999999999997</v>
      </c>
    </row>
    <row r="74" spans="1:156" ht="36" x14ac:dyDescent="0.25">
      <c r="A74" s="193"/>
      <c r="B74" s="176" t="s">
        <v>1140</v>
      </c>
      <c r="C74" s="176" t="s">
        <v>228</v>
      </c>
      <c r="D74" s="176" t="s">
        <v>1141</v>
      </c>
      <c r="E74" s="176"/>
      <c r="F74" s="177" t="s">
        <v>229</v>
      </c>
      <c r="G74" s="269" t="s">
        <v>1461</v>
      </c>
      <c r="H74" s="270" t="s">
        <v>1443</v>
      </c>
      <c r="I74" s="271" t="s">
        <v>1528</v>
      </c>
      <c r="J74" s="296" t="s">
        <v>923</v>
      </c>
      <c r="K74" s="175">
        <v>4.0999999999999996</v>
      </c>
      <c r="L74" s="176">
        <v>0</v>
      </c>
      <c r="M74" s="325">
        <v>56972762.2120644</v>
      </c>
      <c r="N74" s="325">
        <v>0</v>
      </c>
      <c r="O74" s="325">
        <v>0</v>
      </c>
      <c r="P74" s="325">
        <v>0</v>
      </c>
      <c r="Q74" s="325">
        <v>0</v>
      </c>
      <c r="R74" s="325">
        <v>0</v>
      </c>
      <c r="S74" s="325">
        <v>0</v>
      </c>
      <c r="T74" s="325">
        <v>0</v>
      </c>
      <c r="U74" s="325">
        <v>0</v>
      </c>
      <c r="V74" s="325">
        <v>0</v>
      </c>
      <c r="W74" s="325">
        <v>0</v>
      </c>
      <c r="X74" s="325">
        <f t="shared" si="36"/>
        <v>0</v>
      </c>
      <c r="Y74" s="332">
        <v>0</v>
      </c>
      <c r="Z74" s="332">
        <v>0</v>
      </c>
      <c r="AA74" s="332">
        <v>0</v>
      </c>
      <c r="AB74" s="332">
        <v>0</v>
      </c>
      <c r="AC74" s="332">
        <v>0</v>
      </c>
      <c r="AD74" s="332">
        <v>0</v>
      </c>
      <c r="AE74" s="332">
        <v>0</v>
      </c>
      <c r="AF74" s="332">
        <v>0</v>
      </c>
      <c r="AG74" s="332">
        <v>0</v>
      </c>
      <c r="AH74" s="332">
        <v>0</v>
      </c>
      <c r="AI74" s="332">
        <v>0</v>
      </c>
      <c r="AJ74" s="332">
        <f t="shared" si="37"/>
        <v>0</v>
      </c>
      <c r="AK74" s="325">
        <v>0</v>
      </c>
      <c r="AL74" s="325">
        <v>0</v>
      </c>
      <c r="AM74" s="325">
        <v>0</v>
      </c>
      <c r="AN74" s="325">
        <v>0</v>
      </c>
      <c r="AO74" s="325">
        <v>0</v>
      </c>
      <c r="AP74" s="325">
        <v>0</v>
      </c>
      <c r="AQ74" s="325">
        <v>0</v>
      </c>
      <c r="AR74" s="325">
        <v>0</v>
      </c>
      <c r="AS74" s="325">
        <v>0</v>
      </c>
      <c r="AT74" s="325">
        <v>0</v>
      </c>
      <c r="AU74" s="325">
        <v>0</v>
      </c>
      <c r="AV74" s="325">
        <f t="shared" si="38"/>
        <v>0</v>
      </c>
      <c r="AW74" s="325">
        <v>569727.62212064397</v>
      </c>
      <c r="AX74" s="332">
        <v>0</v>
      </c>
      <c r="AY74" s="332">
        <v>0</v>
      </c>
      <c r="AZ74" s="332">
        <v>0</v>
      </c>
      <c r="BA74" s="332">
        <v>0</v>
      </c>
      <c r="BB74" s="332">
        <v>0</v>
      </c>
      <c r="BC74" s="332">
        <v>0</v>
      </c>
      <c r="BD74" s="332">
        <v>0</v>
      </c>
      <c r="BE74" s="332">
        <v>0</v>
      </c>
      <c r="BF74" s="332">
        <v>0</v>
      </c>
      <c r="BG74" s="332">
        <v>0</v>
      </c>
      <c r="BH74" s="325">
        <f t="shared" si="39"/>
        <v>569727.62212064397</v>
      </c>
      <c r="BI74" s="325">
        <v>569727.62212064397</v>
      </c>
      <c r="BJ74" s="325">
        <v>0</v>
      </c>
      <c r="BK74" s="325">
        <v>0</v>
      </c>
      <c r="BL74" s="325">
        <v>0</v>
      </c>
      <c r="BM74" s="325">
        <v>0</v>
      </c>
      <c r="BN74" s="325">
        <v>0</v>
      </c>
      <c r="BO74" s="325">
        <v>0</v>
      </c>
      <c r="BP74" s="325">
        <v>0</v>
      </c>
      <c r="BQ74" s="325">
        <v>0</v>
      </c>
      <c r="BR74" s="325">
        <v>0</v>
      </c>
      <c r="BS74" s="325">
        <v>0</v>
      </c>
      <c r="BT74" s="325">
        <f t="shared" si="40"/>
        <v>569727.62212064397</v>
      </c>
      <c r="BU74" s="325">
        <v>569727.62212064397</v>
      </c>
      <c r="BV74" s="325">
        <v>0</v>
      </c>
      <c r="BW74" s="325">
        <v>0</v>
      </c>
      <c r="BX74" s="325">
        <v>0</v>
      </c>
      <c r="BY74" s="325">
        <v>0</v>
      </c>
      <c r="BZ74" s="325">
        <v>0</v>
      </c>
      <c r="CA74" s="325">
        <v>0</v>
      </c>
      <c r="CB74" s="325">
        <v>0</v>
      </c>
      <c r="CC74" s="325">
        <v>0</v>
      </c>
      <c r="CD74" s="325">
        <v>0</v>
      </c>
      <c r="CE74" s="325">
        <v>0</v>
      </c>
      <c r="CF74" s="325">
        <f t="shared" si="41"/>
        <v>569727.62212064397</v>
      </c>
      <c r="CG74" s="325">
        <v>569727.62212064397</v>
      </c>
      <c r="CH74" s="325">
        <v>0</v>
      </c>
      <c r="CI74" s="325">
        <v>0</v>
      </c>
      <c r="CJ74" s="325">
        <v>0</v>
      </c>
      <c r="CK74" s="325">
        <v>0</v>
      </c>
      <c r="CL74" s="325">
        <v>0</v>
      </c>
      <c r="CM74" s="325">
        <v>0</v>
      </c>
      <c r="CN74" s="325">
        <v>0</v>
      </c>
      <c r="CO74" s="325">
        <v>0</v>
      </c>
      <c r="CP74" s="325">
        <v>0</v>
      </c>
      <c r="CQ74" s="325">
        <v>0</v>
      </c>
      <c r="CR74" s="325">
        <f t="shared" si="42"/>
        <v>569727.62212064397</v>
      </c>
      <c r="CS74" s="325">
        <v>569727.62212064397</v>
      </c>
      <c r="CT74" s="325">
        <v>0</v>
      </c>
      <c r="CU74" s="325">
        <v>0</v>
      </c>
      <c r="CV74" s="325">
        <v>0</v>
      </c>
      <c r="CW74" s="325">
        <v>0</v>
      </c>
      <c r="CX74" s="325">
        <v>0</v>
      </c>
      <c r="CY74" s="325">
        <v>0</v>
      </c>
      <c r="CZ74" s="325">
        <v>0</v>
      </c>
      <c r="DA74" s="325">
        <v>0</v>
      </c>
      <c r="DB74" s="325">
        <v>0</v>
      </c>
      <c r="DC74" s="325">
        <v>0</v>
      </c>
      <c r="DD74" s="325">
        <f t="shared" si="43"/>
        <v>569727.62212064397</v>
      </c>
      <c r="DE74" s="329">
        <v>18041374.700487059</v>
      </c>
      <c r="DF74" s="329">
        <v>0</v>
      </c>
      <c r="DG74" s="329">
        <v>0</v>
      </c>
      <c r="DH74" s="329">
        <v>0</v>
      </c>
      <c r="DI74" s="329">
        <v>0</v>
      </c>
      <c r="DJ74" s="329">
        <v>0</v>
      </c>
      <c r="DK74" s="329">
        <v>0</v>
      </c>
      <c r="DL74" s="329">
        <v>0</v>
      </c>
      <c r="DM74" s="329">
        <v>0</v>
      </c>
      <c r="DN74" s="329">
        <v>0</v>
      </c>
      <c r="DO74" s="329">
        <v>0</v>
      </c>
      <c r="DP74" s="325">
        <f t="shared" si="44"/>
        <v>18041374.700487059</v>
      </c>
      <c r="DQ74" s="332">
        <v>18041374.700487059</v>
      </c>
      <c r="DR74" s="329">
        <v>0</v>
      </c>
      <c r="DS74" s="329">
        <v>0</v>
      </c>
      <c r="DT74" s="329">
        <v>0</v>
      </c>
      <c r="DU74" s="329">
        <v>0</v>
      </c>
      <c r="DV74" s="329">
        <v>0</v>
      </c>
      <c r="DW74" s="329">
        <v>0</v>
      </c>
      <c r="DX74" s="329">
        <v>0</v>
      </c>
      <c r="DY74" s="329">
        <v>0</v>
      </c>
      <c r="DZ74" s="329">
        <v>0</v>
      </c>
      <c r="EA74" s="329">
        <v>0</v>
      </c>
      <c r="EB74" s="325">
        <f t="shared" si="45"/>
        <v>18041374.700487059</v>
      </c>
      <c r="EC74" s="332">
        <v>18041374.700487059</v>
      </c>
      <c r="ED74" s="329">
        <v>0</v>
      </c>
      <c r="EE74" s="329">
        <v>0</v>
      </c>
      <c r="EF74" s="329">
        <v>0</v>
      </c>
      <c r="EG74" s="329">
        <v>0</v>
      </c>
      <c r="EH74" s="329">
        <v>0</v>
      </c>
      <c r="EI74" s="329">
        <v>0</v>
      </c>
      <c r="EJ74" s="329">
        <v>0</v>
      </c>
      <c r="EK74" s="329">
        <v>0</v>
      </c>
      <c r="EL74" s="329">
        <v>0</v>
      </c>
      <c r="EM74" s="329">
        <v>0</v>
      </c>
      <c r="EN74" s="341">
        <f t="shared" si="46"/>
        <v>18041374.700487059</v>
      </c>
      <c r="EO74" s="331">
        <v>31.789000000000001</v>
      </c>
      <c r="EP74" s="91"/>
      <c r="EQ74" s="91"/>
      <c r="ER74" s="91"/>
      <c r="ES74" s="91"/>
      <c r="ET74" s="91"/>
      <c r="EU74" s="91"/>
      <c r="EV74" s="91"/>
      <c r="EW74" s="91"/>
      <c r="EX74" s="91"/>
    </row>
    <row r="75" spans="1:156" s="105" customFormat="1" ht="60" x14ac:dyDescent="0.25">
      <c r="A75" s="182"/>
      <c r="B75" s="176" t="s">
        <v>943</v>
      </c>
      <c r="C75" s="176" t="s">
        <v>66</v>
      </c>
      <c r="D75" s="176" t="s">
        <v>1144</v>
      </c>
      <c r="E75" s="176"/>
      <c r="F75" s="177" t="s">
        <v>67</v>
      </c>
      <c r="G75" s="269" t="s">
        <v>1461</v>
      </c>
      <c r="H75" s="270" t="s">
        <v>1443</v>
      </c>
      <c r="I75" s="271" t="s">
        <v>1501</v>
      </c>
      <c r="J75" s="296" t="s">
        <v>1143</v>
      </c>
      <c r="K75" s="175">
        <v>4</v>
      </c>
      <c r="L75" s="176">
        <v>0</v>
      </c>
      <c r="M75" s="332">
        <v>139838446.64152199</v>
      </c>
      <c r="N75" s="332">
        <v>0</v>
      </c>
      <c r="O75" s="332">
        <v>0</v>
      </c>
      <c r="P75" s="332">
        <v>0</v>
      </c>
      <c r="Q75" s="332">
        <v>0</v>
      </c>
      <c r="R75" s="332">
        <v>0</v>
      </c>
      <c r="S75" s="332">
        <v>0</v>
      </c>
      <c r="T75" s="332">
        <v>0</v>
      </c>
      <c r="U75" s="332">
        <v>0</v>
      </c>
      <c r="V75" s="332">
        <v>0</v>
      </c>
      <c r="W75" s="332">
        <v>0</v>
      </c>
      <c r="X75" s="325">
        <f t="shared" si="36"/>
        <v>0</v>
      </c>
      <c r="Y75" s="332">
        <v>0</v>
      </c>
      <c r="Z75" s="332">
        <v>0</v>
      </c>
      <c r="AA75" s="332">
        <v>0</v>
      </c>
      <c r="AB75" s="332">
        <v>0</v>
      </c>
      <c r="AC75" s="332">
        <v>0</v>
      </c>
      <c r="AD75" s="332">
        <v>0</v>
      </c>
      <c r="AE75" s="332">
        <v>0</v>
      </c>
      <c r="AF75" s="332">
        <v>0</v>
      </c>
      <c r="AG75" s="332">
        <v>0</v>
      </c>
      <c r="AH75" s="332">
        <v>0</v>
      </c>
      <c r="AI75" s="332">
        <v>0</v>
      </c>
      <c r="AJ75" s="332">
        <f t="shared" si="37"/>
        <v>0</v>
      </c>
      <c r="AK75" s="332">
        <v>1398384.47</v>
      </c>
      <c r="AL75" s="332">
        <v>0</v>
      </c>
      <c r="AM75" s="332">
        <v>0</v>
      </c>
      <c r="AN75" s="332">
        <v>0</v>
      </c>
      <c r="AO75" s="332">
        <v>0</v>
      </c>
      <c r="AP75" s="332">
        <v>0</v>
      </c>
      <c r="AQ75" s="332">
        <v>0</v>
      </c>
      <c r="AR75" s="332">
        <v>0</v>
      </c>
      <c r="AS75" s="332">
        <v>0</v>
      </c>
      <c r="AT75" s="332">
        <v>0</v>
      </c>
      <c r="AU75" s="332">
        <v>0</v>
      </c>
      <c r="AV75" s="332">
        <f t="shared" si="38"/>
        <v>1398384.47</v>
      </c>
      <c r="AW75" s="332">
        <v>1398384.47</v>
      </c>
      <c r="AX75" s="332">
        <v>0</v>
      </c>
      <c r="AY75" s="332">
        <v>0</v>
      </c>
      <c r="AZ75" s="332">
        <v>0</v>
      </c>
      <c r="BA75" s="332">
        <v>0</v>
      </c>
      <c r="BB75" s="332">
        <v>0</v>
      </c>
      <c r="BC75" s="332">
        <v>0</v>
      </c>
      <c r="BD75" s="332">
        <v>0</v>
      </c>
      <c r="BE75" s="332">
        <v>0</v>
      </c>
      <c r="BF75" s="332">
        <v>0</v>
      </c>
      <c r="BG75" s="332">
        <v>0</v>
      </c>
      <c r="BH75" s="325">
        <f t="shared" si="39"/>
        <v>1398384.47</v>
      </c>
      <c r="BI75" s="332">
        <v>1398384.47</v>
      </c>
      <c r="BJ75" s="332">
        <v>0</v>
      </c>
      <c r="BK75" s="332">
        <v>0</v>
      </c>
      <c r="BL75" s="332">
        <v>0</v>
      </c>
      <c r="BM75" s="332">
        <v>0</v>
      </c>
      <c r="BN75" s="332">
        <v>0</v>
      </c>
      <c r="BO75" s="332">
        <v>0</v>
      </c>
      <c r="BP75" s="332">
        <v>0</v>
      </c>
      <c r="BQ75" s="332">
        <v>0</v>
      </c>
      <c r="BR75" s="332">
        <v>0</v>
      </c>
      <c r="BS75" s="332">
        <v>0</v>
      </c>
      <c r="BT75" s="325">
        <f t="shared" si="40"/>
        <v>1398384.47</v>
      </c>
      <c r="BU75" s="332">
        <v>1398384.47</v>
      </c>
      <c r="BV75" s="332">
        <v>0</v>
      </c>
      <c r="BW75" s="332">
        <v>0</v>
      </c>
      <c r="BX75" s="332">
        <v>0</v>
      </c>
      <c r="BY75" s="332">
        <v>0</v>
      </c>
      <c r="BZ75" s="332">
        <v>0</v>
      </c>
      <c r="CA75" s="332">
        <v>0</v>
      </c>
      <c r="CB75" s="332">
        <v>0</v>
      </c>
      <c r="CC75" s="332">
        <v>0</v>
      </c>
      <c r="CD75" s="332">
        <v>0</v>
      </c>
      <c r="CE75" s="332">
        <v>0</v>
      </c>
      <c r="CF75" s="325">
        <f t="shared" si="41"/>
        <v>1398384.47</v>
      </c>
      <c r="CG75" s="332">
        <v>1398384.47</v>
      </c>
      <c r="CH75" s="332">
        <v>0</v>
      </c>
      <c r="CI75" s="332">
        <v>0</v>
      </c>
      <c r="CJ75" s="332">
        <v>0</v>
      </c>
      <c r="CK75" s="332">
        <v>0</v>
      </c>
      <c r="CL75" s="332">
        <v>0</v>
      </c>
      <c r="CM75" s="332">
        <v>0</v>
      </c>
      <c r="CN75" s="332">
        <v>0</v>
      </c>
      <c r="CO75" s="332">
        <v>0</v>
      </c>
      <c r="CP75" s="332">
        <v>0</v>
      </c>
      <c r="CQ75" s="332">
        <v>0</v>
      </c>
      <c r="CR75" s="325">
        <f t="shared" si="42"/>
        <v>1398384.47</v>
      </c>
      <c r="CS75" s="332">
        <v>33211631.079999998</v>
      </c>
      <c r="CT75" s="329">
        <v>0</v>
      </c>
      <c r="CU75" s="329">
        <v>0</v>
      </c>
      <c r="CV75" s="329">
        <v>0</v>
      </c>
      <c r="CW75" s="329">
        <v>0</v>
      </c>
      <c r="CX75" s="329">
        <v>0</v>
      </c>
      <c r="CY75" s="329">
        <v>0</v>
      </c>
      <c r="CZ75" s="329">
        <v>0</v>
      </c>
      <c r="DA75" s="329">
        <v>0</v>
      </c>
      <c r="DB75" s="329">
        <v>0</v>
      </c>
      <c r="DC75" s="329">
        <v>0</v>
      </c>
      <c r="DD75" s="325">
        <f t="shared" si="43"/>
        <v>33211631.079999998</v>
      </c>
      <c r="DE75" s="332">
        <v>33211631.079999998</v>
      </c>
      <c r="DF75" s="329">
        <v>0</v>
      </c>
      <c r="DG75" s="329">
        <v>0</v>
      </c>
      <c r="DH75" s="329">
        <v>0</v>
      </c>
      <c r="DI75" s="329">
        <v>0</v>
      </c>
      <c r="DJ75" s="329">
        <v>0</v>
      </c>
      <c r="DK75" s="329">
        <v>0</v>
      </c>
      <c r="DL75" s="329">
        <v>0</v>
      </c>
      <c r="DM75" s="329">
        <v>0</v>
      </c>
      <c r="DN75" s="329">
        <v>0</v>
      </c>
      <c r="DO75" s="329">
        <v>0</v>
      </c>
      <c r="DP75" s="325">
        <f t="shared" si="44"/>
        <v>33211631.079999998</v>
      </c>
      <c r="DQ75" s="332">
        <v>33211631.079999998</v>
      </c>
      <c r="DR75" s="329">
        <v>0</v>
      </c>
      <c r="DS75" s="329">
        <v>0</v>
      </c>
      <c r="DT75" s="329">
        <v>0</v>
      </c>
      <c r="DU75" s="329">
        <v>0</v>
      </c>
      <c r="DV75" s="329">
        <v>0</v>
      </c>
      <c r="DW75" s="329">
        <v>0</v>
      </c>
      <c r="DX75" s="329">
        <v>0</v>
      </c>
      <c r="DY75" s="329">
        <v>0</v>
      </c>
      <c r="DZ75" s="329">
        <v>0</v>
      </c>
      <c r="EA75" s="329">
        <v>0</v>
      </c>
      <c r="EB75" s="325">
        <f t="shared" si="45"/>
        <v>33211631.079999998</v>
      </c>
      <c r="EC75" s="332">
        <v>33211631.079999998</v>
      </c>
      <c r="ED75" s="329">
        <v>0</v>
      </c>
      <c r="EE75" s="329">
        <v>0</v>
      </c>
      <c r="EF75" s="329">
        <v>0</v>
      </c>
      <c r="EG75" s="329">
        <v>0</v>
      </c>
      <c r="EH75" s="329">
        <v>0</v>
      </c>
      <c r="EI75" s="329">
        <v>0</v>
      </c>
      <c r="EJ75" s="329">
        <v>0</v>
      </c>
      <c r="EK75" s="329">
        <v>0</v>
      </c>
      <c r="EL75" s="329">
        <v>0</v>
      </c>
      <c r="EM75" s="329">
        <v>0</v>
      </c>
      <c r="EN75" s="340">
        <f t="shared" si="46"/>
        <v>33211631.079999998</v>
      </c>
      <c r="EO75" s="331">
        <v>59.933</v>
      </c>
    </row>
    <row r="76" spans="1:156" s="105" customFormat="1" ht="36" x14ac:dyDescent="0.25">
      <c r="A76" s="193"/>
      <c r="B76" s="176" t="s">
        <v>1476</v>
      </c>
      <c r="C76" s="176" t="s">
        <v>226</v>
      </c>
      <c r="D76" s="176" t="s">
        <v>1146</v>
      </c>
      <c r="E76" s="176"/>
      <c r="F76" s="177" t="s">
        <v>227</v>
      </c>
      <c r="G76" s="269" t="s">
        <v>1465</v>
      </c>
      <c r="H76" s="270" t="s">
        <v>1448</v>
      </c>
      <c r="I76" s="271" t="s">
        <v>1529</v>
      </c>
      <c r="J76" s="296" t="s">
        <v>1147</v>
      </c>
      <c r="K76" s="175">
        <v>4</v>
      </c>
      <c r="L76" s="176">
        <v>0</v>
      </c>
      <c r="M76" s="332">
        <v>54661137.237016797</v>
      </c>
      <c r="N76" s="332">
        <v>0</v>
      </c>
      <c r="O76" s="332">
        <v>0</v>
      </c>
      <c r="P76" s="332">
        <v>0</v>
      </c>
      <c r="Q76" s="332">
        <v>0</v>
      </c>
      <c r="R76" s="332">
        <v>0</v>
      </c>
      <c r="S76" s="332">
        <v>0</v>
      </c>
      <c r="T76" s="332">
        <v>0</v>
      </c>
      <c r="U76" s="332">
        <v>0</v>
      </c>
      <c r="V76" s="332">
        <v>0</v>
      </c>
      <c r="W76" s="332">
        <v>0</v>
      </c>
      <c r="X76" s="325">
        <f t="shared" si="36"/>
        <v>0</v>
      </c>
      <c r="Y76" s="332">
        <v>0</v>
      </c>
      <c r="Z76" s="332">
        <v>0</v>
      </c>
      <c r="AA76" s="332">
        <v>0</v>
      </c>
      <c r="AB76" s="332">
        <v>0</v>
      </c>
      <c r="AC76" s="332">
        <v>0</v>
      </c>
      <c r="AD76" s="332">
        <v>0</v>
      </c>
      <c r="AE76" s="332">
        <v>0</v>
      </c>
      <c r="AF76" s="332">
        <v>0</v>
      </c>
      <c r="AG76" s="332">
        <v>0</v>
      </c>
      <c r="AH76" s="332">
        <v>0</v>
      </c>
      <c r="AI76" s="332">
        <v>0</v>
      </c>
      <c r="AJ76" s="332">
        <f t="shared" si="37"/>
        <v>0</v>
      </c>
      <c r="AK76" s="332">
        <v>0</v>
      </c>
      <c r="AL76" s="332">
        <v>0</v>
      </c>
      <c r="AM76" s="332">
        <v>0</v>
      </c>
      <c r="AN76" s="332">
        <v>0</v>
      </c>
      <c r="AO76" s="332">
        <v>0</v>
      </c>
      <c r="AP76" s="332">
        <v>0</v>
      </c>
      <c r="AQ76" s="332">
        <v>0</v>
      </c>
      <c r="AR76" s="332">
        <v>0</v>
      </c>
      <c r="AS76" s="332">
        <v>0</v>
      </c>
      <c r="AT76" s="332">
        <v>0</v>
      </c>
      <c r="AU76" s="332">
        <v>0</v>
      </c>
      <c r="AV76" s="332">
        <f t="shared" si="38"/>
        <v>0</v>
      </c>
      <c r="AW76" s="332">
        <v>546611.37</v>
      </c>
      <c r="AX76" s="332">
        <v>0</v>
      </c>
      <c r="AY76" s="332">
        <v>0</v>
      </c>
      <c r="AZ76" s="332">
        <v>0</v>
      </c>
      <c r="BA76" s="332">
        <v>0</v>
      </c>
      <c r="BB76" s="332">
        <v>0</v>
      </c>
      <c r="BC76" s="332">
        <v>0</v>
      </c>
      <c r="BD76" s="332">
        <v>0</v>
      </c>
      <c r="BE76" s="332">
        <v>0</v>
      </c>
      <c r="BF76" s="332">
        <v>0</v>
      </c>
      <c r="BG76" s="332">
        <v>0</v>
      </c>
      <c r="BH76" s="325">
        <f t="shared" si="39"/>
        <v>546611.37</v>
      </c>
      <c r="BI76" s="332">
        <v>546611.37</v>
      </c>
      <c r="BJ76" s="332">
        <v>0</v>
      </c>
      <c r="BK76" s="332">
        <v>0</v>
      </c>
      <c r="BL76" s="332">
        <v>0</v>
      </c>
      <c r="BM76" s="332">
        <v>0</v>
      </c>
      <c r="BN76" s="332">
        <v>0</v>
      </c>
      <c r="BO76" s="332">
        <v>0</v>
      </c>
      <c r="BP76" s="332">
        <v>0</v>
      </c>
      <c r="BQ76" s="332">
        <v>0</v>
      </c>
      <c r="BR76" s="332">
        <v>0</v>
      </c>
      <c r="BS76" s="332">
        <v>0</v>
      </c>
      <c r="BT76" s="325">
        <f t="shared" si="40"/>
        <v>546611.37</v>
      </c>
      <c r="BU76" s="332">
        <v>546611.37</v>
      </c>
      <c r="BV76" s="332">
        <v>0</v>
      </c>
      <c r="BW76" s="332">
        <v>0</v>
      </c>
      <c r="BX76" s="332">
        <v>0</v>
      </c>
      <c r="BY76" s="332">
        <v>0</v>
      </c>
      <c r="BZ76" s="332">
        <v>0</v>
      </c>
      <c r="CA76" s="332">
        <v>0</v>
      </c>
      <c r="CB76" s="332">
        <v>0</v>
      </c>
      <c r="CC76" s="332">
        <v>0</v>
      </c>
      <c r="CD76" s="332">
        <v>0</v>
      </c>
      <c r="CE76" s="332">
        <v>0</v>
      </c>
      <c r="CF76" s="325">
        <f t="shared" si="41"/>
        <v>546611.37</v>
      </c>
      <c r="CG76" s="332">
        <v>546611.37</v>
      </c>
      <c r="CH76" s="332">
        <v>0</v>
      </c>
      <c r="CI76" s="332">
        <v>0</v>
      </c>
      <c r="CJ76" s="332">
        <v>0</v>
      </c>
      <c r="CK76" s="332">
        <v>0</v>
      </c>
      <c r="CL76" s="332">
        <v>0</v>
      </c>
      <c r="CM76" s="332">
        <v>0</v>
      </c>
      <c r="CN76" s="332">
        <v>0</v>
      </c>
      <c r="CO76" s="332">
        <v>0</v>
      </c>
      <c r="CP76" s="332">
        <v>0</v>
      </c>
      <c r="CQ76" s="332">
        <v>0</v>
      </c>
      <c r="CR76" s="325">
        <f t="shared" si="42"/>
        <v>546611.37</v>
      </c>
      <c r="CS76" s="332">
        <v>546611.37</v>
      </c>
      <c r="CT76" s="329">
        <v>0</v>
      </c>
      <c r="CU76" s="329">
        <v>0</v>
      </c>
      <c r="CV76" s="329">
        <v>0</v>
      </c>
      <c r="CW76" s="329">
        <v>0</v>
      </c>
      <c r="CX76" s="329">
        <v>0</v>
      </c>
      <c r="CY76" s="329">
        <v>0</v>
      </c>
      <c r="CZ76" s="329">
        <v>0</v>
      </c>
      <c r="DA76" s="329">
        <v>0</v>
      </c>
      <c r="DB76" s="329">
        <v>0</v>
      </c>
      <c r="DC76" s="329">
        <v>0</v>
      </c>
      <c r="DD76" s="325">
        <f t="shared" si="43"/>
        <v>546611.37</v>
      </c>
      <c r="DE76" s="332">
        <v>17309360.129999999</v>
      </c>
      <c r="DF76" s="329">
        <v>0</v>
      </c>
      <c r="DG76" s="329">
        <v>0</v>
      </c>
      <c r="DH76" s="329">
        <v>0</v>
      </c>
      <c r="DI76" s="329">
        <v>0</v>
      </c>
      <c r="DJ76" s="329">
        <v>0</v>
      </c>
      <c r="DK76" s="329">
        <v>0</v>
      </c>
      <c r="DL76" s="329">
        <v>0</v>
      </c>
      <c r="DM76" s="329">
        <v>0</v>
      </c>
      <c r="DN76" s="329">
        <v>0</v>
      </c>
      <c r="DO76" s="329">
        <v>0</v>
      </c>
      <c r="DP76" s="325">
        <f t="shared" si="44"/>
        <v>17309360.129999999</v>
      </c>
      <c r="DQ76" s="332">
        <v>17309360.129999999</v>
      </c>
      <c r="DR76" s="329">
        <v>0</v>
      </c>
      <c r="DS76" s="329">
        <v>0</v>
      </c>
      <c r="DT76" s="329">
        <v>0</v>
      </c>
      <c r="DU76" s="329">
        <v>0</v>
      </c>
      <c r="DV76" s="329">
        <v>0</v>
      </c>
      <c r="DW76" s="329">
        <v>0</v>
      </c>
      <c r="DX76" s="329">
        <v>0</v>
      </c>
      <c r="DY76" s="329">
        <v>0</v>
      </c>
      <c r="DZ76" s="329">
        <v>0</v>
      </c>
      <c r="EA76" s="329">
        <v>0</v>
      </c>
      <c r="EB76" s="325">
        <f t="shared" si="45"/>
        <v>17309360.129999999</v>
      </c>
      <c r="EC76" s="332">
        <v>17309360.129999999</v>
      </c>
      <c r="ED76" s="329">
        <v>0</v>
      </c>
      <c r="EE76" s="329">
        <v>0</v>
      </c>
      <c r="EF76" s="329">
        <v>0</v>
      </c>
      <c r="EG76" s="329">
        <v>0</v>
      </c>
      <c r="EH76" s="329">
        <v>0</v>
      </c>
      <c r="EI76" s="329">
        <v>0</v>
      </c>
      <c r="EJ76" s="329">
        <v>0</v>
      </c>
      <c r="EK76" s="329">
        <v>0</v>
      </c>
      <c r="EL76" s="329">
        <v>0</v>
      </c>
      <c r="EM76" s="329">
        <v>0</v>
      </c>
      <c r="EN76" s="340">
        <f t="shared" si="46"/>
        <v>17309360.129999999</v>
      </c>
      <c r="EO76" s="331">
        <v>15.653</v>
      </c>
    </row>
    <row r="77" spans="1:156" s="105" customFormat="1" ht="48" x14ac:dyDescent="0.25">
      <c r="A77" s="193"/>
      <c r="B77" s="176" t="s">
        <v>945</v>
      </c>
      <c r="C77" s="176" t="s">
        <v>234</v>
      </c>
      <c r="D77" s="176" t="s">
        <v>1149</v>
      </c>
      <c r="E77" s="176"/>
      <c r="F77" s="177" t="s">
        <v>235</v>
      </c>
      <c r="G77" s="269" t="s">
        <v>1461</v>
      </c>
      <c r="H77" s="270" t="s">
        <v>1443</v>
      </c>
      <c r="I77" s="271" t="s">
        <v>1505</v>
      </c>
      <c r="J77" s="296" t="s">
        <v>946</v>
      </c>
      <c r="K77" s="175" t="s">
        <v>1148</v>
      </c>
      <c r="L77" s="176">
        <v>0</v>
      </c>
      <c r="M77" s="332">
        <v>194313622.90686801</v>
      </c>
      <c r="N77" s="332">
        <v>0</v>
      </c>
      <c r="O77" s="332">
        <v>0</v>
      </c>
      <c r="P77" s="332">
        <v>0</v>
      </c>
      <c r="Q77" s="332">
        <v>0</v>
      </c>
      <c r="R77" s="332">
        <v>0</v>
      </c>
      <c r="S77" s="332">
        <v>0</v>
      </c>
      <c r="T77" s="332">
        <v>0</v>
      </c>
      <c r="U77" s="332">
        <v>0</v>
      </c>
      <c r="V77" s="332">
        <v>0</v>
      </c>
      <c r="W77" s="332">
        <v>0</v>
      </c>
      <c r="X77" s="325">
        <f t="shared" si="36"/>
        <v>0</v>
      </c>
      <c r="Y77" s="332">
        <v>0</v>
      </c>
      <c r="Z77" s="332">
        <v>0</v>
      </c>
      <c r="AA77" s="332">
        <v>0</v>
      </c>
      <c r="AB77" s="332">
        <v>0</v>
      </c>
      <c r="AC77" s="332">
        <v>0</v>
      </c>
      <c r="AD77" s="332">
        <v>0</v>
      </c>
      <c r="AE77" s="332">
        <v>0</v>
      </c>
      <c r="AF77" s="332">
        <v>0</v>
      </c>
      <c r="AG77" s="332">
        <v>0</v>
      </c>
      <c r="AH77" s="332">
        <v>0</v>
      </c>
      <c r="AI77" s="332">
        <v>0</v>
      </c>
      <c r="AJ77" s="332">
        <f t="shared" si="37"/>
        <v>0</v>
      </c>
      <c r="AK77" s="332">
        <v>1943136.23</v>
      </c>
      <c r="AL77" s="332">
        <v>0</v>
      </c>
      <c r="AM77" s="332">
        <v>0</v>
      </c>
      <c r="AN77" s="332">
        <v>0</v>
      </c>
      <c r="AO77" s="332">
        <v>0</v>
      </c>
      <c r="AP77" s="332">
        <v>0</v>
      </c>
      <c r="AQ77" s="332">
        <v>0</v>
      </c>
      <c r="AR77" s="332">
        <v>0</v>
      </c>
      <c r="AS77" s="332">
        <v>0</v>
      </c>
      <c r="AT77" s="332">
        <v>0</v>
      </c>
      <c r="AU77" s="332">
        <v>0</v>
      </c>
      <c r="AV77" s="332">
        <f t="shared" si="38"/>
        <v>1943136.23</v>
      </c>
      <c r="AW77" s="332">
        <v>1943136.23</v>
      </c>
      <c r="AX77" s="332">
        <v>0</v>
      </c>
      <c r="AY77" s="332">
        <v>0</v>
      </c>
      <c r="AZ77" s="332">
        <v>0</v>
      </c>
      <c r="BA77" s="332">
        <v>0</v>
      </c>
      <c r="BB77" s="332">
        <v>0</v>
      </c>
      <c r="BC77" s="332">
        <v>0</v>
      </c>
      <c r="BD77" s="332">
        <v>0</v>
      </c>
      <c r="BE77" s="332">
        <v>0</v>
      </c>
      <c r="BF77" s="332">
        <v>0</v>
      </c>
      <c r="BG77" s="332">
        <v>0</v>
      </c>
      <c r="BH77" s="325">
        <f t="shared" si="39"/>
        <v>1943136.23</v>
      </c>
      <c r="BI77" s="332">
        <v>1943136.23</v>
      </c>
      <c r="BJ77" s="332">
        <v>0</v>
      </c>
      <c r="BK77" s="332">
        <v>0</v>
      </c>
      <c r="BL77" s="332">
        <v>0</v>
      </c>
      <c r="BM77" s="332">
        <v>0</v>
      </c>
      <c r="BN77" s="332">
        <v>0</v>
      </c>
      <c r="BO77" s="332">
        <v>0</v>
      </c>
      <c r="BP77" s="332">
        <v>0</v>
      </c>
      <c r="BQ77" s="332">
        <v>0</v>
      </c>
      <c r="BR77" s="332">
        <v>0</v>
      </c>
      <c r="BS77" s="332">
        <v>0</v>
      </c>
      <c r="BT77" s="325">
        <f t="shared" si="40"/>
        <v>1943136.23</v>
      </c>
      <c r="BU77" s="332">
        <v>1943136.23</v>
      </c>
      <c r="BV77" s="332">
        <v>0</v>
      </c>
      <c r="BW77" s="332">
        <v>0</v>
      </c>
      <c r="BX77" s="332">
        <v>0</v>
      </c>
      <c r="BY77" s="332">
        <v>0</v>
      </c>
      <c r="BZ77" s="332">
        <v>0</v>
      </c>
      <c r="CA77" s="332">
        <v>0</v>
      </c>
      <c r="CB77" s="332">
        <v>0</v>
      </c>
      <c r="CC77" s="332">
        <v>0</v>
      </c>
      <c r="CD77" s="332">
        <v>0</v>
      </c>
      <c r="CE77" s="332">
        <v>0</v>
      </c>
      <c r="CF77" s="325">
        <f t="shared" si="41"/>
        <v>1943136.23</v>
      </c>
      <c r="CG77" s="332">
        <v>1943136.23</v>
      </c>
      <c r="CH77" s="332">
        <v>0</v>
      </c>
      <c r="CI77" s="332">
        <v>0</v>
      </c>
      <c r="CJ77" s="332">
        <v>0</v>
      </c>
      <c r="CK77" s="332">
        <v>0</v>
      </c>
      <c r="CL77" s="332">
        <v>0</v>
      </c>
      <c r="CM77" s="332">
        <v>0</v>
      </c>
      <c r="CN77" s="332">
        <v>0</v>
      </c>
      <c r="CO77" s="332">
        <v>0</v>
      </c>
      <c r="CP77" s="332">
        <v>0</v>
      </c>
      <c r="CQ77" s="332">
        <v>0</v>
      </c>
      <c r="CR77" s="325">
        <f t="shared" si="42"/>
        <v>1943136.23</v>
      </c>
      <c r="CS77" s="332">
        <v>46149485.439999998</v>
      </c>
      <c r="CT77" s="329">
        <v>0</v>
      </c>
      <c r="CU77" s="329">
        <v>0</v>
      </c>
      <c r="CV77" s="329">
        <v>0</v>
      </c>
      <c r="CW77" s="329">
        <v>0</v>
      </c>
      <c r="CX77" s="329">
        <v>0</v>
      </c>
      <c r="CY77" s="329">
        <v>0</v>
      </c>
      <c r="CZ77" s="329">
        <v>0</v>
      </c>
      <c r="DA77" s="329">
        <v>0</v>
      </c>
      <c r="DB77" s="329">
        <v>0</v>
      </c>
      <c r="DC77" s="329">
        <v>0</v>
      </c>
      <c r="DD77" s="325">
        <f t="shared" si="43"/>
        <v>46149485.439999998</v>
      </c>
      <c r="DE77" s="332">
        <v>46149485.439999998</v>
      </c>
      <c r="DF77" s="329">
        <v>0</v>
      </c>
      <c r="DG77" s="329">
        <v>0</v>
      </c>
      <c r="DH77" s="329">
        <v>0</v>
      </c>
      <c r="DI77" s="329">
        <v>0</v>
      </c>
      <c r="DJ77" s="329">
        <v>0</v>
      </c>
      <c r="DK77" s="329">
        <v>0</v>
      </c>
      <c r="DL77" s="329">
        <v>0</v>
      </c>
      <c r="DM77" s="329">
        <v>0</v>
      </c>
      <c r="DN77" s="329">
        <v>0</v>
      </c>
      <c r="DO77" s="329">
        <v>0</v>
      </c>
      <c r="DP77" s="325">
        <f t="shared" si="44"/>
        <v>46149485.439999998</v>
      </c>
      <c r="DQ77" s="332">
        <v>46149485.439999998</v>
      </c>
      <c r="DR77" s="329">
        <v>0</v>
      </c>
      <c r="DS77" s="329">
        <v>0</v>
      </c>
      <c r="DT77" s="329">
        <v>0</v>
      </c>
      <c r="DU77" s="329">
        <v>0</v>
      </c>
      <c r="DV77" s="329">
        <v>0</v>
      </c>
      <c r="DW77" s="329">
        <v>0</v>
      </c>
      <c r="DX77" s="329">
        <v>0</v>
      </c>
      <c r="DY77" s="329">
        <v>0</v>
      </c>
      <c r="DZ77" s="329">
        <v>0</v>
      </c>
      <c r="EA77" s="329">
        <v>0</v>
      </c>
      <c r="EB77" s="325">
        <f t="shared" si="45"/>
        <v>46149485.439999998</v>
      </c>
      <c r="EC77" s="332">
        <v>46149485.439999998</v>
      </c>
      <c r="ED77" s="329">
        <v>0</v>
      </c>
      <c r="EE77" s="329">
        <v>0</v>
      </c>
      <c r="EF77" s="329">
        <v>0</v>
      </c>
      <c r="EG77" s="329">
        <v>0</v>
      </c>
      <c r="EH77" s="329">
        <v>0</v>
      </c>
      <c r="EI77" s="329">
        <v>0</v>
      </c>
      <c r="EJ77" s="329">
        <v>0</v>
      </c>
      <c r="EK77" s="329">
        <v>0</v>
      </c>
      <c r="EL77" s="329">
        <v>0</v>
      </c>
      <c r="EM77" s="329">
        <v>0</v>
      </c>
      <c r="EN77" s="340">
        <f t="shared" si="46"/>
        <v>46149485.439999998</v>
      </c>
      <c r="EO77" s="331">
        <v>36.374000000000002</v>
      </c>
    </row>
    <row r="78" spans="1:156" s="105" customFormat="1" ht="72" x14ac:dyDescent="0.25">
      <c r="A78" s="193"/>
      <c r="B78" s="175" t="s">
        <v>791</v>
      </c>
      <c r="C78" s="176" t="s">
        <v>92</v>
      </c>
      <c r="D78" s="175" t="s">
        <v>1267</v>
      </c>
      <c r="E78" s="175"/>
      <c r="F78" s="177" t="s">
        <v>93</v>
      </c>
      <c r="G78" s="269" t="s">
        <v>1461</v>
      </c>
      <c r="H78" s="270" t="s">
        <v>1443</v>
      </c>
      <c r="I78" s="271" t="s">
        <v>1519</v>
      </c>
      <c r="J78" s="175" t="s">
        <v>923</v>
      </c>
      <c r="K78" s="175">
        <v>10.8</v>
      </c>
      <c r="L78" s="176">
        <v>0</v>
      </c>
      <c r="M78" s="332">
        <v>2866575.9088295102</v>
      </c>
      <c r="N78" s="332">
        <v>0</v>
      </c>
      <c r="O78" s="332">
        <v>0</v>
      </c>
      <c r="P78" s="332">
        <v>0</v>
      </c>
      <c r="Q78" s="332">
        <v>0</v>
      </c>
      <c r="R78" s="332">
        <v>0</v>
      </c>
      <c r="S78" s="332">
        <v>0</v>
      </c>
      <c r="T78" s="332">
        <v>0</v>
      </c>
      <c r="U78" s="332">
        <v>0</v>
      </c>
      <c r="V78" s="332">
        <v>0</v>
      </c>
      <c r="W78" s="332">
        <v>0</v>
      </c>
      <c r="X78" s="325">
        <f t="shared" si="36"/>
        <v>0</v>
      </c>
      <c r="Y78" s="332">
        <v>0</v>
      </c>
      <c r="Z78" s="332">
        <v>0</v>
      </c>
      <c r="AA78" s="332">
        <v>0</v>
      </c>
      <c r="AB78" s="332">
        <v>0</v>
      </c>
      <c r="AC78" s="332">
        <v>0</v>
      </c>
      <c r="AD78" s="332">
        <v>0</v>
      </c>
      <c r="AE78" s="332">
        <v>0</v>
      </c>
      <c r="AF78" s="332">
        <v>0</v>
      </c>
      <c r="AG78" s="332">
        <v>0</v>
      </c>
      <c r="AH78" s="332">
        <v>0</v>
      </c>
      <c r="AI78" s="332">
        <v>0</v>
      </c>
      <c r="AJ78" s="332">
        <f t="shared" si="37"/>
        <v>0</v>
      </c>
      <c r="AK78" s="329">
        <v>0</v>
      </c>
      <c r="AL78" s="329">
        <v>0</v>
      </c>
      <c r="AM78" s="329">
        <v>0</v>
      </c>
      <c r="AN78" s="329">
        <v>0</v>
      </c>
      <c r="AO78" s="329">
        <v>0</v>
      </c>
      <c r="AP78" s="329">
        <v>0</v>
      </c>
      <c r="AQ78" s="329">
        <v>0</v>
      </c>
      <c r="AR78" s="329">
        <v>0</v>
      </c>
      <c r="AS78" s="329">
        <v>0</v>
      </c>
      <c r="AT78" s="329">
        <v>0</v>
      </c>
      <c r="AU78" s="329">
        <v>0</v>
      </c>
      <c r="AV78" s="332">
        <f t="shared" si="38"/>
        <v>0</v>
      </c>
      <c r="AW78" s="332">
        <v>47776.27</v>
      </c>
      <c r="AX78" s="332">
        <v>0</v>
      </c>
      <c r="AY78" s="332">
        <v>0</v>
      </c>
      <c r="AZ78" s="332">
        <v>0</v>
      </c>
      <c r="BA78" s="332">
        <v>0</v>
      </c>
      <c r="BB78" s="332">
        <v>0</v>
      </c>
      <c r="BC78" s="332">
        <v>0</v>
      </c>
      <c r="BD78" s="332">
        <v>0</v>
      </c>
      <c r="BE78" s="332">
        <v>0</v>
      </c>
      <c r="BF78" s="332">
        <v>0</v>
      </c>
      <c r="BG78" s="332">
        <v>0</v>
      </c>
      <c r="BH78" s="332">
        <f t="shared" si="39"/>
        <v>47776.27</v>
      </c>
      <c r="BI78" s="332">
        <v>47776.27</v>
      </c>
      <c r="BJ78" s="332">
        <v>0</v>
      </c>
      <c r="BK78" s="332">
        <v>0</v>
      </c>
      <c r="BL78" s="332">
        <v>0</v>
      </c>
      <c r="BM78" s="332">
        <v>0</v>
      </c>
      <c r="BN78" s="332">
        <v>0</v>
      </c>
      <c r="BO78" s="332">
        <v>0</v>
      </c>
      <c r="BP78" s="332">
        <v>0</v>
      </c>
      <c r="BQ78" s="332">
        <v>0</v>
      </c>
      <c r="BR78" s="332">
        <v>0</v>
      </c>
      <c r="BS78" s="332">
        <v>0</v>
      </c>
      <c r="BT78" s="332">
        <f t="shared" si="40"/>
        <v>47776.27</v>
      </c>
      <c r="BU78" s="332">
        <v>47776.27</v>
      </c>
      <c r="BV78" s="332">
        <v>0</v>
      </c>
      <c r="BW78" s="332">
        <v>0</v>
      </c>
      <c r="BX78" s="332">
        <v>0</v>
      </c>
      <c r="BY78" s="332">
        <v>0</v>
      </c>
      <c r="BZ78" s="332">
        <v>0</v>
      </c>
      <c r="CA78" s="332">
        <v>0</v>
      </c>
      <c r="CB78" s="332">
        <v>0</v>
      </c>
      <c r="CC78" s="332">
        <v>0</v>
      </c>
      <c r="CD78" s="332">
        <v>0</v>
      </c>
      <c r="CE78" s="332">
        <v>0</v>
      </c>
      <c r="CF78" s="332">
        <f t="shared" si="41"/>
        <v>47776.27</v>
      </c>
      <c r="CG78" s="332">
        <v>2723247.11</v>
      </c>
      <c r="CH78" s="332">
        <v>0</v>
      </c>
      <c r="CI78" s="332">
        <v>0</v>
      </c>
      <c r="CJ78" s="332">
        <v>0</v>
      </c>
      <c r="CK78" s="332">
        <v>0</v>
      </c>
      <c r="CL78" s="332">
        <v>0</v>
      </c>
      <c r="CM78" s="332">
        <v>0</v>
      </c>
      <c r="CN78" s="332">
        <v>0</v>
      </c>
      <c r="CO78" s="332">
        <v>0</v>
      </c>
      <c r="CP78" s="332">
        <v>0</v>
      </c>
      <c r="CQ78" s="332">
        <v>0</v>
      </c>
      <c r="CR78" s="325">
        <f t="shared" si="42"/>
        <v>2723247.11</v>
      </c>
      <c r="CS78" s="332">
        <v>0</v>
      </c>
      <c r="CT78" s="332">
        <v>0</v>
      </c>
      <c r="CU78" s="332">
        <v>0</v>
      </c>
      <c r="CV78" s="332">
        <v>0</v>
      </c>
      <c r="CW78" s="332">
        <v>0</v>
      </c>
      <c r="CX78" s="332">
        <v>0</v>
      </c>
      <c r="CY78" s="332">
        <v>0</v>
      </c>
      <c r="CZ78" s="332">
        <v>0</v>
      </c>
      <c r="DA78" s="332">
        <v>0</v>
      </c>
      <c r="DB78" s="332">
        <v>0</v>
      </c>
      <c r="DC78" s="332">
        <v>0</v>
      </c>
      <c r="DD78" s="332">
        <f t="shared" si="43"/>
        <v>0</v>
      </c>
      <c r="DE78" s="332">
        <v>0</v>
      </c>
      <c r="DF78" s="329">
        <v>0</v>
      </c>
      <c r="DG78" s="329">
        <v>0</v>
      </c>
      <c r="DH78" s="329">
        <v>0</v>
      </c>
      <c r="DI78" s="329">
        <v>0</v>
      </c>
      <c r="DJ78" s="329">
        <v>0</v>
      </c>
      <c r="DK78" s="329">
        <v>0</v>
      </c>
      <c r="DL78" s="329">
        <v>0</v>
      </c>
      <c r="DM78" s="329">
        <v>0</v>
      </c>
      <c r="DN78" s="329">
        <v>0</v>
      </c>
      <c r="DO78" s="329">
        <v>0</v>
      </c>
      <c r="DP78" s="332">
        <f t="shared" si="44"/>
        <v>0</v>
      </c>
      <c r="DQ78" s="332">
        <v>0</v>
      </c>
      <c r="DR78" s="329">
        <v>0</v>
      </c>
      <c r="DS78" s="329">
        <v>0</v>
      </c>
      <c r="DT78" s="329">
        <v>0</v>
      </c>
      <c r="DU78" s="329">
        <v>0</v>
      </c>
      <c r="DV78" s="329">
        <v>0</v>
      </c>
      <c r="DW78" s="329">
        <v>0</v>
      </c>
      <c r="DX78" s="329">
        <v>0</v>
      </c>
      <c r="DY78" s="329">
        <v>0</v>
      </c>
      <c r="DZ78" s="329">
        <v>0</v>
      </c>
      <c r="EA78" s="329">
        <v>0</v>
      </c>
      <c r="EB78" s="332">
        <f t="shared" si="45"/>
        <v>0</v>
      </c>
      <c r="EC78" s="332">
        <v>0</v>
      </c>
      <c r="ED78" s="329">
        <v>0</v>
      </c>
      <c r="EE78" s="329">
        <v>0</v>
      </c>
      <c r="EF78" s="329">
        <v>0</v>
      </c>
      <c r="EG78" s="329">
        <v>0</v>
      </c>
      <c r="EH78" s="329">
        <v>0</v>
      </c>
      <c r="EI78" s="329">
        <v>0</v>
      </c>
      <c r="EJ78" s="329">
        <v>0</v>
      </c>
      <c r="EK78" s="329">
        <v>0</v>
      </c>
      <c r="EL78" s="329">
        <v>0</v>
      </c>
      <c r="EM78" s="329">
        <v>0</v>
      </c>
      <c r="EN78" s="340">
        <f t="shared" si="46"/>
        <v>0</v>
      </c>
      <c r="EO78" s="331">
        <v>1.7629999999999999</v>
      </c>
    </row>
    <row r="79" spans="1:156" s="105" customFormat="1" ht="48" x14ac:dyDescent="0.25">
      <c r="A79" s="193"/>
      <c r="B79" s="175" t="s">
        <v>845</v>
      </c>
      <c r="C79" s="176" t="s">
        <v>60</v>
      </c>
      <c r="D79" s="175" t="s">
        <v>1268</v>
      </c>
      <c r="E79" s="175"/>
      <c r="F79" s="177" t="s">
        <v>61</v>
      </c>
      <c r="G79" s="269" t="s">
        <v>1461</v>
      </c>
      <c r="H79" s="270" t="s">
        <v>1443</v>
      </c>
      <c r="I79" s="271" t="s">
        <v>1520</v>
      </c>
      <c r="J79" s="175" t="s">
        <v>923</v>
      </c>
      <c r="K79" s="175">
        <v>10</v>
      </c>
      <c r="L79" s="176">
        <v>0</v>
      </c>
      <c r="M79" s="332">
        <v>74760178.765702799</v>
      </c>
      <c r="N79" s="332">
        <v>0</v>
      </c>
      <c r="O79" s="332">
        <v>0</v>
      </c>
      <c r="P79" s="332">
        <v>0</v>
      </c>
      <c r="Q79" s="332">
        <v>0</v>
      </c>
      <c r="R79" s="332">
        <v>0</v>
      </c>
      <c r="S79" s="332">
        <v>0</v>
      </c>
      <c r="T79" s="332">
        <v>0</v>
      </c>
      <c r="U79" s="332">
        <v>0</v>
      </c>
      <c r="V79" s="332">
        <v>0</v>
      </c>
      <c r="W79" s="332">
        <v>0</v>
      </c>
      <c r="X79" s="325">
        <f t="shared" si="36"/>
        <v>0</v>
      </c>
      <c r="Y79" s="332">
        <v>0</v>
      </c>
      <c r="Z79" s="332">
        <v>0</v>
      </c>
      <c r="AA79" s="332">
        <v>0</v>
      </c>
      <c r="AB79" s="332">
        <v>0</v>
      </c>
      <c r="AC79" s="332">
        <v>0</v>
      </c>
      <c r="AD79" s="332">
        <v>0</v>
      </c>
      <c r="AE79" s="332">
        <v>0</v>
      </c>
      <c r="AF79" s="332">
        <v>0</v>
      </c>
      <c r="AG79" s="332">
        <v>0</v>
      </c>
      <c r="AH79" s="332">
        <v>0</v>
      </c>
      <c r="AI79" s="332">
        <v>0</v>
      </c>
      <c r="AJ79" s="332">
        <f t="shared" si="37"/>
        <v>0</v>
      </c>
      <c r="AK79" s="329">
        <v>0</v>
      </c>
      <c r="AL79" s="329">
        <v>0</v>
      </c>
      <c r="AM79" s="329">
        <v>0</v>
      </c>
      <c r="AN79" s="329">
        <v>0</v>
      </c>
      <c r="AO79" s="329">
        <v>0</v>
      </c>
      <c r="AP79" s="329">
        <v>0</v>
      </c>
      <c r="AQ79" s="329">
        <v>0</v>
      </c>
      <c r="AR79" s="329">
        <v>0</v>
      </c>
      <c r="AS79" s="329">
        <v>0</v>
      </c>
      <c r="AT79" s="329">
        <v>0</v>
      </c>
      <c r="AU79" s="329">
        <v>0</v>
      </c>
      <c r="AV79" s="332">
        <f t="shared" si="38"/>
        <v>0</v>
      </c>
      <c r="AW79" s="332">
        <v>747601.79</v>
      </c>
      <c r="AX79" s="332">
        <v>0</v>
      </c>
      <c r="AY79" s="332">
        <v>0</v>
      </c>
      <c r="AZ79" s="332">
        <v>0</v>
      </c>
      <c r="BA79" s="332">
        <v>0</v>
      </c>
      <c r="BB79" s="332">
        <v>0</v>
      </c>
      <c r="BC79" s="332">
        <v>0</v>
      </c>
      <c r="BD79" s="332">
        <v>0</v>
      </c>
      <c r="BE79" s="332">
        <v>0</v>
      </c>
      <c r="BF79" s="332">
        <v>0</v>
      </c>
      <c r="BG79" s="332">
        <v>0</v>
      </c>
      <c r="BH79" s="332">
        <f t="shared" si="39"/>
        <v>747601.79</v>
      </c>
      <c r="BI79" s="332">
        <v>747601.79</v>
      </c>
      <c r="BJ79" s="332">
        <v>0</v>
      </c>
      <c r="BK79" s="332">
        <v>0</v>
      </c>
      <c r="BL79" s="332">
        <v>0</v>
      </c>
      <c r="BM79" s="332">
        <v>0</v>
      </c>
      <c r="BN79" s="332">
        <v>0</v>
      </c>
      <c r="BO79" s="332">
        <v>0</v>
      </c>
      <c r="BP79" s="332">
        <v>0</v>
      </c>
      <c r="BQ79" s="332">
        <v>0</v>
      </c>
      <c r="BR79" s="332">
        <v>0</v>
      </c>
      <c r="BS79" s="332">
        <v>0</v>
      </c>
      <c r="BT79" s="332">
        <f t="shared" si="40"/>
        <v>747601.79</v>
      </c>
      <c r="BU79" s="332">
        <v>747601.79</v>
      </c>
      <c r="BV79" s="332">
        <v>0</v>
      </c>
      <c r="BW79" s="332">
        <v>0</v>
      </c>
      <c r="BX79" s="332">
        <v>0</v>
      </c>
      <c r="BY79" s="332">
        <v>0</v>
      </c>
      <c r="BZ79" s="332">
        <v>0</v>
      </c>
      <c r="CA79" s="332">
        <v>0</v>
      </c>
      <c r="CB79" s="332">
        <v>0</v>
      </c>
      <c r="CC79" s="332">
        <v>0</v>
      </c>
      <c r="CD79" s="332">
        <v>0</v>
      </c>
      <c r="CE79" s="332">
        <v>0</v>
      </c>
      <c r="CF79" s="332">
        <f t="shared" si="41"/>
        <v>747601.79</v>
      </c>
      <c r="CG79" s="332">
        <v>747601.79</v>
      </c>
      <c r="CH79" s="332">
        <v>0</v>
      </c>
      <c r="CI79" s="332">
        <v>0</v>
      </c>
      <c r="CJ79" s="332">
        <v>0</v>
      </c>
      <c r="CK79" s="332">
        <v>0</v>
      </c>
      <c r="CL79" s="332">
        <v>0</v>
      </c>
      <c r="CM79" s="332">
        <v>0</v>
      </c>
      <c r="CN79" s="332">
        <v>0</v>
      </c>
      <c r="CO79" s="332">
        <v>0</v>
      </c>
      <c r="CP79" s="332">
        <v>0</v>
      </c>
      <c r="CQ79" s="332">
        <v>0</v>
      </c>
      <c r="CR79" s="332">
        <f t="shared" si="42"/>
        <v>747601.79</v>
      </c>
      <c r="CS79" s="332">
        <v>747601.79</v>
      </c>
      <c r="CT79" s="332">
        <v>0</v>
      </c>
      <c r="CU79" s="332">
        <v>0</v>
      </c>
      <c r="CV79" s="332">
        <v>0</v>
      </c>
      <c r="CW79" s="332">
        <v>0</v>
      </c>
      <c r="CX79" s="332">
        <v>0</v>
      </c>
      <c r="CY79" s="332">
        <v>0</v>
      </c>
      <c r="CZ79" s="332">
        <v>0</v>
      </c>
      <c r="DA79" s="332">
        <v>0</v>
      </c>
      <c r="DB79" s="332">
        <v>0</v>
      </c>
      <c r="DC79" s="332">
        <v>0</v>
      </c>
      <c r="DD79" s="332">
        <f t="shared" si="43"/>
        <v>747601.79</v>
      </c>
      <c r="DE79" s="332">
        <v>23674056.609999999</v>
      </c>
      <c r="DF79" s="329">
        <v>0</v>
      </c>
      <c r="DG79" s="329">
        <v>0</v>
      </c>
      <c r="DH79" s="329">
        <v>0</v>
      </c>
      <c r="DI79" s="329">
        <v>0</v>
      </c>
      <c r="DJ79" s="329">
        <v>0</v>
      </c>
      <c r="DK79" s="329">
        <v>0</v>
      </c>
      <c r="DL79" s="329">
        <v>0</v>
      </c>
      <c r="DM79" s="329">
        <v>0</v>
      </c>
      <c r="DN79" s="329">
        <v>0</v>
      </c>
      <c r="DO79" s="329">
        <v>0</v>
      </c>
      <c r="DP79" s="325">
        <f t="shared" si="44"/>
        <v>23674056.609999999</v>
      </c>
      <c r="DQ79" s="332">
        <v>23674056.609999999</v>
      </c>
      <c r="DR79" s="329">
        <v>0</v>
      </c>
      <c r="DS79" s="329">
        <v>0</v>
      </c>
      <c r="DT79" s="329">
        <v>0</v>
      </c>
      <c r="DU79" s="329">
        <v>0</v>
      </c>
      <c r="DV79" s="329">
        <v>0</v>
      </c>
      <c r="DW79" s="329">
        <v>0</v>
      </c>
      <c r="DX79" s="329">
        <v>0</v>
      </c>
      <c r="DY79" s="329">
        <v>0</v>
      </c>
      <c r="DZ79" s="329">
        <v>0</v>
      </c>
      <c r="EA79" s="329">
        <v>0</v>
      </c>
      <c r="EB79" s="325">
        <f t="shared" si="45"/>
        <v>23674056.609999999</v>
      </c>
      <c r="EC79" s="332">
        <v>23674056.609999999</v>
      </c>
      <c r="ED79" s="329">
        <v>0</v>
      </c>
      <c r="EE79" s="329">
        <v>0</v>
      </c>
      <c r="EF79" s="329">
        <v>0</v>
      </c>
      <c r="EG79" s="329">
        <v>0</v>
      </c>
      <c r="EH79" s="329">
        <v>0</v>
      </c>
      <c r="EI79" s="329">
        <v>0</v>
      </c>
      <c r="EJ79" s="329">
        <v>0</v>
      </c>
      <c r="EK79" s="329">
        <v>0</v>
      </c>
      <c r="EL79" s="329">
        <v>0</v>
      </c>
      <c r="EM79" s="329">
        <v>0</v>
      </c>
      <c r="EN79" s="340">
        <f t="shared" si="46"/>
        <v>23674056.609999999</v>
      </c>
      <c r="EO79" s="331">
        <v>23.286999999999999</v>
      </c>
      <c r="EY79" s="9"/>
      <c r="EZ79" s="9"/>
    </row>
    <row r="80" spans="1:156" ht="36" x14ac:dyDescent="0.25">
      <c r="A80" s="193"/>
      <c r="B80" s="176" t="s">
        <v>880</v>
      </c>
      <c r="C80" s="176" t="s">
        <v>196</v>
      </c>
      <c r="D80" s="176" t="s">
        <v>1272</v>
      </c>
      <c r="E80" s="176"/>
      <c r="F80" s="177" t="s">
        <v>197</v>
      </c>
      <c r="G80" s="269" t="s">
        <v>1461</v>
      </c>
      <c r="H80" s="270" t="s">
        <v>1443</v>
      </c>
      <c r="I80" s="271" t="s">
        <v>1491</v>
      </c>
      <c r="J80" s="185" t="s">
        <v>923</v>
      </c>
      <c r="K80" s="185">
        <v>6.9</v>
      </c>
      <c r="L80" s="185">
        <v>0</v>
      </c>
      <c r="M80" s="332">
        <v>243576233.34999999</v>
      </c>
      <c r="N80" s="332">
        <v>0</v>
      </c>
      <c r="O80" s="332">
        <v>0</v>
      </c>
      <c r="P80" s="332">
        <v>0</v>
      </c>
      <c r="Q80" s="332">
        <v>0</v>
      </c>
      <c r="R80" s="332">
        <v>0</v>
      </c>
      <c r="S80" s="332">
        <v>0</v>
      </c>
      <c r="T80" s="332">
        <v>0</v>
      </c>
      <c r="U80" s="332">
        <v>0</v>
      </c>
      <c r="V80" s="332">
        <v>0</v>
      </c>
      <c r="W80" s="332">
        <v>0</v>
      </c>
      <c r="X80" s="325">
        <f t="shared" si="36"/>
        <v>0</v>
      </c>
      <c r="Y80" s="332">
        <v>0</v>
      </c>
      <c r="Z80" s="332">
        <v>0</v>
      </c>
      <c r="AA80" s="332">
        <v>0</v>
      </c>
      <c r="AB80" s="332">
        <v>0</v>
      </c>
      <c r="AC80" s="332">
        <v>0</v>
      </c>
      <c r="AD80" s="332">
        <v>0</v>
      </c>
      <c r="AE80" s="332">
        <v>0</v>
      </c>
      <c r="AF80" s="332">
        <v>0</v>
      </c>
      <c r="AG80" s="332">
        <v>0</v>
      </c>
      <c r="AH80" s="332">
        <v>0</v>
      </c>
      <c r="AI80" s="332">
        <v>0</v>
      </c>
      <c r="AJ80" s="332">
        <f t="shared" si="37"/>
        <v>0</v>
      </c>
      <c r="AK80" s="332">
        <v>0</v>
      </c>
      <c r="AL80" s="332">
        <v>0</v>
      </c>
      <c r="AM80" s="332">
        <v>0</v>
      </c>
      <c r="AN80" s="332">
        <v>0</v>
      </c>
      <c r="AO80" s="332">
        <v>0</v>
      </c>
      <c r="AP80" s="332">
        <v>0</v>
      </c>
      <c r="AQ80" s="332">
        <v>0</v>
      </c>
      <c r="AR80" s="332">
        <v>0</v>
      </c>
      <c r="AS80" s="332">
        <v>0</v>
      </c>
      <c r="AT80" s="332">
        <v>0</v>
      </c>
      <c r="AU80" s="332">
        <v>0</v>
      </c>
      <c r="AV80" s="332">
        <f t="shared" si="38"/>
        <v>0</v>
      </c>
      <c r="AW80" s="332">
        <v>2435762.33</v>
      </c>
      <c r="AX80" s="332">
        <v>0</v>
      </c>
      <c r="AY80" s="332">
        <v>0</v>
      </c>
      <c r="AZ80" s="332">
        <v>0</v>
      </c>
      <c r="BA80" s="332">
        <v>0</v>
      </c>
      <c r="BB80" s="332">
        <v>0</v>
      </c>
      <c r="BC80" s="332">
        <v>0</v>
      </c>
      <c r="BD80" s="332">
        <v>0</v>
      </c>
      <c r="BE80" s="332">
        <v>0</v>
      </c>
      <c r="BF80" s="332">
        <v>0</v>
      </c>
      <c r="BG80" s="332">
        <v>0</v>
      </c>
      <c r="BH80" s="332">
        <f t="shared" si="39"/>
        <v>2435762.33</v>
      </c>
      <c r="BI80" s="332">
        <v>2435762.33</v>
      </c>
      <c r="BJ80" s="332">
        <v>0</v>
      </c>
      <c r="BK80" s="332">
        <v>0</v>
      </c>
      <c r="BL80" s="332">
        <v>0</v>
      </c>
      <c r="BM80" s="332">
        <v>0</v>
      </c>
      <c r="BN80" s="332">
        <v>0</v>
      </c>
      <c r="BO80" s="332">
        <v>0</v>
      </c>
      <c r="BP80" s="332">
        <v>0</v>
      </c>
      <c r="BQ80" s="332">
        <v>0</v>
      </c>
      <c r="BR80" s="332">
        <v>0</v>
      </c>
      <c r="BS80" s="332">
        <v>0</v>
      </c>
      <c r="BT80" s="332">
        <f t="shared" si="40"/>
        <v>2435762.33</v>
      </c>
      <c r="BU80" s="332">
        <v>2435762.33</v>
      </c>
      <c r="BV80" s="332">
        <v>0</v>
      </c>
      <c r="BW80" s="332">
        <v>0</v>
      </c>
      <c r="BX80" s="332">
        <v>0</v>
      </c>
      <c r="BY80" s="332">
        <v>0</v>
      </c>
      <c r="BZ80" s="332">
        <v>0</v>
      </c>
      <c r="CA80" s="332">
        <v>0</v>
      </c>
      <c r="CB80" s="332">
        <v>0</v>
      </c>
      <c r="CC80" s="332">
        <v>0</v>
      </c>
      <c r="CD80" s="332">
        <v>0</v>
      </c>
      <c r="CE80" s="332">
        <v>0</v>
      </c>
      <c r="CF80" s="332">
        <f t="shared" si="41"/>
        <v>2435762.33</v>
      </c>
      <c r="CG80" s="332">
        <v>2435762.33</v>
      </c>
      <c r="CH80" s="332">
        <v>0</v>
      </c>
      <c r="CI80" s="332">
        <v>0</v>
      </c>
      <c r="CJ80" s="332">
        <v>0</v>
      </c>
      <c r="CK80" s="332">
        <v>0</v>
      </c>
      <c r="CL80" s="332">
        <v>0</v>
      </c>
      <c r="CM80" s="332">
        <v>0</v>
      </c>
      <c r="CN80" s="332">
        <v>0</v>
      </c>
      <c r="CO80" s="332">
        <v>0</v>
      </c>
      <c r="CP80" s="332">
        <v>0</v>
      </c>
      <c r="CQ80" s="332">
        <v>0</v>
      </c>
      <c r="CR80" s="332">
        <f t="shared" si="42"/>
        <v>2435762.33</v>
      </c>
      <c r="CS80" s="332">
        <v>2435762.33</v>
      </c>
      <c r="CT80" s="332">
        <v>0</v>
      </c>
      <c r="CU80" s="332">
        <v>0</v>
      </c>
      <c r="CV80" s="332">
        <v>0</v>
      </c>
      <c r="CW80" s="332">
        <v>0</v>
      </c>
      <c r="CX80" s="332">
        <v>0</v>
      </c>
      <c r="CY80" s="332">
        <v>0</v>
      </c>
      <c r="CZ80" s="332">
        <v>0</v>
      </c>
      <c r="DA80" s="332">
        <v>0</v>
      </c>
      <c r="DB80" s="332">
        <v>0</v>
      </c>
      <c r="DC80" s="332">
        <v>0</v>
      </c>
      <c r="DD80" s="332">
        <f t="shared" si="43"/>
        <v>2435762.33</v>
      </c>
      <c r="DE80" s="333">
        <v>57849355.420000002</v>
      </c>
      <c r="DF80" s="332">
        <v>0</v>
      </c>
      <c r="DG80" s="332">
        <v>0</v>
      </c>
      <c r="DH80" s="332">
        <v>0</v>
      </c>
      <c r="DI80" s="332">
        <v>0</v>
      </c>
      <c r="DJ80" s="332">
        <v>0</v>
      </c>
      <c r="DK80" s="332">
        <v>0</v>
      </c>
      <c r="DL80" s="332">
        <v>0</v>
      </c>
      <c r="DM80" s="332">
        <v>0</v>
      </c>
      <c r="DN80" s="332">
        <v>0</v>
      </c>
      <c r="DO80" s="332">
        <v>0</v>
      </c>
      <c r="DP80" s="329">
        <f t="shared" si="44"/>
        <v>57849355.420000002</v>
      </c>
      <c r="DQ80" s="333">
        <v>57849355.420000002</v>
      </c>
      <c r="DR80" s="332">
        <v>0</v>
      </c>
      <c r="DS80" s="332">
        <v>0</v>
      </c>
      <c r="DT80" s="332">
        <v>0</v>
      </c>
      <c r="DU80" s="332">
        <v>0</v>
      </c>
      <c r="DV80" s="332">
        <v>0</v>
      </c>
      <c r="DW80" s="332">
        <v>0</v>
      </c>
      <c r="DX80" s="332">
        <v>0</v>
      </c>
      <c r="DY80" s="332">
        <v>0</v>
      </c>
      <c r="DZ80" s="332">
        <v>0</v>
      </c>
      <c r="EA80" s="332">
        <v>0</v>
      </c>
      <c r="EB80" s="329">
        <f t="shared" si="45"/>
        <v>57849355.420000002</v>
      </c>
      <c r="EC80" s="333">
        <v>115698710.84</v>
      </c>
      <c r="ED80" s="332">
        <v>0</v>
      </c>
      <c r="EE80" s="332">
        <v>0</v>
      </c>
      <c r="EF80" s="332">
        <v>0</v>
      </c>
      <c r="EG80" s="332">
        <v>0</v>
      </c>
      <c r="EH80" s="332">
        <v>0</v>
      </c>
      <c r="EI80" s="332">
        <v>0</v>
      </c>
      <c r="EJ80" s="332">
        <v>0</v>
      </c>
      <c r="EK80" s="332">
        <v>0</v>
      </c>
      <c r="EL80" s="332">
        <v>0</v>
      </c>
      <c r="EM80" s="332">
        <v>0</v>
      </c>
      <c r="EN80" s="341">
        <f t="shared" si="46"/>
        <v>115698710.84</v>
      </c>
      <c r="EO80" s="331">
        <v>62.713000000000001</v>
      </c>
    </row>
    <row r="81" spans="1:156" ht="84" x14ac:dyDescent="0.25">
      <c r="A81" s="193"/>
      <c r="B81" s="176" t="s">
        <v>881</v>
      </c>
      <c r="C81" s="176" t="s">
        <v>206</v>
      </c>
      <c r="D81" s="176" t="s">
        <v>1269</v>
      </c>
      <c r="E81" s="176"/>
      <c r="F81" s="177" t="s">
        <v>207</v>
      </c>
      <c r="G81" s="269" t="s">
        <v>1464</v>
      </c>
      <c r="H81" s="270" t="s">
        <v>1576</v>
      </c>
      <c r="I81" s="271" t="s">
        <v>1506</v>
      </c>
      <c r="J81" s="185" t="s">
        <v>923</v>
      </c>
      <c r="K81" s="185">
        <v>6.2</v>
      </c>
      <c r="L81" s="185">
        <v>0</v>
      </c>
      <c r="M81" s="332">
        <v>113794702.98</v>
      </c>
      <c r="N81" s="332">
        <v>0</v>
      </c>
      <c r="O81" s="332">
        <v>0</v>
      </c>
      <c r="P81" s="332">
        <v>0</v>
      </c>
      <c r="Q81" s="332">
        <v>0</v>
      </c>
      <c r="R81" s="332">
        <v>0</v>
      </c>
      <c r="S81" s="332">
        <v>0</v>
      </c>
      <c r="T81" s="332">
        <v>0</v>
      </c>
      <c r="U81" s="332">
        <v>0</v>
      </c>
      <c r="V81" s="332">
        <v>0</v>
      </c>
      <c r="W81" s="332">
        <v>0</v>
      </c>
      <c r="X81" s="325">
        <f t="shared" si="36"/>
        <v>0</v>
      </c>
      <c r="Y81" s="332">
        <v>0</v>
      </c>
      <c r="Z81" s="332">
        <v>0</v>
      </c>
      <c r="AA81" s="332">
        <v>0</v>
      </c>
      <c r="AB81" s="332">
        <v>0</v>
      </c>
      <c r="AC81" s="332">
        <v>0</v>
      </c>
      <c r="AD81" s="332">
        <v>0</v>
      </c>
      <c r="AE81" s="332">
        <v>0</v>
      </c>
      <c r="AF81" s="332">
        <v>0</v>
      </c>
      <c r="AG81" s="332">
        <v>0</v>
      </c>
      <c r="AH81" s="332">
        <v>0</v>
      </c>
      <c r="AI81" s="332">
        <v>0</v>
      </c>
      <c r="AJ81" s="332">
        <f t="shared" si="37"/>
        <v>0</v>
      </c>
      <c r="AK81" s="332">
        <v>0</v>
      </c>
      <c r="AL81" s="332">
        <v>0</v>
      </c>
      <c r="AM81" s="332">
        <v>0</v>
      </c>
      <c r="AN81" s="332">
        <v>0</v>
      </c>
      <c r="AO81" s="332">
        <v>0</v>
      </c>
      <c r="AP81" s="332">
        <v>0</v>
      </c>
      <c r="AQ81" s="332">
        <v>0</v>
      </c>
      <c r="AR81" s="332">
        <v>0</v>
      </c>
      <c r="AS81" s="332">
        <v>0</v>
      </c>
      <c r="AT81" s="332">
        <v>0</v>
      </c>
      <c r="AU81" s="332">
        <v>0</v>
      </c>
      <c r="AV81" s="332">
        <f t="shared" si="38"/>
        <v>0</v>
      </c>
      <c r="AW81" s="332">
        <v>1137947.03</v>
      </c>
      <c r="AX81" s="332">
        <v>0</v>
      </c>
      <c r="AY81" s="332">
        <v>0</v>
      </c>
      <c r="AZ81" s="332">
        <v>0</v>
      </c>
      <c r="BA81" s="332">
        <v>0</v>
      </c>
      <c r="BB81" s="332">
        <v>0</v>
      </c>
      <c r="BC81" s="332">
        <v>0</v>
      </c>
      <c r="BD81" s="332">
        <v>0</v>
      </c>
      <c r="BE81" s="332">
        <v>0</v>
      </c>
      <c r="BF81" s="332">
        <v>0</v>
      </c>
      <c r="BG81" s="332">
        <v>0</v>
      </c>
      <c r="BH81" s="332">
        <f t="shared" si="39"/>
        <v>1137947.03</v>
      </c>
      <c r="BI81" s="332">
        <v>1137947.03</v>
      </c>
      <c r="BJ81" s="332">
        <v>0</v>
      </c>
      <c r="BK81" s="332">
        <v>0</v>
      </c>
      <c r="BL81" s="332">
        <v>0</v>
      </c>
      <c r="BM81" s="332">
        <v>0</v>
      </c>
      <c r="BN81" s="332">
        <v>0</v>
      </c>
      <c r="BO81" s="332">
        <v>0</v>
      </c>
      <c r="BP81" s="332">
        <v>0</v>
      </c>
      <c r="BQ81" s="332">
        <v>0</v>
      </c>
      <c r="BR81" s="332">
        <v>0</v>
      </c>
      <c r="BS81" s="332">
        <v>0</v>
      </c>
      <c r="BT81" s="332">
        <f t="shared" si="40"/>
        <v>1137947.03</v>
      </c>
      <c r="BU81" s="332">
        <v>1137947.03</v>
      </c>
      <c r="BV81" s="332">
        <v>0</v>
      </c>
      <c r="BW81" s="332">
        <v>0</v>
      </c>
      <c r="BX81" s="332">
        <v>0</v>
      </c>
      <c r="BY81" s="332">
        <v>0</v>
      </c>
      <c r="BZ81" s="332">
        <v>0</v>
      </c>
      <c r="CA81" s="332">
        <v>0</v>
      </c>
      <c r="CB81" s="332">
        <v>0</v>
      </c>
      <c r="CC81" s="332">
        <v>0</v>
      </c>
      <c r="CD81" s="332">
        <v>0</v>
      </c>
      <c r="CE81" s="332">
        <v>0</v>
      </c>
      <c r="CF81" s="332">
        <f t="shared" si="41"/>
        <v>1137947.03</v>
      </c>
      <c r="CG81" s="332">
        <v>1137947.03</v>
      </c>
      <c r="CH81" s="332">
        <v>0</v>
      </c>
      <c r="CI81" s="332">
        <v>0</v>
      </c>
      <c r="CJ81" s="332">
        <v>0</v>
      </c>
      <c r="CK81" s="332">
        <v>0</v>
      </c>
      <c r="CL81" s="332">
        <v>0</v>
      </c>
      <c r="CM81" s="332">
        <v>0</v>
      </c>
      <c r="CN81" s="332">
        <v>0</v>
      </c>
      <c r="CO81" s="332">
        <v>0</v>
      </c>
      <c r="CP81" s="332">
        <v>0</v>
      </c>
      <c r="CQ81" s="332">
        <v>0</v>
      </c>
      <c r="CR81" s="332">
        <f t="shared" si="42"/>
        <v>1137947.03</v>
      </c>
      <c r="CS81" s="332">
        <v>1137947.03</v>
      </c>
      <c r="CT81" s="332">
        <v>0</v>
      </c>
      <c r="CU81" s="332">
        <v>0</v>
      </c>
      <c r="CV81" s="332">
        <v>0</v>
      </c>
      <c r="CW81" s="332">
        <v>0</v>
      </c>
      <c r="CX81" s="332">
        <v>0</v>
      </c>
      <c r="CY81" s="332">
        <v>0</v>
      </c>
      <c r="CZ81" s="332">
        <v>0</v>
      </c>
      <c r="DA81" s="332">
        <v>0</v>
      </c>
      <c r="DB81" s="332">
        <v>0</v>
      </c>
      <c r="DC81" s="332">
        <v>0</v>
      </c>
      <c r="DD81" s="332">
        <f t="shared" si="43"/>
        <v>1137947.03</v>
      </c>
      <c r="DE81" s="333">
        <v>27026241.960000001</v>
      </c>
      <c r="DF81" s="332">
        <v>0</v>
      </c>
      <c r="DG81" s="332">
        <v>0</v>
      </c>
      <c r="DH81" s="332">
        <v>0</v>
      </c>
      <c r="DI81" s="332">
        <v>0</v>
      </c>
      <c r="DJ81" s="332">
        <v>0</v>
      </c>
      <c r="DK81" s="332">
        <v>0</v>
      </c>
      <c r="DL81" s="332">
        <v>0</v>
      </c>
      <c r="DM81" s="332">
        <v>0</v>
      </c>
      <c r="DN81" s="332">
        <v>0</v>
      </c>
      <c r="DO81" s="332">
        <v>0</v>
      </c>
      <c r="DP81" s="329">
        <f t="shared" si="44"/>
        <v>27026241.960000001</v>
      </c>
      <c r="DQ81" s="333">
        <v>27026241.960000001</v>
      </c>
      <c r="DR81" s="332">
        <v>0</v>
      </c>
      <c r="DS81" s="332">
        <v>0</v>
      </c>
      <c r="DT81" s="332">
        <v>0</v>
      </c>
      <c r="DU81" s="332">
        <v>0</v>
      </c>
      <c r="DV81" s="332">
        <v>0</v>
      </c>
      <c r="DW81" s="332">
        <v>0</v>
      </c>
      <c r="DX81" s="332">
        <v>0</v>
      </c>
      <c r="DY81" s="332">
        <v>0</v>
      </c>
      <c r="DZ81" s="332">
        <v>0</v>
      </c>
      <c r="EA81" s="332">
        <v>0</v>
      </c>
      <c r="EB81" s="329">
        <f t="shared" si="45"/>
        <v>27026241.960000001</v>
      </c>
      <c r="EC81" s="333">
        <v>54052483.920000002</v>
      </c>
      <c r="ED81" s="332">
        <v>0</v>
      </c>
      <c r="EE81" s="332">
        <v>0</v>
      </c>
      <c r="EF81" s="332">
        <v>0</v>
      </c>
      <c r="EG81" s="332">
        <v>0</v>
      </c>
      <c r="EH81" s="332">
        <v>0</v>
      </c>
      <c r="EI81" s="332">
        <v>0</v>
      </c>
      <c r="EJ81" s="332">
        <v>0</v>
      </c>
      <c r="EK81" s="332">
        <v>0</v>
      </c>
      <c r="EL81" s="332">
        <v>0</v>
      </c>
      <c r="EM81" s="332">
        <v>0</v>
      </c>
      <c r="EN81" s="341">
        <f t="shared" si="46"/>
        <v>54052483.920000002</v>
      </c>
      <c r="EO81" s="331">
        <v>39.648000000000003</v>
      </c>
    </row>
    <row r="82" spans="1:156" ht="36" x14ac:dyDescent="0.25">
      <c r="A82" s="193"/>
      <c r="B82" s="176" t="s">
        <v>795</v>
      </c>
      <c r="C82" s="176" t="s">
        <v>116</v>
      </c>
      <c r="D82" s="176" t="s">
        <v>1270</v>
      </c>
      <c r="E82" s="176"/>
      <c r="F82" s="177" t="s">
        <v>117</v>
      </c>
      <c r="G82" s="269" t="s">
        <v>1461</v>
      </c>
      <c r="H82" s="270" t="s">
        <v>1443</v>
      </c>
      <c r="I82" s="273" t="s">
        <v>1527</v>
      </c>
      <c r="J82" s="185" t="s">
        <v>923</v>
      </c>
      <c r="K82" s="185">
        <v>5.8</v>
      </c>
      <c r="L82" s="185">
        <v>0</v>
      </c>
      <c r="M82" s="332">
        <v>11396182.970000001</v>
      </c>
      <c r="N82" s="332">
        <v>0</v>
      </c>
      <c r="O82" s="332">
        <v>0</v>
      </c>
      <c r="P82" s="332">
        <v>0</v>
      </c>
      <c r="Q82" s="332">
        <v>0</v>
      </c>
      <c r="R82" s="332">
        <v>0</v>
      </c>
      <c r="S82" s="332">
        <v>0</v>
      </c>
      <c r="T82" s="332">
        <v>0</v>
      </c>
      <c r="U82" s="332">
        <v>0</v>
      </c>
      <c r="V82" s="332">
        <v>0</v>
      </c>
      <c r="W82" s="332">
        <v>0</v>
      </c>
      <c r="X82" s="325">
        <f t="shared" si="36"/>
        <v>0</v>
      </c>
      <c r="Y82" s="332">
        <v>0</v>
      </c>
      <c r="Z82" s="332">
        <v>0</v>
      </c>
      <c r="AA82" s="332">
        <v>0</v>
      </c>
      <c r="AB82" s="332">
        <v>0</v>
      </c>
      <c r="AC82" s="332">
        <v>0</v>
      </c>
      <c r="AD82" s="332">
        <v>0</v>
      </c>
      <c r="AE82" s="332">
        <v>0</v>
      </c>
      <c r="AF82" s="332">
        <v>0</v>
      </c>
      <c r="AG82" s="332">
        <v>0</v>
      </c>
      <c r="AH82" s="332">
        <v>0</v>
      </c>
      <c r="AI82" s="332">
        <v>0</v>
      </c>
      <c r="AJ82" s="332">
        <f t="shared" si="37"/>
        <v>0</v>
      </c>
      <c r="AK82" s="332">
        <v>0</v>
      </c>
      <c r="AL82" s="332">
        <v>0</v>
      </c>
      <c r="AM82" s="332">
        <v>0</v>
      </c>
      <c r="AN82" s="332">
        <v>0</v>
      </c>
      <c r="AO82" s="332">
        <v>0</v>
      </c>
      <c r="AP82" s="332">
        <v>0</v>
      </c>
      <c r="AQ82" s="332">
        <v>0</v>
      </c>
      <c r="AR82" s="332">
        <v>0</v>
      </c>
      <c r="AS82" s="332">
        <v>0</v>
      </c>
      <c r="AT82" s="332">
        <v>0</v>
      </c>
      <c r="AU82" s="332">
        <v>0</v>
      </c>
      <c r="AV82" s="332">
        <f t="shared" si="38"/>
        <v>0</v>
      </c>
      <c r="AW82" s="332">
        <v>113961.83</v>
      </c>
      <c r="AX82" s="332">
        <v>0</v>
      </c>
      <c r="AY82" s="332">
        <v>0</v>
      </c>
      <c r="AZ82" s="332">
        <v>0</v>
      </c>
      <c r="BA82" s="332">
        <v>0</v>
      </c>
      <c r="BB82" s="332">
        <v>0</v>
      </c>
      <c r="BC82" s="332">
        <v>0</v>
      </c>
      <c r="BD82" s="332">
        <v>0</v>
      </c>
      <c r="BE82" s="332">
        <v>0</v>
      </c>
      <c r="BF82" s="332">
        <v>0</v>
      </c>
      <c r="BG82" s="332">
        <v>0</v>
      </c>
      <c r="BH82" s="332">
        <f t="shared" si="39"/>
        <v>113961.83</v>
      </c>
      <c r="BI82" s="332">
        <v>113961.83</v>
      </c>
      <c r="BJ82" s="332">
        <v>0</v>
      </c>
      <c r="BK82" s="332">
        <v>0</v>
      </c>
      <c r="BL82" s="332">
        <v>0</v>
      </c>
      <c r="BM82" s="332">
        <v>0</v>
      </c>
      <c r="BN82" s="332">
        <v>0</v>
      </c>
      <c r="BO82" s="332">
        <v>0</v>
      </c>
      <c r="BP82" s="332">
        <v>0</v>
      </c>
      <c r="BQ82" s="332">
        <v>0</v>
      </c>
      <c r="BR82" s="332">
        <v>0</v>
      </c>
      <c r="BS82" s="332">
        <v>0</v>
      </c>
      <c r="BT82" s="332">
        <f t="shared" si="40"/>
        <v>113961.83</v>
      </c>
      <c r="BU82" s="332">
        <v>113961.83</v>
      </c>
      <c r="BV82" s="332">
        <v>0</v>
      </c>
      <c r="BW82" s="332">
        <v>0</v>
      </c>
      <c r="BX82" s="332">
        <v>0</v>
      </c>
      <c r="BY82" s="332">
        <v>0</v>
      </c>
      <c r="BZ82" s="332">
        <v>0</v>
      </c>
      <c r="CA82" s="332">
        <v>0</v>
      </c>
      <c r="CB82" s="332">
        <v>0</v>
      </c>
      <c r="CC82" s="332">
        <v>0</v>
      </c>
      <c r="CD82" s="332">
        <v>0</v>
      </c>
      <c r="CE82" s="332">
        <v>0</v>
      </c>
      <c r="CF82" s="332">
        <f t="shared" si="41"/>
        <v>113961.83</v>
      </c>
      <c r="CG82" s="332">
        <v>113961.83</v>
      </c>
      <c r="CH82" s="332">
        <v>0</v>
      </c>
      <c r="CI82" s="332">
        <v>0</v>
      </c>
      <c r="CJ82" s="332">
        <v>0</v>
      </c>
      <c r="CK82" s="332">
        <v>0</v>
      </c>
      <c r="CL82" s="332">
        <v>0</v>
      </c>
      <c r="CM82" s="332">
        <v>0</v>
      </c>
      <c r="CN82" s="332">
        <v>0</v>
      </c>
      <c r="CO82" s="332">
        <v>0</v>
      </c>
      <c r="CP82" s="332">
        <v>0</v>
      </c>
      <c r="CQ82" s="332">
        <v>0</v>
      </c>
      <c r="CR82" s="332">
        <f t="shared" si="42"/>
        <v>113961.83</v>
      </c>
      <c r="CS82" s="332">
        <v>113961.83</v>
      </c>
      <c r="CT82" s="332">
        <v>0</v>
      </c>
      <c r="CU82" s="332">
        <v>0</v>
      </c>
      <c r="CV82" s="332">
        <v>0</v>
      </c>
      <c r="CW82" s="332">
        <v>0</v>
      </c>
      <c r="CX82" s="332">
        <v>0</v>
      </c>
      <c r="CY82" s="332">
        <v>0</v>
      </c>
      <c r="CZ82" s="332">
        <v>0</v>
      </c>
      <c r="DA82" s="332">
        <v>0</v>
      </c>
      <c r="DB82" s="332">
        <v>0</v>
      </c>
      <c r="DC82" s="332">
        <v>0</v>
      </c>
      <c r="DD82" s="332">
        <f t="shared" si="43"/>
        <v>113961.83</v>
      </c>
      <c r="DE82" s="333">
        <v>3608791.27</v>
      </c>
      <c r="DF82" s="332">
        <v>0</v>
      </c>
      <c r="DG82" s="332">
        <v>0</v>
      </c>
      <c r="DH82" s="332">
        <v>0</v>
      </c>
      <c r="DI82" s="332">
        <v>0</v>
      </c>
      <c r="DJ82" s="332">
        <v>0</v>
      </c>
      <c r="DK82" s="332">
        <v>0</v>
      </c>
      <c r="DL82" s="332">
        <v>0</v>
      </c>
      <c r="DM82" s="332">
        <v>0</v>
      </c>
      <c r="DN82" s="332">
        <v>0</v>
      </c>
      <c r="DO82" s="332">
        <v>0</v>
      </c>
      <c r="DP82" s="329">
        <f t="shared" si="44"/>
        <v>3608791.27</v>
      </c>
      <c r="DQ82" s="333">
        <v>3608791.27</v>
      </c>
      <c r="DR82" s="332">
        <v>0</v>
      </c>
      <c r="DS82" s="332">
        <v>0</v>
      </c>
      <c r="DT82" s="332">
        <v>0</v>
      </c>
      <c r="DU82" s="332">
        <v>0</v>
      </c>
      <c r="DV82" s="332">
        <v>0</v>
      </c>
      <c r="DW82" s="332">
        <v>0</v>
      </c>
      <c r="DX82" s="332">
        <v>0</v>
      </c>
      <c r="DY82" s="332">
        <v>0</v>
      </c>
      <c r="DZ82" s="332">
        <v>0</v>
      </c>
      <c r="EA82" s="332">
        <v>0</v>
      </c>
      <c r="EB82" s="329">
        <f t="shared" si="45"/>
        <v>3608791.27</v>
      </c>
      <c r="EC82" s="333">
        <v>3608791.27</v>
      </c>
      <c r="ED82" s="332">
        <v>0</v>
      </c>
      <c r="EE82" s="332">
        <v>0</v>
      </c>
      <c r="EF82" s="332">
        <v>0</v>
      </c>
      <c r="EG82" s="332">
        <v>0</v>
      </c>
      <c r="EH82" s="332">
        <v>0</v>
      </c>
      <c r="EI82" s="332">
        <v>0</v>
      </c>
      <c r="EJ82" s="332">
        <v>0</v>
      </c>
      <c r="EK82" s="332">
        <v>0</v>
      </c>
      <c r="EL82" s="332">
        <v>0</v>
      </c>
      <c r="EM82" s="332">
        <v>0</v>
      </c>
      <c r="EN82" s="341">
        <f t="shared" si="46"/>
        <v>3608791.27</v>
      </c>
      <c r="EO82" s="331">
        <v>6.5519999999999996</v>
      </c>
    </row>
    <row r="83" spans="1:156" ht="36" x14ac:dyDescent="0.25">
      <c r="A83" s="193"/>
      <c r="B83" s="176" t="s">
        <v>732</v>
      </c>
      <c r="C83" s="176" t="s">
        <v>198</v>
      </c>
      <c r="D83" s="176" t="s">
        <v>1261</v>
      </c>
      <c r="E83" s="176"/>
      <c r="F83" s="177" t="s">
        <v>199</v>
      </c>
      <c r="G83" s="269" t="s">
        <v>1461</v>
      </c>
      <c r="H83" s="270" t="s">
        <v>1443</v>
      </c>
      <c r="I83" s="271" t="s">
        <v>1521</v>
      </c>
      <c r="J83" s="296" t="s">
        <v>923</v>
      </c>
      <c r="K83" s="185">
        <v>5.7</v>
      </c>
      <c r="L83" s="185">
        <v>0</v>
      </c>
      <c r="M83" s="332">
        <v>76274016.751805305</v>
      </c>
      <c r="N83" s="332">
        <v>0</v>
      </c>
      <c r="O83" s="332">
        <v>0</v>
      </c>
      <c r="P83" s="332">
        <v>0</v>
      </c>
      <c r="Q83" s="332">
        <v>0</v>
      </c>
      <c r="R83" s="332">
        <v>0</v>
      </c>
      <c r="S83" s="332">
        <v>0</v>
      </c>
      <c r="T83" s="332">
        <v>0</v>
      </c>
      <c r="U83" s="332">
        <v>0</v>
      </c>
      <c r="V83" s="332">
        <v>0</v>
      </c>
      <c r="W83" s="332">
        <v>0</v>
      </c>
      <c r="X83" s="325">
        <f t="shared" si="36"/>
        <v>0</v>
      </c>
      <c r="Y83" s="332">
        <v>0</v>
      </c>
      <c r="Z83" s="332">
        <v>0</v>
      </c>
      <c r="AA83" s="332">
        <v>0</v>
      </c>
      <c r="AB83" s="332">
        <v>0</v>
      </c>
      <c r="AC83" s="332">
        <v>0</v>
      </c>
      <c r="AD83" s="332">
        <v>0</v>
      </c>
      <c r="AE83" s="332">
        <v>0</v>
      </c>
      <c r="AF83" s="332">
        <v>0</v>
      </c>
      <c r="AG83" s="332">
        <v>0</v>
      </c>
      <c r="AH83" s="332">
        <v>0</v>
      </c>
      <c r="AI83" s="332">
        <v>0</v>
      </c>
      <c r="AJ83" s="332">
        <f t="shared" si="37"/>
        <v>0</v>
      </c>
      <c r="AK83" s="332">
        <v>0</v>
      </c>
      <c r="AL83" s="332">
        <v>0</v>
      </c>
      <c r="AM83" s="332">
        <v>0</v>
      </c>
      <c r="AN83" s="332">
        <v>0</v>
      </c>
      <c r="AO83" s="332">
        <v>0</v>
      </c>
      <c r="AP83" s="332">
        <v>0</v>
      </c>
      <c r="AQ83" s="332">
        <v>0</v>
      </c>
      <c r="AR83" s="332">
        <v>0</v>
      </c>
      <c r="AS83" s="332">
        <v>0</v>
      </c>
      <c r="AT83" s="332">
        <v>0</v>
      </c>
      <c r="AU83" s="332">
        <v>0</v>
      </c>
      <c r="AV83" s="332">
        <f t="shared" si="38"/>
        <v>0</v>
      </c>
      <c r="AW83" s="329">
        <v>0</v>
      </c>
      <c r="AX83" s="329">
        <v>0</v>
      </c>
      <c r="AY83" s="329">
        <v>0</v>
      </c>
      <c r="AZ83" s="329">
        <v>0</v>
      </c>
      <c r="BA83" s="329">
        <v>0</v>
      </c>
      <c r="BB83" s="329">
        <v>0</v>
      </c>
      <c r="BC83" s="329">
        <v>0</v>
      </c>
      <c r="BD83" s="329">
        <v>0</v>
      </c>
      <c r="BE83" s="329">
        <v>0</v>
      </c>
      <c r="BF83" s="329">
        <v>0</v>
      </c>
      <c r="BG83" s="329">
        <v>0</v>
      </c>
      <c r="BH83" s="332">
        <f t="shared" si="39"/>
        <v>0</v>
      </c>
      <c r="BI83" s="333">
        <v>762740.17</v>
      </c>
      <c r="BJ83" s="332">
        <v>0</v>
      </c>
      <c r="BK83" s="332">
        <v>0</v>
      </c>
      <c r="BL83" s="332">
        <v>0</v>
      </c>
      <c r="BM83" s="332">
        <v>0</v>
      </c>
      <c r="BN83" s="332">
        <v>0</v>
      </c>
      <c r="BO83" s="332">
        <v>0</v>
      </c>
      <c r="BP83" s="332">
        <v>0</v>
      </c>
      <c r="BQ83" s="332">
        <v>0</v>
      </c>
      <c r="BR83" s="332">
        <v>0</v>
      </c>
      <c r="BS83" s="332">
        <v>0</v>
      </c>
      <c r="BT83" s="332">
        <f t="shared" si="40"/>
        <v>762740.17</v>
      </c>
      <c r="BU83" s="333">
        <v>762740.17</v>
      </c>
      <c r="BV83" s="332">
        <v>0</v>
      </c>
      <c r="BW83" s="332">
        <v>0</v>
      </c>
      <c r="BX83" s="332">
        <v>0</v>
      </c>
      <c r="BY83" s="332">
        <v>0</v>
      </c>
      <c r="BZ83" s="332">
        <v>0</v>
      </c>
      <c r="CA83" s="332">
        <v>0</v>
      </c>
      <c r="CB83" s="332">
        <v>0</v>
      </c>
      <c r="CC83" s="332">
        <v>0</v>
      </c>
      <c r="CD83" s="332">
        <v>0</v>
      </c>
      <c r="CE83" s="332">
        <v>0</v>
      </c>
      <c r="CF83" s="332">
        <f t="shared" si="41"/>
        <v>762740.17</v>
      </c>
      <c r="CG83" s="333">
        <v>762740.17</v>
      </c>
      <c r="CH83" s="332">
        <v>0</v>
      </c>
      <c r="CI83" s="332">
        <v>0</v>
      </c>
      <c r="CJ83" s="332">
        <v>0</v>
      </c>
      <c r="CK83" s="332">
        <v>0</v>
      </c>
      <c r="CL83" s="332">
        <v>0</v>
      </c>
      <c r="CM83" s="332">
        <v>0</v>
      </c>
      <c r="CN83" s="332">
        <v>0</v>
      </c>
      <c r="CO83" s="332">
        <v>0</v>
      </c>
      <c r="CP83" s="332">
        <v>0</v>
      </c>
      <c r="CQ83" s="332">
        <v>0</v>
      </c>
      <c r="CR83" s="332">
        <f t="shared" si="42"/>
        <v>762740.17</v>
      </c>
      <c r="CS83" s="333">
        <v>762740.17</v>
      </c>
      <c r="CT83" s="332">
        <v>0</v>
      </c>
      <c r="CU83" s="332">
        <v>0</v>
      </c>
      <c r="CV83" s="332">
        <v>0</v>
      </c>
      <c r="CW83" s="332">
        <v>0</v>
      </c>
      <c r="CX83" s="332">
        <v>0</v>
      </c>
      <c r="CY83" s="332">
        <v>0</v>
      </c>
      <c r="CZ83" s="332">
        <v>0</v>
      </c>
      <c r="DA83" s="332">
        <v>0</v>
      </c>
      <c r="DB83" s="332">
        <v>0</v>
      </c>
      <c r="DC83" s="332">
        <v>0</v>
      </c>
      <c r="DD83" s="332">
        <f t="shared" si="43"/>
        <v>762740.17</v>
      </c>
      <c r="DE83" s="333">
        <v>762740.17</v>
      </c>
      <c r="DF83" s="332">
        <v>0</v>
      </c>
      <c r="DG83" s="332">
        <v>0</v>
      </c>
      <c r="DH83" s="332">
        <v>0</v>
      </c>
      <c r="DI83" s="332">
        <v>0</v>
      </c>
      <c r="DJ83" s="332">
        <v>0</v>
      </c>
      <c r="DK83" s="332">
        <v>0</v>
      </c>
      <c r="DL83" s="332">
        <v>0</v>
      </c>
      <c r="DM83" s="332">
        <v>0</v>
      </c>
      <c r="DN83" s="332">
        <v>0</v>
      </c>
      <c r="DO83" s="332">
        <v>0</v>
      </c>
      <c r="DP83" s="332">
        <f t="shared" si="44"/>
        <v>762740.17</v>
      </c>
      <c r="DQ83" s="332">
        <v>24153438.640000001</v>
      </c>
      <c r="DR83" s="329">
        <v>0</v>
      </c>
      <c r="DS83" s="329">
        <v>0</v>
      </c>
      <c r="DT83" s="329">
        <v>0</v>
      </c>
      <c r="DU83" s="329">
        <v>0</v>
      </c>
      <c r="DV83" s="329">
        <v>0</v>
      </c>
      <c r="DW83" s="329">
        <v>0</v>
      </c>
      <c r="DX83" s="329">
        <v>0</v>
      </c>
      <c r="DY83" s="329">
        <v>0</v>
      </c>
      <c r="DZ83" s="329">
        <v>0</v>
      </c>
      <c r="EA83" s="329">
        <v>0</v>
      </c>
      <c r="EB83" s="329">
        <f t="shared" si="45"/>
        <v>24153438.640000001</v>
      </c>
      <c r="EC83" s="332">
        <v>48306877.280000001</v>
      </c>
      <c r="ED83" s="329">
        <v>0</v>
      </c>
      <c r="EE83" s="329">
        <v>0</v>
      </c>
      <c r="EF83" s="329">
        <v>0</v>
      </c>
      <c r="EG83" s="329">
        <v>0</v>
      </c>
      <c r="EH83" s="329">
        <v>0</v>
      </c>
      <c r="EI83" s="329">
        <v>0</v>
      </c>
      <c r="EJ83" s="329">
        <v>0</v>
      </c>
      <c r="EK83" s="329">
        <v>0</v>
      </c>
      <c r="EL83" s="329">
        <v>0</v>
      </c>
      <c r="EM83" s="329">
        <v>0</v>
      </c>
      <c r="EN83" s="340">
        <f t="shared" si="46"/>
        <v>48306877.280000001</v>
      </c>
      <c r="EO83" s="331">
        <v>11.048</v>
      </c>
    </row>
    <row r="84" spans="1:156" ht="36.75" thickBot="1" x14ac:dyDescent="0.3">
      <c r="A84" s="193"/>
      <c r="B84" s="176" t="s">
        <v>830</v>
      </c>
      <c r="C84" s="176" t="s">
        <v>118</v>
      </c>
      <c r="D84" s="176" t="s">
        <v>1271</v>
      </c>
      <c r="E84" s="176"/>
      <c r="F84" s="177" t="s">
        <v>119</v>
      </c>
      <c r="G84" s="274" t="s">
        <v>1461</v>
      </c>
      <c r="H84" s="275" t="s">
        <v>1443</v>
      </c>
      <c r="I84" s="283" t="s">
        <v>1524</v>
      </c>
      <c r="J84" s="296" t="s">
        <v>923</v>
      </c>
      <c r="K84" s="185">
        <v>4.7</v>
      </c>
      <c r="L84" s="185">
        <v>0</v>
      </c>
      <c r="M84" s="332">
        <v>86822610.409999996</v>
      </c>
      <c r="N84" s="332">
        <v>0</v>
      </c>
      <c r="O84" s="332">
        <v>0</v>
      </c>
      <c r="P84" s="332">
        <v>0</v>
      </c>
      <c r="Q84" s="332">
        <v>0</v>
      </c>
      <c r="R84" s="332">
        <v>0</v>
      </c>
      <c r="S84" s="332">
        <v>0</v>
      </c>
      <c r="T84" s="332">
        <v>0</v>
      </c>
      <c r="U84" s="332">
        <v>0</v>
      </c>
      <c r="V84" s="332">
        <v>0</v>
      </c>
      <c r="W84" s="332">
        <v>0</v>
      </c>
      <c r="X84" s="325">
        <f t="shared" si="36"/>
        <v>0</v>
      </c>
      <c r="Y84" s="332">
        <v>0</v>
      </c>
      <c r="Z84" s="332">
        <v>0</v>
      </c>
      <c r="AA84" s="332">
        <v>0</v>
      </c>
      <c r="AB84" s="332">
        <v>0</v>
      </c>
      <c r="AC84" s="332">
        <v>0</v>
      </c>
      <c r="AD84" s="332">
        <v>0</v>
      </c>
      <c r="AE84" s="332">
        <v>0</v>
      </c>
      <c r="AF84" s="332">
        <v>0</v>
      </c>
      <c r="AG84" s="332">
        <v>0</v>
      </c>
      <c r="AH84" s="332">
        <v>0</v>
      </c>
      <c r="AI84" s="332">
        <v>0</v>
      </c>
      <c r="AJ84" s="332">
        <f t="shared" si="37"/>
        <v>0</v>
      </c>
      <c r="AK84" s="332">
        <v>0</v>
      </c>
      <c r="AL84" s="332">
        <v>0</v>
      </c>
      <c r="AM84" s="332">
        <v>0</v>
      </c>
      <c r="AN84" s="332">
        <v>0</v>
      </c>
      <c r="AO84" s="332">
        <v>0</v>
      </c>
      <c r="AP84" s="332">
        <v>0</v>
      </c>
      <c r="AQ84" s="332">
        <v>0</v>
      </c>
      <c r="AR84" s="332">
        <v>0</v>
      </c>
      <c r="AS84" s="332">
        <v>0</v>
      </c>
      <c r="AT84" s="332">
        <v>0</v>
      </c>
      <c r="AU84" s="332">
        <v>0</v>
      </c>
      <c r="AV84" s="332">
        <f t="shared" si="38"/>
        <v>0</v>
      </c>
      <c r="AW84" s="329">
        <v>0</v>
      </c>
      <c r="AX84" s="329">
        <v>0</v>
      </c>
      <c r="AY84" s="329">
        <v>0</v>
      </c>
      <c r="AZ84" s="329">
        <v>0</v>
      </c>
      <c r="BA84" s="329">
        <v>0</v>
      </c>
      <c r="BB84" s="329">
        <v>0</v>
      </c>
      <c r="BC84" s="329">
        <v>0</v>
      </c>
      <c r="BD84" s="329">
        <v>0</v>
      </c>
      <c r="BE84" s="329">
        <v>0</v>
      </c>
      <c r="BF84" s="329">
        <v>0</v>
      </c>
      <c r="BG84" s="329">
        <v>0</v>
      </c>
      <c r="BH84" s="332">
        <f t="shared" si="39"/>
        <v>0</v>
      </c>
      <c r="BI84" s="333">
        <v>868226.1</v>
      </c>
      <c r="BJ84" s="332">
        <v>0</v>
      </c>
      <c r="BK84" s="332">
        <v>0</v>
      </c>
      <c r="BL84" s="332">
        <v>0</v>
      </c>
      <c r="BM84" s="332">
        <v>0</v>
      </c>
      <c r="BN84" s="332">
        <v>0</v>
      </c>
      <c r="BO84" s="332">
        <v>0</v>
      </c>
      <c r="BP84" s="332">
        <v>0</v>
      </c>
      <c r="BQ84" s="332">
        <v>0</v>
      </c>
      <c r="BR84" s="332">
        <v>0</v>
      </c>
      <c r="BS84" s="332">
        <v>0</v>
      </c>
      <c r="BT84" s="332">
        <f t="shared" si="40"/>
        <v>868226.1</v>
      </c>
      <c r="BU84" s="333">
        <v>868226.1</v>
      </c>
      <c r="BV84" s="332">
        <v>0</v>
      </c>
      <c r="BW84" s="332">
        <v>0</v>
      </c>
      <c r="BX84" s="332">
        <v>0</v>
      </c>
      <c r="BY84" s="332">
        <v>0</v>
      </c>
      <c r="BZ84" s="332">
        <v>0</v>
      </c>
      <c r="CA84" s="332">
        <v>0</v>
      </c>
      <c r="CB84" s="332">
        <v>0</v>
      </c>
      <c r="CC84" s="332">
        <v>0</v>
      </c>
      <c r="CD84" s="332">
        <v>0</v>
      </c>
      <c r="CE84" s="332">
        <v>0</v>
      </c>
      <c r="CF84" s="332">
        <f t="shared" si="41"/>
        <v>868226.1</v>
      </c>
      <c r="CG84" s="333">
        <v>868226.1</v>
      </c>
      <c r="CH84" s="332">
        <v>0</v>
      </c>
      <c r="CI84" s="332">
        <v>0</v>
      </c>
      <c r="CJ84" s="332">
        <v>0</v>
      </c>
      <c r="CK84" s="332">
        <v>0</v>
      </c>
      <c r="CL84" s="332">
        <v>0</v>
      </c>
      <c r="CM84" s="332">
        <v>0</v>
      </c>
      <c r="CN84" s="332">
        <v>0</v>
      </c>
      <c r="CO84" s="332">
        <v>0</v>
      </c>
      <c r="CP84" s="332">
        <v>0</v>
      </c>
      <c r="CQ84" s="332">
        <v>0</v>
      </c>
      <c r="CR84" s="332">
        <f t="shared" si="42"/>
        <v>868226.1</v>
      </c>
      <c r="CS84" s="333">
        <v>868226.1</v>
      </c>
      <c r="CT84" s="332">
        <v>0</v>
      </c>
      <c r="CU84" s="332">
        <v>0</v>
      </c>
      <c r="CV84" s="332">
        <v>0</v>
      </c>
      <c r="CW84" s="332">
        <v>0</v>
      </c>
      <c r="CX84" s="332">
        <v>0</v>
      </c>
      <c r="CY84" s="332">
        <v>0</v>
      </c>
      <c r="CZ84" s="332">
        <v>0</v>
      </c>
      <c r="DA84" s="332">
        <v>0</v>
      </c>
      <c r="DB84" s="332">
        <v>0</v>
      </c>
      <c r="DC84" s="332">
        <v>0</v>
      </c>
      <c r="DD84" s="332">
        <f t="shared" si="43"/>
        <v>868226.1</v>
      </c>
      <c r="DE84" s="333">
        <v>868226.1</v>
      </c>
      <c r="DF84" s="332">
        <v>0</v>
      </c>
      <c r="DG84" s="332">
        <v>0</v>
      </c>
      <c r="DH84" s="332">
        <v>0</v>
      </c>
      <c r="DI84" s="332">
        <v>0</v>
      </c>
      <c r="DJ84" s="332">
        <v>0</v>
      </c>
      <c r="DK84" s="332">
        <v>0</v>
      </c>
      <c r="DL84" s="332">
        <v>0</v>
      </c>
      <c r="DM84" s="332">
        <v>0</v>
      </c>
      <c r="DN84" s="332">
        <v>0</v>
      </c>
      <c r="DO84" s="332">
        <v>0</v>
      </c>
      <c r="DP84" s="332">
        <f t="shared" si="44"/>
        <v>868226.1</v>
      </c>
      <c r="DQ84" s="332">
        <v>27493826.629999999</v>
      </c>
      <c r="DR84" s="329">
        <v>0</v>
      </c>
      <c r="DS84" s="329">
        <v>0</v>
      </c>
      <c r="DT84" s="329">
        <v>0</v>
      </c>
      <c r="DU84" s="329">
        <v>0</v>
      </c>
      <c r="DV84" s="329">
        <v>0</v>
      </c>
      <c r="DW84" s="329">
        <v>0</v>
      </c>
      <c r="DX84" s="329">
        <v>0</v>
      </c>
      <c r="DY84" s="329">
        <v>0</v>
      </c>
      <c r="DZ84" s="329">
        <v>0</v>
      </c>
      <c r="EA84" s="329">
        <v>0</v>
      </c>
      <c r="EB84" s="329">
        <f t="shared" si="45"/>
        <v>27493826.629999999</v>
      </c>
      <c r="EC84" s="332">
        <v>54987653.259999998</v>
      </c>
      <c r="ED84" s="329">
        <v>0</v>
      </c>
      <c r="EE84" s="329">
        <v>0</v>
      </c>
      <c r="EF84" s="329">
        <v>0</v>
      </c>
      <c r="EG84" s="329">
        <v>0</v>
      </c>
      <c r="EH84" s="329">
        <v>0</v>
      </c>
      <c r="EI84" s="329">
        <v>0</v>
      </c>
      <c r="EJ84" s="329">
        <v>0</v>
      </c>
      <c r="EK84" s="329">
        <v>0</v>
      </c>
      <c r="EL84" s="329">
        <v>0</v>
      </c>
      <c r="EM84" s="329">
        <v>0</v>
      </c>
      <c r="EN84" s="340">
        <f t="shared" si="46"/>
        <v>54987653.259999998</v>
      </c>
      <c r="EO84" s="331">
        <v>40.509</v>
      </c>
    </row>
    <row r="85" spans="1:156" ht="15.75" thickBot="1" x14ac:dyDescent="0.3">
      <c r="A85" s="180" t="s">
        <v>1304</v>
      </c>
      <c r="B85" s="308"/>
      <c r="C85" s="308"/>
      <c r="D85" s="308"/>
      <c r="E85" s="308"/>
      <c r="F85" s="308"/>
      <c r="G85" s="320"/>
      <c r="H85" s="320"/>
      <c r="I85" s="320"/>
      <c r="J85" s="281"/>
      <c r="K85" s="281"/>
      <c r="L85" s="281"/>
      <c r="M85" s="337">
        <f t="shared" ref="M85:AR85" si="47">SUM(M62:M84)</f>
        <v>1779126908.2333019</v>
      </c>
      <c r="N85" s="338">
        <f t="shared" si="47"/>
        <v>0</v>
      </c>
      <c r="O85" s="338">
        <f t="shared" si="47"/>
        <v>0</v>
      </c>
      <c r="P85" s="338">
        <f t="shared" si="47"/>
        <v>0</v>
      </c>
      <c r="Q85" s="338">
        <f t="shared" si="47"/>
        <v>0</v>
      </c>
      <c r="R85" s="338">
        <f t="shared" si="47"/>
        <v>0</v>
      </c>
      <c r="S85" s="338">
        <f t="shared" si="47"/>
        <v>0</v>
      </c>
      <c r="T85" s="338">
        <f t="shared" si="47"/>
        <v>0</v>
      </c>
      <c r="U85" s="338">
        <f t="shared" si="47"/>
        <v>0</v>
      </c>
      <c r="V85" s="338">
        <f t="shared" si="47"/>
        <v>0</v>
      </c>
      <c r="W85" s="338">
        <f t="shared" si="47"/>
        <v>0</v>
      </c>
      <c r="X85" s="338">
        <f t="shared" si="36"/>
        <v>0</v>
      </c>
      <c r="Y85" s="338">
        <f t="shared" si="47"/>
        <v>0</v>
      </c>
      <c r="Z85" s="338">
        <f t="shared" si="47"/>
        <v>0</v>
      </c>
      <c r="AA85" s="338">
        <f t="shared" si="47"/>
        <v>0</v>
      </c>
      <c r="AB85" s="338">
        <f t="shared" si="47"/>
        <v>0</v>
      </c>
      <c r="AC85" s="338">
        <f t="shared" si="47"/>
        <v>0</v>
      </c>
      <c r="AD85" s="338">
        <f t="shared" si="47"/>
        <v>0</v>
      </c>
      <c r="AE85" s="338">
        <f t="shared" si="47"/>
        <v>0</v>
      </c>
      <c r="AF85" s="338">
        <f t="shared" si="47"/>
        <v>0</v>
      </c>
      <c r="AG85" s="338">
        <f t="shared" si="47"/>
        <v>0</v>
      </c>
      <c r="AH85" s="338">
        <f t="shared" si="47"/>
        <v>0</v>
      </c>
      <c r="AI85" s="338">
        <f t="shared" si="47"/>
        <v>0</v>
      </c>
      <c r="AJ85" s="338">
        <f t="shared" si="47"/>
        <v>0</v>
      </c>
      <c r="AK85" s="338">
        <f t="shared" si="47"/>
        <v>6547830.8336729407</v>
      </c>
      <c r="AL85" s="338">
        <f t="shared" si="47"/>
        <v>0</v>
      </c>
      <c r="AM85" s="338">
        <f t="shared" si="47"/>
        <v>0</v>
      </c>
      <c r="AN85" s="338">
        <f t="shared" si="47"/>
        <v>0</v>
      </c>
      <c r="AO85" s="338">
        <f t="shared" si="47"/>
        <v>0</v>
      </c>
      <c r="AP85" s="338">
        <f t="shared" si="47"/>
        <v>0</v>
      </c>
      <c r="AQ85" s="338">
        <f t="shared" si="47"/>
        <v>0</v>
      </c>
      <c r="AR85" s="338">
        <f t="shared" si="47"/>
        <v>0</v>
      </c>
      <c r="AS85" s="338">
        <f t="shared" ref="AS85:BX85" si="48">SUM(AS62:AS84)</f>
        <v>0</v>
      </c>
      <c r="AT85" s="338">
        <f t="shared" si="48"/>
        <v>0</v>
      </c>
      <c r="AU85" s="338">
        <f t="shared" si="48"/>
        <v>0</v>
      </c>
      <c r="AV85" s="338">
        <f t="shared" si="48"/>
        <v>6547830.8336729407</v>
      </c>
      <c r="AW85" s="338">
        <f t="shared" si="48"/>
        <v>15743501.350977367</v>
      </c>
      <c r="AX85" s="338">
        <f t="shared" si="48"/>
        <v>0</v>
      </c>
      <c r="AY85" s="338">
        <f t="shared" si="48"/>
        <v>0</v>
      </c>
      <c r="AZ85" s="338">
        <f t="shared" si="48"/>
        <v>300000</v>
      </c>
      <c r="BA85" s="338">
        <f t="shared" si="48"/>
        <v>54000</v>
      </c>
      <c r="BB85" s="338">
        <f t="shared" si="48"/>
        <v>0</v>
      </c>
      <c r="BC85" s="338">
        <f t="shared" si="48"/>
        <v>0</v>
      </c>
      <c r="BD85" s="338">
        <f t="shared" si="48"/>
        <v>0</v>
      </c>
      <c r="BE85" s="338">
        <f t="shared" si="48"/>
        <v>0</v>
      </c>
      <c r="BF85" s="338">
        <f t="shared" si="48"/>
        <v>0</v>
      </c>
      <c r="BG85" s="338">
        <f t="shared" si="48"/>
        <v>0</v>
      </c>
      <c r="BH85" s="338">
        <f t="shared" si="48"/>
        <v>16097501.350977367</v>
      </c>
      <c r="BI85" s="338">
        <f t="shared" si="48"/>
        <v>17724467.620977368</v>
      </c>
      <c r="BJ85" s="338">
        <f t="shared" si="48"/>
        <v>0</v>
      </c>
      <c r="BK85" s="338">
        <f t="shared" si="48"/>
        <v>0</v>
      </c>
      <c r="BL85" s="338">
        <f t="shared" si="48"/>
        <v>2000000</v>
      </c>
      <c r="BM85" s="338">
        <f t="shared" si="48"/>
        <v>360000</v>
      </c>
      <c r="BN85" s="338">
        <f t="shared" si="48"/>
        <v>0</v>
      </c>
      <c r="BO85" s="338">
        <f t="shared" si="48"/>
        <v>0</v>
      </c>
      <c r="BP85" s="338">
        <f t="shared" si="48"/>
        <v>0</v>
      </c>
      <c r="BQ85" s="338">
        <f t="shared" si="48"/>
        <v>0</v>
      </c>
      <c r="BR85" s="338">
        <f t="shared" si="48"/>
        <v>0</v>
      </c>
      <c r="BS85" s="338">
        <f t="shared" si="48"/>
        <v>0</v>
      </c>
      <c r="BT85" s="338">
        <f t="shared" si="48"/>
        <v>20084467.620977372</v>
      </c>
      <c r="BU85" s="338">
        <f t="shared" si="48"/>
        <v>17508467.620977368</v>
      </c>
      <c r="BV85" s="338">
        <f t="shared" si="48"/>
        <v>0</v>
      </c>
      <c r="BW85" s="338">
        <f t="shared" si="48"/>
        <v>0</v>
      </c>
      <c r="BX85" s="338">
        <f t="shared" si="48"/>
        <v>23542854</v>
      </c>
      <c r="BY85" s="338">
        <f t="shared" ref="BY85:DD85" si="49">SUM(BY62:BY84)</f>
        <v>4376480</v>
      </c>
      <c r="BZ85" s="338">
        <f t="shared" si="49"/>
        <v>0</v>
      </c>
      <c r="CA85" s="338">
        <f t="shared" si="49"/>
        <v>0</v>
      </c>
      <c r="CB85" s="338">
        <f t="shared" si="49"/>
        <v>0</v>
      </c>
      <c r="CC85" s="338">
        <f t="shared" si="49"/>
        <v>0</v>
      </c>
      <c r="CD85" s="338">
        <f t="shared" si="49"/>
        <v>0</v>
      </c>
      <c r="CE85" s="338">
        <f t="shared" si="49"/>
        <v>0</v>
      </c>
      <c r="CF85" s="338">
        <f t="shared" si="49"/>
        <v>45427801.620977364</v>
      </c>
      <c r="CG85" s="338">
        <f t="shared" si="49"/>
        <v>18549938.460977368</v>
      </c>
      <c r="CH85" s="338">
        <f t="shared" si="49"/>
        <v>0</v>
      </c>
      <c r="CI85" s="338">
        <f t="shared" si="49"/>
        <v>0</v>
      </c>
      <c r="CJ85" s="338">
        <f t="shared" si="49"/>
        <v>66388743</v>
      </c>
      <c r="CK85" s="338">
        <f t="shared" si="49"/>
        <v>13318870</v>
      </c>
      <c r="CL85" s="338">
        <f t="shared" si="49"/>
        <v>0</v>
      </c>
      <c r="CM85" s="338">
        <f t="shared" si="49"/>
        <v>0</v>
      </c>
      <c r="CN85" s="338">
        <f t="shared" si="49"/>
        <v>0</v>
      </c>
      <c r="CO85" s="338">
        <f t="shared" si="49"/>
        <v>0</v>
      </c>
      <c r="CP85" s="338">
        <f t="shared" si="49"/>
        <v>0</v>
      </c>
      <c r="CQ85" s="338">
        <f t="shared" si="49"/>
        <v>0</v>
      </c>
      <c r="CR85" s="338">
        <f t="shared" si="49"/>
        <v>98257551.46097739</v>
      </c>
      <c r="CS85" s="338">
        <f t="shared" si="49"/>
        <v>230947362.49641967</v>
      </c>
      <c r="CT85" s="338">
        <f t="shared" si="49"/>
        <v>0</v>
      </c>
      <c r="CU85" s="338">
        <f t="shared" si="49"/>
        <v>0</v>
      </c>
      <c r="CV85" s="338">
        <f t="shared" si="49"/>
        <v>66388743</v>
      </c>
      <c r="CW85" s="338">
        <f t="shared" si="49"/>
        <v>13318871</v>
      </c>
      <c r="CX85" s="338">
        <f t="shared" si="49"/>
        <v>0</v>
      </c>
      <c r="CY85" s="338">
        <f t="shared" si="49"/>
        <v>0</v>
      </c>
      <c r="CZ85" s="338">
        <f t="shared" si="49"/>
        <v>0</v>
      </c>
      <c r="DA85" s="338">
        <f t="shared" si="49"/>
        <v>0</v>
      </c>
      <c r="DB85" s="338">
        <f t="shared" si="49"/>
        <v>0</v>
      </c>
      <c r="DC85" s="338">
        <f t="shared" si="49"/>
        <v>0</v>
      </c>
      <c r="DD85" s="338">
        <f t="shared" si="49"/>
        <v>310654976.49641967</v>
      </c>
      <c r="DE85" s="338">
        <f t="shared" ref="DE85:EJ85" si="50">SUM(DE62:DE84)</f>
        <v>372904930.61478609</v>
      </c>
      <c r="DF85" s="338">
        <f t="shared" si="50"/>
        <v>0</v>
      </c>
      <c r="DG85" s="338">
        <f t="shared" si="50"/>
        <v>0</v>
      </c>
      <c r="DH85" s="338">
        <f t="shared" si="50"/>
        <v>37247910</v>
      </c>
      <c r="DI85" s="338">
        <f t="shared" si="50"/>
        <v>8176371</v>
      </c>
      <c r="DJ85" s="338">
        <f t="shared" si="50"/>
        <v>0</v>
      </c>
      <c r="DK85" s="338">
        <f t="shared" si="50"/>
        <v>0</v>
      </c>
      <c r="DL85" s="338">
        <f t="shared" si="50"/>
        <v>0</v>
      </c>
      <c r="DM85" s="338">
        <f t="shared" si="50"/>
        <v>0</v>
      </c>
      <c r="DN85" s="338">
        <f t="shared" si="50"/>
        <v>0</v>
      </c>
      <c r="DO85" s="338">
        <f t="shared" si="50"/>
        <v>0</v>
      </c>
      <c r="DP85" s="338">
        <f t="shared" si="50"/>
        <v>418329211.61478609</v>
      </c>
      <c r="DQ85" s="338">
        <f t="shared" si="50"/>
        <v>422921229.61478603</v>
      </c>
      <c r="DR85" s="338">
        <f t="shared" si="50"/>
        <v>0</v>
      </c>
      <c r="DS85" s="338">
        <f t="shared" si="50"/>
        <v>0</v>
      </c>
      <c r="DT85" s="338">
        <f t="shared" si="50"/>
        <v>0</v>
      </c>
      <c r="DU85" s="338">
        <f t="shared" si="50"/>
        <v>0</v>
      </c>
      <c r="DV85" s="338">
        <f t="shared" si="50"/>
        <v>0</v>
      </c>
      <c r="DW85" s="338">
        <f t="shared" si="50"/>
        <v>0</v>
      </c>
      <c r="DX85" s="338">
        <f t="shared" si="50"/>
        <v>0</v>
      </c>
      <c r="DY85" s="338">
        <f t="shared" si="50"/>
        <v>0</v>
      </c>
      <c r="DZ85" s="338">
        <f t="shared" si="50"/>
        <v>0</v>
      </c>
      <c r="EA85" s="338">
        <f t="shared" si="50"/>
        <v>0</v>
      </c>
      <c r="EB85" s="338">
        <f t="shared" si="50"/>
        <v>422921229.61478603</v>
      </c>
      <c r="EC85" s="338">
        <f t="shared" si="50"/>
        <v>440806337.63048708</v>
      </c>
      <c r="ED85" s="338">
        <f t="shared" si="50"/>
        <v>0</v>
      </c>
      <c r="EE85" s="338">
        <f t="shared" si="50"/>
        <v>0</v>
      </c>
      <c r="EF85" s="338">
        <f t="shared" si="50"/>
        <v>0</v>
      </c>
      <c r="EG85" s="338">
        <f t="shared" si="50"/>
        <v>0</v>
      </c>
      <c r="EH85" s="338">
        <f t="shared" si="50"/>
        <v>0</v>
      </c>
      <c r="EI85" s="338">
        <f t="shared" si="50"/>
        <v>0</v>
      </c>
      <c r="EJ85" s="338">
        <f t="shared" si="50"/>
        <v>0</v>
      </c>
      <c r="EK85" s="338">
        <f>SUM(EK62:EK84)</f>
        <v>0</v>
      </c>
      <c r="EL85" s="338">
        <f>SUM(EL62:EL84)</f>
        <v>0</v>
      </c>
      <c r="EM85" s="338">
        <f>SUM(EM62:EM84)</f>
        <v>0</v>
      </c>
      <c r="EN85" s="339">
        <f>SUM(EN62:EN84)</f>
        <v>440806337.63048708</v>
      </c>
      <c r="EO85" s="331"/>
    </row>
    <row r="86" spans="1:156" s="105" customFormat="1" ht="120" x14ac:dyDescent="0.25">
      <c r="A86" s="192" t="s">
        <v>1301</v>
      </c>
      <c r="B86" s="194" t="s">
        <v>726</v>
      </c>
      <c r="C86" s="187" t="s">
        <v>80</v>
      </c>
      <c r="D86" s="194" t="s">
        <v>1291</v>
      </c>
      <c r="E86" s="194"/>
      <c r="F86" s="188" t="s">
        <v>81</v>
      </c>
      <c r="G86" s="266" t="s">
        <v>1449</v>
      </c>
      <c r="H86" s="267" t="s">
        <v>1448</v>
      </c>
      <c r="I86" s="284" t="s">
        <v>1530</v>
      </c>
      <c r="J86" s="194" t="s">
        <v>925</v>
      </c>
      <c r="K86" s="194">
        <v>2.6</v>
      </c>
      <c r="L86" s="187">
        <v>0</v>
      </c>
      <c r="M86" s="360">
        <v>3333198.4720021598</v>
      </c>
      <c r="N86" s="360">
        <v>0</v>
      </c>
      <c r="O86" s="360">
        <v>0</v>
      </c>
      <c r="P86" s="360">
        <v>0</v>
      </c>
      <c r="Q86" s="360">
        <v>0</v>
      </c>
      <c r="R86" s="360">
        <v>0</v>
      </c>
      <c r="S86" s="360">
        <v>0</v>
      </c>
      <c r="T86" s="360">
        <v>0</v>
      </c>
      <c r="U86" s="360">
        <v>0</v>
      </c>
      <c r="V86" s="360">
        <v>0</v>
      </c>
      <c r="W86" s="360">
        <v>0</v>
      </c>
      <c r="X86" s="325">
        <f t="shared" si="36"/>
        <v>0</v>
      </c>
      <c r="Y86" s="360">
        <v>0</v>
      </c>
      <c r="Z86" s="360">
        <v>0</v>
      </c>
      <c r="AA86" s="360">
        <v>0</v>
      </c>
      <c r="AB86" s="360">
        <v>0</v>
      </c>
      <c r="AC86" s="360">
        <v>0</v>
      </c>
      <c r="AD86" s="360">
        <v>0</v>
      </c>
      <c r="AE86" s="360">
        <v>0</v>
      </c>
      <c r="AF86" s="360">
        <v>0</v>
      </c>
      <c r="AG86" s="360">
        <v>0</v>
      </c>
      <c r="AH86" s="360">
        <v>0</v>
      </c>
      <c r="AI86" s="360">
        <v>0</v>
      </c>
      <c r="AJ86" s="360">
        <f>SUM(Y86:AI86)</f>
        <v>0</v>
      </c>
      <c r="AK86" s="361">
        <v>55553.31</v>
      </c>
      <c r="AL86" s="361">
        <v>0</v>
      </c>
      <c r="AM86" s="361">
        <v>0</v>
      </c>
      <c r="AN86" s="361">
        <v>0</v>
      </c>
      <c r="AO86" s="361">
        <v>0</v>
      </c>
      <c r="AP86" s="361">
        <v>0</v>
      </c>
      <c r="AQ86" s="361">
        <v>0</v>
      </c>
      <c r="AR86" s="361">
        <v>0</v>
      </c>
      <c r="AS86" s="361">
        <v>0</v>
      </c>
      <c r="AT86" s="361">
        <v>0</v>
      </c>
      <c r="AU86" s="361">
        <v>0</v>
      </c>
      <c r="AV86" s="360">
        <f>SUM(AK86:AU86)</f>
        <v>55553.31</v>
      </c>
      <c r="AW86" s="361">
        <v>55553.31</v>
      </c>
      <c r="AX86" s="360">
        <v>0</v>
      </c>
      <c r="AY86" s="360">
        <v>0</v>
      </c>
      <c r="AZ86" s="360">
        <v>0</v>
      </c>
      <c r="BA86" s="360">
        <v>0</v>
      </c>
      <c r="BB86" s="360">
        <v>0</v>
      </c>
      <c r="BC86" s="360">
        <v>0</v>
      </c>
      <c r="BD86" s="360">
        <v>0</v>
      </c>
      <c r="BE86" s="360">
        <v>0</v>
      </c>
      <c r="BF86" s="360">
        <v>0</v>
      </c>
      <c r="BG86" s="360">
        <v>0</v>
      </c>
      <c r="BH86" s="360">
        <f>SUM(AW86:BG86)</f>
        <v>55553.31</v>
      </c>
      <c r="BI86" s="361">
        <v>55553.31</v>
      </c>
      <c r="BJ86" s="360">
        <v>0</v>
      </c>
      <c r="BK86" s="360">
        <v>0</v>
      </c>
      <c r="BL86" s="360">
        <v>0</v>
      </c>
      <c r="BM86" s="360">
        <v>0</v>
      </c>
      <c r="BN86" s="360">
        <v>0</v>
      </c>
      <c r="BO86" s="360">
        <v>0</v>
      </c>
      <c r="BP86" s="360">
        <v>0</v>
      </c>
      <c r="BQ86" s="360">
        <v>0</v>
      </c>
      <c r="BR86" s="360">
        <v>0</v>
      </c>
      <c r="BS86" s="360">
        <v>0</v>
      </c>
      <c r="BT86" s="360">
        <f>SUM(BI86:BS86)</f>
        <v>55553.31</v>
      </c>
      <c r="BU86" s="360">
        <v>1583269.27</v>
      </c>
      <c r="BV86" s="360">
        <v>0</v>
      </c>
      <c r="BW86" s="360">
        <v>0</v>
      </c>
      <c r="BX86" s="360">
        <v>0</v>
      </c>
      <c r="BY86" s="360">
        <v>0</v>
      </c>
      <c r="BZ86" s="360">
        <v>0</v>
      </c>
      <c r="CA86" s="360">
        <v>0</v>
      </c>
      <c r="CB86" s="360">
        <v>0</v>
      </c>
      <c r="CC86" s="360">
        <v>0</v>
      </c>
      <c r="CD86" s="360">
        <v>0</v>
      </c>
      <c r="CE86" s="360">
        <v>0</v>
      </c>
      <c r="CF86" s="360">
        <f>SUM(BU86:CE86)</f>
        <v>1583269.27</v>
      </c>
      <c r="CG86" s="360">
        <v>1583269.27</v>
      </c>
      <c r="CH86" s="360">
        <v>0</v>
      </c>
      <c r="CI86" s="360">
        <v>0</v>
      </c>
      <c r="CJ86" s="360">
        <v>0</v>
      </c>
      <c r="CK86" s="360">
        <v>0</v>
      </c>
      <c r="CL86" s="360">
        <v>0</v>
      </c>
      <c r="CM86" s="360">
        <v>0</v>
      </c>
      <c r="CN86" s="360">
        <v>0</v>
      </c>
      <c r="CO86" s="360">
        <v>0</v>
      </c>
      <c r="CP86" s="360">
        <v>0</v>
      </c>
      <c r="CQ86" s="360">
        <v>0</v>
      </c>
      <c r="CR86" s="360">
        <f>SUM(CG86:CQ86)</f>
        <v>1583269.27</v>
      </c>
      <c r="CS86" s="360">
        <v>0</v>
      </c>
      <c r="CT86" s="360">
        <v>0</v>
      </c>
      <c r="CU86" s="360">
        <v>0</v>
      </c>
      <c r="CV86" s="360">
        <v>0</v>
      </c>
      <c r="CW86" s="360">
        <v>0</v>
      </c>
      <c r="CX86" s="360">
        <v>0</v>
      </c>
      <c r="CY86" s="360">
        <v>0</v>
      </c>
      <c r="CZ86" s="360">
        <v>0</v>
      </c>
      <c r="DA86" s="360">
        <v>0</v>
      </c>
      <c r="DB86" s="360">
        <v>0</v>
      </c>
      <c r="DC86" s="360">
        <v>0</v>
      </c>
      <c r="DD86" s="360">
        <f>SUM(CS86:DC86)</f>
        <v>0</v>
      </c>
      <c r="DE86" s="360">
        <v>0</v>
      </c>
      <c r="DF86" s="361">
        <v>0</v>
      </c>
      <c r="DG86" s="361">
        <v>0</v>
      </c>
      <c r="DH86" s="361">
        <v>0</v>
      </c>
      <c r="DI86" s="361">
        <v>0</v>
      </c>
      <c r="DJ86" s="361">
        <v>0</v>
      </c>
      <c r="DK86" s="361">
        <v>0</v>
      </c>
      <c r="DL86" s="361">
        <v>0</v>
      </c>
      <c r="DM86" s="361">
        <v>0</v>
      </c>
      <c r="DN86" s="361">
        <v>0</v>
      </c>
      <c r="DO86" s="361">
        <v>0</v>
      </c>
      <c r="DP86" s="360">
        <f>SUM(DE86:DO86)</f>
        <v>0</v>
      </c>
      <c r="DQ86" s="360">
        <v>0</v>
      </c>
      <c r="DR86" s="361">
        <v>0</v>
      </c>
      <c r="DS86" s="361">
        <v>0</v>
      </c>
      <c r="DT86" s="361">
        <v>0</v>
      </c>
      <c r="DU86" s="361">
        <v>0</v>
      </c>
      <c r="DV86" s="361">
        <v>0</v>
      </c>
      <c r="DW86" s="361">
        <v>0</v>
      </c>
      <c r="DX86" s="361">
        <v>0</v>
      </c>
      <c r="DY86" s="361">
        <v>0</v>
      </c>
      <c r="DZ86" s="361">
        <v>0</v>
      </c>
      <c r="EA86" s="361">
        <v>0</v>
      </c>
      <c r="EB86" s="360">
        <f>SUM(DQ86:EA86)</f>
        <v>0</v>
      </c>
      <c r="EC86" s="360">
        <v>0</v>
      </c>
      <c r="ED86" s="361">
        <v>0</v>
      </c>
      <c r="EE86" s="361">
        <v>0</v>
      </c>
      <c r="EF86" s="361">
        <v>0</v>
      </c>
      <c r="EG86" s="361">
        <v>0</v>
      </c>
      <c r="EH86" s="361">
        <v>0</v>
      </c>
      <c r="EI86" s="361">
        <v>0</v>
      </c>
      <c r="EJ86" s="361">
        <v>0</v>
      </c>
      <c r="EK86" s="361">
        <v>0</v>
      </c>
      <c r="EL86" s="361">
        <v>0</v>
      </c>
      <c r="EM86" s="361">
        <v>0</v>
      </c>
      <c r="EN86" s="362">
        <f>SUM(EC86:EM86)</f>
        <v>0</v>
      </c>
      <c r="EO86" s="331">
        <v>12.535</v>
      </c>
      <c r="EY86" s="9"/>
      <c r="EZ86" s="9"/>
    </row>
    <row r="87" spans="1:156" s="105" customFormat="1" ht="48" x14ac:dyDescent="0.25">
      <c r="A87" s="193"/>
      <c r="B87" s="175" t="s">
        <v>729</v>
      </c>
      <c r="C87" s="176" t="s">
        <v>82</v>
      </c>
      <c r="D87" s="175" t="s">
        <v>1292</v>
      </c>
      <c r="E87" s="175"/>
      <c r="F87" s="177" t="s">
        <v>83</v>
      </c>
      <c r="G87" s="269" t="s">
        <v>1449</v>
      </c>
      <c r="H87" s="270" t="s">
        <v>1448</v>
      </c>
      <c r="I87" s="273" t="s">
        <v>1531</v>
      </c>
      <c r="J87" s="175" t="s">
        <v>925</v>
      </c>
      <c r="K87" s="175">
        <v>2.1</v>
      </c>
      <c r="L87" s="176">
        <v>0</v>
      </c>
      <c r="M87" s="332">
        <v>4349685.8313782597</v>
      </c>
      <c r="N87" s="332">
        <v>0</v>
      </c>
      <c r="O87" s="332">
        <v>0</v>
      </c>
      <c r="P87" s="332">
        <v>0</v>
      </c>
      <c r="Q87" s="332">
        <v>0</v>
      </c>
      <c r="R87" s="332">
        <v>0</v>
      </c>
      <c r="S87" s="332">
        <v>0</v>
      </c>
      <c r="T87" s="332">
        <v>0</v>
      </c>
      <c r="U87" s="332">
        <v>0</v>
      </c>
      <c r="V87" s="332">
        <v>0</v>
      </c>
      <c r="W87" s="332">
        <v>0</v>
      </c>
      <c r="X87" s="325">
        <f t="shared" si="36"/>
        <v>0</v>
      </c>
      <c r="Y87" s="332">
        <v>0</v>
      </c>
      <c r="Z87" s="332">
        <v>0</v>
      </c>
      <c r="AA87" s="332">
        <v>0</v>
      </c>
      <c r="AB87" s="332">
        <v>0</v>
      </c>
      <c r="AC87" s="332">
        <v>0</v>
      </c>
      <c r="AD87" s="332">
        <v>0</v>
      </c>
      <c r="AE87" s="332">
        <v>0</v>
      </c>
      <c r="AF87" s="332">
        <v>0</v>
      </c>
      <c r="AG87" s="332">
        <v>0</v>
      </c>
      <c r="AH87" s="332">
        <v>0</v>
      </c>
      <c r="AI87" s="332">
        <v>0</v>
      </c>
      <c r="AJ87" s="332">
        <f>SUM(Y87:AI87)</f>
        <v>0</v>
      </c>
      <c r="AK87" s="329">
        <v>72494.759999999995</v>
      </c>
      <c r="AL87" s="329">
        <v>0</v>
      </c>
      <c r="AM87" s="329">
        <v>0</v>
      </c>
      <c r="AN87" s="329">
        <v>0</v>
      </c>
      <c r="AO87" s="329">
        <v>0</v>
      </c>
      <c r="AP87" s="329">
        <v>0</v>
      </c>
      <c r="AQ87" s="329">
        <v>0</v>
      </c>
      <c r="AR87" s="329">
        <v>0</v>
      </c>
      <c r="AS87" s="329">
        <v>0</v>
      </c>
      <c r="AT87" s="329">
        <v>0</v>
      </c>
      <c r="AU87" s="329">
        <v>0</v>
      </c>
      <c r="AV87" s="332">
        <f>SUM(AK87:AU87)</f>
        <v>72494.759999999995</v>
      </c>
      <c r="AW87" s="329">
        <v>72494.759999999995</v>
      </c>
      <c r="AX87" s="332">
        <v>0</v>
      </c>
      <c r="AY87" s="332">
        <v>0</v>
      </c>
      <c r="AZ87" s="332">
        <v>0</v>
      </c>
      <c r="BA87" s="332">
        <v>0</v>
      </c>
      <c r="BB87" s="332">
        <v>0</v>
      </c>
      <c r="BC87" s="332">
        <v>0</v>
      </c>
      <c r="BD87" s="332">
        <v>0</v>
      </c>
      <c r="BE87" s="332">
        <v>0</v>
      </c>
      <c r="BF87" s="332">
        <v>0</v>
      </c>
      <c r="BG87" s="332">
        <v>0</v>
      </c>
      <c r="BH87" s="332">
        <f>SUM(AW87:BG87)</f>
        <v>72494.759999999995</v>
      </c>
      <c r="BI87" s="329">
        <v>72494.759999999995</v>
      </c>
      <c r="BJ87" s="332">
        <v>0</v>
      </c>
      <c r="BK87" s="332">
        <v>0</v>
      </c>
      <c r="BL87" s="332">
        <v>0</v>
      </c>
      <c r="BM87" s="332">
        <v>0</v>
      </c>
      <c r="BN87" s="332">
        <v>0</v>
      </c>
      <c r="BO87" s="332">
        <v>0</v>
      </c>
      <c r="BP87" s="332">
        <v>0</v>
      </c>
      <c r="BQ87" s="332">
        <v>0</v>
      </c>
      <c r="BR87" s="332">
        <v>0</v>
      </c>
      <c r="BS87" s="332">
        <v>0</v>
      </c>
      <c r="BT87" s="332">
        <f>SUM(BI87:BS87)</f>
        <v>72494.759999999995</v>
      </c>
      <c r="BU87" s="332">
        <v>2066100.77</v>
      </c>
      <c r="BV87" s="332">
        <v>0</v>
      </c>
      <c r="BW87" s="332">
        <v>0</v>
      </c>
      <c r="BX87" s="332">
        <v>0</v>
      </c>
      <c r="BY87" s="332">
        <v>0</v>
      </c>
      <c r="BZ87" s="332">
        <v>0</v>
      </c>
      <c r="CA87" s="332">
        <v>0</v>
      </c>
      <c r="CB87" s="332">
        <v>0</v>
      </c>
      <c r="CC87" s="332">
        <v>0</v>
      </c>
      <c r="CD87" s="332">
        <v>0</v>
      </c>
      <c r="CE87" s="332">
        <v>0</v>
      </c>
      <c r="CF87" s="332">
        <f>SUM(BU87:CE87)</f>
        <v>2066100.77</v>
      </c>
      <c r="CG87" s="332">
        <v>2066100.77</v>
      </c>
      <c r="CH87" s="332">
        <v>0</v>
      </c>
      <c r="CI87" s="332">
        <v>0</v>
      </c>
      <c r="CJ87" s="332">
        <v>0</v>
      </c>
      <c r="CK87" s="332">
        <v>0</v>
      </c>
      <c r="CL87" s="332">
        <v>0</v>
      </c>
      <c r="CM87" s="332">
        <v>0</v>
      </c>
      <c r="CN87" s="332">
        <v>0</v>
      </c>
      <c r="CO87" s="332">
        <v>0</v>
      </c>
      <c r="CP87" s="332">
        <v>0</v>
      </c>
      <c r="CQ87" s="332">
        <v>0</v>
      </c>
      <c r="CR87" s="332">
        <f>SUM(CG87:CQ87)</f>
        <v>2066100.77</v>
      </c>
      <c r="CS87" s="332">
        <v>0</v>
      </c>
      <c r="CT87" s="332">
        <v>0</v>
      </c>
      <c r="CU87" s="332">
        <v>0</v>
      </c>
      <c r="CV87" s="332">
        <v>0</v>
      </c>
      <c r="CW87" s="332">
        <v>0</v>
      </c>
      <c r="CX87" s="332">
        <v>0</v>
      </c>
      <c r="CY87" s="332">
        <v>0</v>
      </c>
      <c r="CZ87" s="332">
        <v>0</v>
      </c>
      <c r="DA87" s="332">
        <v>0</v>
      </c>
      <c r="DB87" s="332">
        <v>0</v>
      </c>
      <c r="DC87" s="332">
        <v>0</v>
      </c>
      <c r="DD87" s="332">
        <f>SUM(CS87:DC87)</f>
        <v>0</v>
      </c>
      <c r="DE87" s="332">
        <v>0</v>
      </c>
      <c r="DF87" s="329">
        <v>0</v>
      </c>
      <c r="DG87" s="329">
        <v>0</v>
      </c>
      <c r="DH87" s="329">
        <v>0</v>
      </c>
      <c r="DI87" s="329">
        <v>0</v>
      </c>
      <c r="DJ87" s="329">
        <v>0</v>
      </c>
      <c r="DK87" s="329">
        <v>0</v>
      </c>
      <c r="DL87" s="329">
        <v>0</v>
      </c>
      <c r="DM87" s="329">
        <v>0</v>
      </c>
      <c r="DN87" s="329">
        <v>0</v>
      </c>
      <c r="DO87" s="329">
        <v>0</v>
      </c>
      <c r="DP87" s="332">
        <f>SUM(DE87:DO87)</f>
        <v>0</v>
      </c>
      <c r="DQ87" s="332">
        <v>0</v>
      </c>
      <c r="DR87" s="329">
        <v>0</v>
      </c>
      <c r="DS87" s="329">
        <v>0</v>
      </c>
      <c r="DT87" s="329">
        <v>0</v>
      </c>
      <c r="DU87" s="329">
        <v>0</v>
      </c>
      <c r="DV87" s="329">
        <v>0</v>
      </c>
      <c r="DW87" s="329">
        <v>0</v>
      </c>
      <c r="DX87" s="329">
        <v>0</v>
      </c>
      <c r="DY87" s="329">
        <v>0</v>
      </c>
      <c r="DZ87" s="329">
        <v>0</v>
      </c>
      <c r="EA87" s="329">
        <v>0</v>
      </c>
      <c r="EB87" s="332">
        <f>SUM(DQ87:EA87)</f>
        <v>0</v>
      </c>
      <c r="EC87" s="332">
        <v>0</v>
      </c>
      <c r="ED87" s="329">
        <v>0</v>
      </c>
      <c r="EE87" s="329">
        <v>0</v>
      </c>
      <c r="EF87" s="329">
        <v>0</v>
      </c>
      <c r="EG87" s="329">
        <v>0</v>
      </c>
      <c r="EH87" s="329">
        <v>0</v>
      </c>
      <c r="EI87" s="329">
        <v>0</v>
      </c>
      <c r="EJ87" s="329">
        <v>0</v>
      </c>
      <c r="EK87" s="329">
        <v>0</v>
      </c>
      <c r="EL87" s="329">
        <v>0</v>
      </c>
      <c r="EM87" s="329">
        <v>0</v>
      </c>
      <c r="EN87" s="340">
        <f>SUM(EC87:EM87)</f>
        <v>0</v>
      </c>
      <c r="EO87" s="331">
        <v>14.647</v>
      </c>
    </row>
    <row r="88" spans="1:156" s="105" customFormat="1" ht="36" x14ac:dyDescent="0.25">
      <c r="A88" s="193"/>
      <c r="B88" s="175" t="s">
        <v>1296</v>
      </c>
      <c r="C88" s="176" t="s">
        <v>1297</v>
      </c>
      <c r="D88" s="175" t="s">
        <v>1295</v>
      </c>
      <c r="E88" s="175"/>
      <c r="F88" s="177" t="s">
        <v>1293</v>
      </c>
      <c r="G88" s="269" t="s">
        <v>1442</v>
      </c>
      <c r="H88" s="270" t="s">
        <v>1443</v>
      </c>
      <c r="I88" s="273" t="s">
        <v>1489</v>
      </c>
      <c r="J88" s="175" t="s">
        <v>925</v>
      </c>
      <c r="K88" s="175" t="s">
        <v>1294</v>
      </c>
      <c r="L88" s="176">
        <v>0</v>
      </c>
      <c r="M88" s="332">
        <v>20054467.832180899</v>
      </c>
      <c r="N88" s="332">
        <v>0</v>
      </c>
      <c r="O88" s="332">
        <v>0</v>
      </c>
      <c r="P88" s="332">
        <v>0</v>
      </c>
      <c r="Q88" s="332">
        <v>0</v>
      </c>
      <c r="R88" s="332">
        <v>0</v>
      </c>
      <c r="S88" s="332">
        <v>0</v>
      </c>
      <c r="T88" s="332">
        <v>0</v>
      </c>
      <c r="U88" s="332">
        <v>0</v>
      </c>
      <c r="V88" s="332">
        <v>0</v>
      </c>
      <c r="W88" s="332">
        <v>0</v>
      </c>
      <c r="X88" s="325">
        <f t="shared" si="36"/>
        <v>0</v>
      </c>
      <c r="Y88" s="332">
        <v>0</v>
      </c>
      <c r="Z88" s="332">
        <v>0</v>
      </c>
      <c r="AA88" s="332">
        <v>0</v>
      </c>
      <c r="AB88" s="332">
        <v>0</v>
      </c>
      <c r="AC88" s="332">
        <v>0</v>
      </c>
      <c r="AD88" s="332">
        <v>0</v>
      </c>
      <c r="AE88" s="332">
        <v>0</v>
      </c>
      <c r="AF88" s="332">
        <v>0</v>
      </c>
      <c r="AG88" s="332">
        <v>0</v>
      </c>
      <c r="AH88" s="332">
        <v>0</v>
      </c>
      <c r="AI88" s="332">
        <v>0</v>
      </c>
      <c r="AJ88" s="332">
        <f>SUM(Y88:AI88)</f>
        <v>0</v>
      </c>
      <c r="AK88" s="332">
        <v>200544.68</v>
      </c>
      <c r="AL88" s="329">
        <v>0</v>
      </c>
      <c r="AM88" s="329">
        <v>0</v>
      </c>
      <c r="AN88" s="329">
        <v>0</v>
      </c>
      <c r="AO88" s="329">
        <v>0</v>
      </c>
      <c r="AP88" s="329">
        <v>0</v>
      </c>
      <c r="AQ88" s="329">
        <v>0</v>
      </c>
      <c r="AR88" s="329">
        <v>0</v>
      </c>
      <c r="AS88" s="329">
        <v>0</v>
      </c>
      <c r="AT88" s="329">
        <v>0</v>
      </c>
      <c r="AU88" s="329">
        <v>0</v>
      </c>
      <c r="AV88" s="332">
        <f>SUM(AK88:AU88)</f>
        <v>200544.68</v>
      </c>
      <c r="AW88" s="332">
        <v>200544.68</v>
      </c>
      <c r="AX88" s="332">
        <v>0</v>
      </c>
      <c r="AY88" s="332">
        <v>0</v>
      </c>
      <c r="AZ88" s="332">
        <v>0</v>
      </c>
      <c r="BA88" s="332">
        <v>0</v>
      </c>
      <c r="BB88" s="332">
        <v>0</v>
      </c>
      <c r="BC88" s="332">
        <v>0</v>
      </c>
      <c r="BD88" s="332">
        <v>0</v>
      </c>
      <c r="BE88" s="332">
        <v>0</v>
      </c>
      <c r="BF88" s="332">
        <v>0</v>
      </c>
      <c r="BG88" s="332">
        <v>0</v>
      </c>
      <c r="BH88" s="332">
        <f>SUM(AW88:BG88)</f>
        <v>200544.68</v>
      </c>
      <c r="BI88" s="332">
        <v>200544.68</v>
      </c>
      <c r="BJ88" s="332">
        <v>0</v>
      </c>
      <c r="BK88" s="332">
        <v>0</v>
      </c>
      <c r="BL88" s="332">
        <v>0</v>
      </c>
      <c r="BM88" s="332">
        <v>0</v>
      </c>
      <c r="BN88" s="332">
        <v>0</v>
      </c>
      <c r="BO88" s="332">
        <v>0</v>
      </c>
      <c r="BP88" s="332">
        <v>0</v>
      </c>
      <c r="BQ88" s="332">
        <v>0</v>
      </c>
      <c r="BR88" s="332">
        <v>0</v>
      </c>
      <c r="BS88" s="332">
        <v>0</v>
      </c>
      <c r="BT88" s="332">
        <f>SUM(BI88:BS88)</f>
        <v>200544.68</v>
      </c>
      <c r="BU88" s="332">
        <v>200544.68</v>
      </c>
      <c r="BV88" s="332">
        <v>0</v>
      </c>
      <c r="BW88" s="332">
        <v>0</v>
      </c>
      <c r="BX88" s="332">
        <v>0</v>
      </c>
      <c r="BY88" s="332">
        <v>0</v>
      </c>
      <c r="BZ88" s="332">
        <v>0</v>
      </c>
      <c r="CA88" s="332">
        <v>0</v>
      </c>
      <c r="CB88" s="332">
        <v>0</v>
      </c>
      <c r="CC88" s="332">
        <v>0</v>
      </c>
      <c r="CD88" s="332">
        <v>0</v>
      </c>
      <c r="CE88" s="332">
        <v>0</v>
      </c>
      <c r="CF88" s="332">
        <f>SUM(BU88:CE88)</f>
        <v>200544.68</v>
      </c>
      <c r="CG88" s="332">
        <v>200544.68</v>
      </c>
      <c r="CH88" s="332">
        <v>0</v>
      </c>
      <c r="CI88" s="332">
        <v>0</v>
      </c>
      <c r="CJ88" s="332">
        <v>0</v>
      </c>
      <c r="CK88" s="332">
        <v>0</v>
      </c>
      <c r="CL88" s="332">
        <v>0</v>
      </c>
      <c r="CM88" s="332">
        <v>0</v>
      </c>
      <c r="CN88" s="332">
        <v>0</v>
      </c>
      <c r="CO88" s="332">
        <v>0</v>
      </c>
      <c r="CP88" s="332">
        <v>0</v>
      </c>
      <c r="CQ88" s="332">
        <v>0</v>
      </c>
      <c r="CR88" s="332">
        <f>SUM(CG88:CQ88)</f>
        <v>200544.68</v>
      </c>
      <c r="CS88" s="332">
        <v>6350581.4800000004</v>
      </c>
      <c r="CT88" s="332">
        <v>0</v>
      </c>
      <c r="CU88" s="332">
        <v>0</v>
      </c>
      <c r="CV88" s="332">
        <v>0</v>
      </c>
      <c r="CW88" s="332">
        <v>0</v>
      </c>
      <c r="CX88" s="332">
        <v>0</v>
      </c>
      <c r="CY88" s="332">
        <v>0</v>
      </c>
      <c r="CZ88" s="332">
        <v>0</v>
      </c>
      <c r="DA88" s="332">
        <v>0</v>
      </c>
      <c r="DB88" s="332">
        <v>0</v>
      </c>
      <c r="DC88" s="332">
        <v>0</v>
      </c>
      <c r="DD88" s="332">
        <f>SUM(CS88:DC88)</f>
        <v>6350581.4800000004</v>
      </c>
      <c r="DE88" s="332">
        <v>6350581.4800000004</v>
      </c>
      <c r="DF88" s="329">
        <v>0</v>
      </c>
      <c r="DG88" s="329">
        <v>0</v>
      </c>
      <c r="DH88" s="329">
        <v>0</v>
      </c>
      <c r="DI88" s="329">
        <v>0</v>
      </c>
      <c r="DJ88" s="329">
        <v>0</v>
      </c>
      <c r="DK88" s="329">
        <v>0</v>
      </c>
      <c r="DL88" s="329">
        <v>0</v>
      </c>
      <c r="DM88" s="329">
        <v>0</v>
      </c>
      <c r="DN88" s="329">
        <v>0</v>
      </c>
      <c r="DO88" s="329">
        <v>0</v>
      </c>
      <c r="DP88" s="332">
        <f>SUM(DE88:DO88)</f>
        <v>6350581.4800000004</v>
      </c>
      <c r="DQ88" s="332">
        <v>6350581.4800000004</v>
      </c>
      <c r="DR88" s="329">
        <v>0</v>
      </c>
      <c r="DS88" s="329">
        <v>0</v>
      </c>
      <c r="DT88" s="329">
        <v>0</v>
      </c>
      <c r="DU88" s="329">
        <v>0</v>
      </c>
      <c r="DV88" s="329">
        <v>0</v>
      </c>
      <c r="DW88" s="329">
        <v>0</v>
      </c>
      <c r="DX88" s="329">
        <v>0</v>
      </c>
      <c r="DY88" s="329">
        <v>0</v>
      </c>
      <c r="DZ88" s="329">
        <v>0</v>
      </c>
      <c r="EA88" s="329">
        <v>0</v>
      </c>
      <c r="EB88" s="332">
        <f>SUM(DQ88:EA88)</f>
        <v>6350581.4800000004</v>
      </c>
      <c r="EC88" s="332">
        <v>0</v>
      </c>
      <c r="ED88" s="329">
        <v>0</v>
      </c>
      <c r="EE88" s="329">
        <v>0</v>
      </c>
      <c r="EF88" s="329">
        <v>0</v>
      </c>
      <c r="EG88" s="329">
        <v>0</v>
      </c>
      <c r="EH88" s="329">
        <v>0</v>
      </c>
      <c r="EI88" s="329">
        <v>0</v>
      </c>
      <c r="EJ88" s="329">
        <v>0</v>
      </c>
      <c r="EK88" s="329">
        <v>0</v>
      </c>
      <c r="EL88" s="329">
        <v>0</v>
      </c>
      <c r="EM88" s="329">
        <v>0</v>
      </c>
      <c r="EN88" s="340">
        <f>SUM(EC88:EM88)</f>
        <v>0</v>
      </c>
      <c r="EO88" s="331">
        <v>37.375</v>
      </c>
    </row>
    <row r="89" spans="1:156" ht="60.75" thickBot="1" x14ac:dyDescent="0.3">
      <c r="A89" s="193"/>
      <c r="B89" s="176" t="s">
        <v>1092</v>
      </c>
      <c r="C89" s="176" t="s">
        <v>1091</v>
      </c>
      <c r="D89" s="176" t="s">
        <v>1198</v>
      </c>
      <c r="E89" s="176"/>
      <c r="F89" s="183" t="s">
        <v>1302</v>
      </c>
      <c r="G89" s="274" t="s">
        <v>1449</v>
      </c>
      <c r="H89" s="275" t="s">
        <v>1448</v>
      </c>
      <c r="I89" s="276" t="s">
        <v>1522</v>
      </c>
      <c r="J89" s="185" t="s">
        <v>925</v>
      </c>
      <c r="K89" s="185" t="s">
        <v>1280</v>
      </c>
      <c r="L89" s="176" t="s">
        <v>1008</v>
      </c>
      <c r="M89" s="325">
        <f>SUM(X89,AJ89,AV89,BH89,BT89,CF89)</f>
        <v>35080000</v>
      </c>
      <c r="N89" s="325">
        <v>0</v>
      </c>
      <c r="O89" s="325">
        <v>0</v>
      </c>
      <c r="P89" s="325">
        <v>0</v>
      </c>
      <c r="Q89" s="325">
        <v>0</v>
      </c>
      <c r="R89" s="325">
        <v>0</v>
      </c>
      <c r="S89" s="325">
        <v>0</v>
      </c>
      <c r="T89" s="325">
        <v>0</v>
      </c>
      <c r="U89" s="325">
        <v>0</v>
      </c>
      <c r="V89" s="325">
        <v>0</v>
      </c>
      <c r="W89" s="325">
        <v>0</v>
      </c>
      <c r="X89" s="325">
        <f t="shared" si="36"/>
        <v>0</v>
      </c>
      <c r="Y89" s="325">
        <v>0</v>
      </c>
      <c r="Z89" s="325">
        <v>0</v>
      </c>
      <c r="AA89" s="325">
        <v>0</v>
      </c>
      <c r="AB89" s="325">
        <v>0</v>
      </c>
      <c r="AC89" s="325">
        <v>0</v>
      </c>
      <c r="AD89" s="325">
        <v>0</v>
      </c>
      <c r="AE89" s="325">
        <v>0</v>
      </c>
      <c r="AF89" s="325">
        <v>0</v>
      </c>
      <c r="AG89" s="325">
        <v>0</v>
      </c>
      <c r="AH89" s="325">
        <v>0</v>
      </c>
      <c r="AI89" s="325">
        <v>0</v>
      </c>
      <c r="AJ89" s="325">
        <f>SUM(Y89:AI89)</f>
        <v>0</v>
      </c>
      <c r="AK89" s="325">
        <v>0</v>
      </c>
      <c r="AL89" s="325">
        <v>0</v>
      </c>
      <c r="AM89" s="325">
        <v>0</v>
      </c>
      <c r="AN89" s="325">
        <v>0</v>
      </c>
      <c r="AO89" s="325">
        <v>0</v>
      </c>
      <c r="AP89" s="325">
        <v>0</v>
      </c>
      <c r="AQ89" s="325">
        <v>0</v>
      </c>
      <c r="AR89" s="325">
        <v>0</v>
      </c>
      <c r="AS89" s="325">
        <v>0</v>
      </c>
      <c r="AT89" s="325">
        <v>0</v>
      </c>
      <c r="AU89" s="325">
        <v>0</v>
      </c>
      <c r="AV89" s="325">
        <f>SUM(AK89:AU89)</f>
        <v>0</v>
      </c>
      <c r="AW89" s="325">
        <v>500000</v>
      </c>
      <c r="AX89" s="325">
        <v>0</v>
      </c>
      <c r="AY89" s="325">
        <v>0</v>
      </c>
      <c r="AZ89" s="325">
        <v>0</v>
      </c>
      <c r="BA89" s="325">
        <v>0</v>
      </c>
      <c r="BB89" s="325">
        <v>0</v>
      </c>
      <c r="BC89" s="325">
        <v>0</v>
      </c>
      <c r="BD89" s="325">
        <v>0</v>
      </c>
      <c r="BE89" s="325">
        <v>0</v>
      </c>
      <c r="BF89" s="325">
        <v>0</v>
      </c>
      <c r="BG89" s="325">
        <v>0</v>
      </c>
      <c r="BH89" s="325">
        <f>SUM(AW89:BG89)</f>
        <v>500000</v>
      </c>
      <c r="BI89" s="325">
        <v>1200000</v>
      </c>
      <c r="BJ89" s="325">
        <v>0</v>
      </c>
      <c r="BK89" s="325">
        <v>0</v>
      </c>
      <c r="BL89" s="325">
        <v>0</v>
      </c>
      <c r="BM89" s="325">
        <v>0</v>
      </c>
      <c r="BN89" s="325">
        <v>0</v>
      </c>
      <c r="BO89" s="325">
        <v>0</v>
      </c>
      <c r="BP89" s="325">
        <v>0</v>
      </c>
      <c r="BQ89" s="325">
        <v>0</v>
      </c>
      <c r="BR89" s="325">
        <v>0</v>
      </c>
      <c r="BS89" s="325">
        <v>0</v>
      </c>
      <c r="BT89" s="325">
        <f>SUM(BI89:BS89)</f>
        <v>1200000</v>
      </c>
      <c r="BU89" s="325">
        <v>280000</v>
      </c>
      <c r="BV89" s="325">
        <v>0</v>
      </c>
      <c r="BW89" s="325">
        <v>0</v>
      </c>
      <c r="BX89" s="325">
        <v>28135000</v>
      </c>
      <c r="BY89" s="325">
        <v>4965000</v>
      </c>
      <c r="BZ89" s="325">
        <v>0</v>
      </c>
      <c r="CA89" s="325">
        <v>0</v>
      </c>
      <c r="CB89" s="325">
        <v>0</v>
      </c>
      <c r="CC89" s="325">
        <v>0</v>
      </c>
      <c r="CD89" s="325">
        <v>0</v>
      </c>
      <c r="CE89" s="325">
        <v>0</v>
      </c>
      <c r="CF89" s="325">
        <f>SUM(BU89:CE89)</f>
        <v>33380000</v>
      </c>
      <c r="CG89" s="329">
        <v>0</v>
      </c>
      <c r="CH89" s="329">
        <v>0</v>
      </c>
      <c r="CI89" s="329">
        <v>0</v>
      </c>
      <c r="CJ89" s="329">
        <v>0</v>
      </c>
      <c r="CK89" s="329">
        <v>0</v>
      </c>
      <c r="CL89" s="329">
        <v>0</v>
      </c>
      <c r="CM89" s="329">
        <v>0</v>
      </c>
      <c r="CN89" s="329">
        <v>0</v>
      </c>
      <c r="CO89" s="329">
        <v>0</v>
      </c>
      <c r="CP89" s="329">
        <v>0</v>
      </c>
      <c r="CQ89" s="329">
        <v>0</v>
      </c>
      <c r="CR89" s="329">
        <f>SUM(CG89:CQ89)</f>
        <v>0</v>
      </c>
      <c r="CS89" s="329">
        <v>0</v>
      </c>
      <c r="CT89" s="329">
        <v>0</v>
      </c>
      <c r="CU89" s="329">
        <v>0</v>
      </c>
      <c r="CV89" s="329">
        <v>0</v>
      </c>
      <c r="CW89" s="329">
        <v>0</v>
      </c>
      <c r="CX89" s="329">
        <v>0</v>
      </c>
      <c r="CY89" s="329">
        <v>0</v>
      </c>
      <c r="CZ89" s="329">
        <v>0</v>
      </c>
      <c r="DA89" s="329">
        <v>0</v>
      </c>
      <c r="DB89" s="329">
        <v>0</v>
      </c>
      <c r="DC89" s="329">
        <v>0</v>
      </c>
      <c r="DD89" s="333">
        <f>SUM(CS89:DC89)</f>
        <v>0</v>
      </c>
      <c r="DE89" s="329">
        <v>0</v>
      </c>
      <c r="DF89" s="329">
        <v>0</v>
      </c>
      <c r="DG89" s="329">
        <v>0</v>
      </c>
      <c r="DH89" s="329">
        <v>0</v>
      </c>
      <c r="DI89" s="329">
        <v>0</v>
      </c>
      <c r="DJ89" s="329">
        <v>0</v>
      </c>
      <c r="DK89" s="329">
        <v>0</v>
      </c>
      <c r="DL89" s="329">
        <v>0</v>
      </c>
      <c r="DM89" s="329">
        <v>0</v>
      </c>
      <c r="DN89" s="329">
        <v>0</v>
      </c>
      <c r="DO89" s="329">
        <v>0</v>
      </c>
      <c r="DP89" s="333">
        <f>SUM(DE89:DO89)</f>
        <v>0</v>
      </c>
      <c r="DQ89" s="329">
        <v>0</v>
      </c>
      <c r="DR89" s="329">
        <v>0</v>
      </c>
      <c r="DS89" s="329">
        <v>0</v>
      </c>
      <c r="DT89" s="329">
        <v>0</v>
      </c>
      <c r="DU89" s="329">
        <v>0</v>
      </c>
      <c r="DV89" s="329">
        <v>0</v>
      </c>
      <c r="DW89" s="329">
        <v>0</v>
      </c>
      <c r="DX89" s="329">
        <v>0</v>
      </c>
      <c r="DY89" s="329">
        <v>0</v>
      </c>
      <c r="DZ89" s="329">
        <v>0</v>
      </c>
      <c r="EA89" s="329">
        <v>0</v>
      </c>
      <c r="EB89" s="333">
        <f>SUM(DQ89:EA89)</f>
        <v>0</v>
      </c>
      <c r="EC89" s="329">
        <v>0</v>
      </c>
      <c r="ED89" s="329">
        <v>0</v>
      </c>
      <c r="EE89" s="329">
        <v>0</v>
      </c>
      <c r="EF89" s="329">
        <v>0</v>
      </c>
      <c r="EG89" s="329">
        <v>0</v>
      </c>
      <c r="EH89" s="329">
        <v>0</v>
      </c>
      <c r="EI89" s="329">
        <v>0</v>
      </c>
      <c r="EJ89" s="329">
        <v>0</v>
      </c>
      <c r="EK89" s="329">
        <v>0</v>
      </c>
      <c r="EL89" s="329">
        <v>0</v>
      </c>
      <c r="EM89" s="329">
        <v>0</v>
      </c>
      <c r="EN89" s="330">
        <f>SUM(EC89:EM89)</f>
        <v>0</v>
      </c>
      <c r="EO89" s="331">
        <v>54.530999999999999</v>
      </c>
    </row>
    <row r="90" spans="1:156" ht="15.75" thickBot="1" x14ac:dyDescent="0.3">
      <c r="A90" s="180" t="s">
        <v>1303</v>
      </c>
      <c r="B90" s="308"/>
      <c r="C90" s="308"/>
      <c r="D90" s="308"/>
      <c r="E90" s="308"/>
      <c r="F90" s="308"/>
      <c r="G90" s="312"/>
      <c r="H90" s="312"/>
      <c r="I90" s="312"/>
      <c r="J90" s="281"/>
      <c r="K90" s="281"/>
      <c r="L90" s="281"/>
      <c r="M90" s="337">
        <f t="shared" ref="M90:AR90" si="51">SUM(M86:M89)</f>
        <v>62817352.135561317</v>
      </c>
      <c r="N90" s="338">
        <f t="shared" si="51"/>
        <v>0</v>
      </c>
      <c r="O90" s="338">
        <f t="shared" si="51"/>
        <v>0</v>
      </c>
      <c r="P90" s="338">
        <f t="shared" si="51"/>
        <v>0</v>
      </c>
      <c r="Q90" s="338">
        <f t="shared" si="51"/>
        <v>0</v>
      </c>
      <c r="R90" s="338">
        <f t="shared" si="51"/>
        <v>0</v>
      </c>
      <c r="S90" s="338">
        <f t="shared" si="51"/>
        <v>0</v>
      </c>
      <c r="T90" s="338">
        <f t="shared" si="51"/>
        <v>0</v>
      </c>
      <c r="U90" s="338">
        <f t="shared" si="51"/>
        <v>0</v>
      </c>
      <c r="V90" s="338">
        <f t="shared" si="51"/>
        <v>0</v>
      </c>
      <c r="W90" s="338">
        <f t="shared" si="51"/>
        <v>0</v>
      </c>
      <c r="X90" s="338">
        <f t="shared" si="51"/>
        <v>0</v>
      </c>
      <c r="Y90" s="338">
        <f t="shared" si="51"/>
        <v>0</v>
      </c>
      <c r="Z90" s="338">
        <f t="shared" si="51"/>
        <v>0</v>
      </c>
      <c r="AA90" s="338">
        <f t="shared" si="51"/>
        <v>0</v>
      </c>
      <c r="AB90" s="338">
        <f t="shared" si="51"/>
        <v>0</v>
      </c>
      <c r="AC90" s="338">
        <f t="shared" si="51"/>
        <v>0</v>
      </c>
      <c r="AD90" s="338">
        <f t="shared" si="51"/>
        <v>0</v>
      </c>
      <c r="AE90" s="338">
        <f t="shared" si="51"/>
        <v>0</v>
      </c>
      <c r="AF90" s="338">
        <f t="shared" si="51"/>
        <v>0</v>
      </c>
      <c r="AG90" s="338">
        <f t="shared" si="51"/>
        <v>0</v>
      </c>
      <c r="AH90" s="338">
        <f t="shared" si="51"/>
        <v>0</v>
      </c>
      <c r="AI90" s="338">
        <f t="shared" si="51"/>
        <v>0</v>
      </c>
      <c r="AJ90" s="338">
        <f t="shared" si="51"/>
        <v>0</v>
      </c>
      <c r="AK90" s="338">
        <f t="shared" si="51"/>
        <v>328592.75</v>
      </c>
      <c r="AL90" s="338">
        <f t="shared" si="51"/>
        <v>0</v>
      </c>
      <c r="AM90" s="338">
        <f t="shared" si="51"/>
        <v>0</v>
      </c>
      <c r="AN90" s="338">
        <f t="shared" si="51"/>
        <v>0</v>
      </c>
      <c r="AO90" s="338">
        <f t="shared" si="51"/>
        <v>0</v>
      </c>
      <c r="AP90" s="338">
        <f t="shared" si="51"/>
        <v>0</v>
      </c>
      <c r="AQ90" s="338">
        <f t="shared" si="51"/>
        <v>0</v>
      </c>
      <c r="AR90" s="338">
        <f t="shared" si="51"/>
        <v>0</v>
      </c>
      <c r="AS90" s="338">
        <f t="shared" ref="AS90:BX90" si="52">SUM(AS86:AS89)</f>
        <v>0</v>
      </c>
      <c r="AT90" s="338">
        <f t="shared" si="52"/>
        <v>0</v>
      </c>
      <c r="AU90" s="338">
        <f t="shared" si="52"/>
        <v>0</v>
      </c>
      <c r="AV90" s="338">
        <f t="shared" si="52"/>
        <v>328592.75</v>
      </c>
      <c r="AW90" s="338">
        <f t="shared" si="52"/>
        <v>828592.75</v>
      </c>
      <c r="AX90" s="338">
        <f t="shared" si="52"/>
        <v>0</v>
      </c>
      <c r="AY90" s="338">
        <f t="shared" si="52"/>
        <v>0</v>
      </c>
      <c r="AZ90" s="338">
        <f t="shared" si="52"/>
        <v>0</v>
      </c>
      <c r="BA90" s="338">
        <f t="shared" si="52"/>
        <v>0</v>
      </c>
      <c r="BB90" s="338">
        <f t="shared" si="52"/>
        <v>0</v>
      </c>
      <c r="BC90" s="338">
        <f t="shared" si="52"/>
        <v>0</v>
      </c>
      <c r="BD90" s="338">
        <f t="shared" si="52"/>
        <v>0</v>
      </c>
      <c r="BE90" s="338">
        <f t="shared" si="52"/>
        <v>0</v>
      </c>
      <c r="BF90" s="338">
        <f t="shared" si="52"/>
        <v>0</v>
      </c>
      <c r="BG90" s="338">
        <f t="shared" si="52"/>
        <v>0</v>
      </c>
      <c r="BH90" s="338">
        <f t="shared" si="52"/>
        <v>828592.75</v>
      </c>
      <c r="BI90" s="338">
        <f t="shared" si="52"/>
        <v>1528592.75</v>
      </c>
      <c r="BJ90" s="338">
        <f t="shared" si="52"/>
        <v>0</v>
      </c>
      <c r="BK90" s="338">
        <f t="shared" si="52"/>
        <v>0</v>
      </c>
      <c r="BL90" s="338">
        <f t="shared" si="52"/>
        <v>0</v>
      </c>
      <c r="BM90" s="338">
        <f t="shared" si="52"/>
        <v>0</v>
      </c>
      <c r="BN90" s="338">
        <f t="shared" si="52"/>
        <v>0</v>
      </c>
      <c r="BO90" s="338">
        <f t="shared" si="52"/>
        <v>0</v>
      </c>
      <c r="BP90" s="338">
        <f t="shared" si="52"/>
        <v>0</v>
      </c>
      <c r="BQ90" s="338">
        <f t="shared" si="52"/>
        <v>0</v>
      </c>
      <c r="BR90" s="338">
        <f t="shared" si="52"/>
        <v>0</v>
      </c>
      <c r="BS90" s="338">
        <f t="shared" si="52"/>
        <v>0</v>
      </c>
      <c r="BT90" s="338">
        <f t="shared" si="52"/>
        <v>1528592.75</v>
      </c>
      <c r="BU90" s="338">
        <f t="shared" si="52"/>
        <v>4129914.72</v>
      </c>
      <c r="BV90" s="338">
        <f t="shared" si="52"/>
        <v>0</v>
      </c>
      <c r="BW90" s="338">
        <f t="shared" si="52"/>
        <v>0</v>
      </c>
      <c r="BX90" s="338">
        <f t="shared" si="52"/>
        <v>28135000</v>
      </c>
      <c r="BY90" s="338">
        <f t="shared" ref="BY90:DD90" si="53">SUM(BY86:BY89)</f>
        <v>4965000</v>
      </c>
      <c r="BZ90" s="338">
        <f t="shared" si="53"/>
        <v>0</v>
      </c>
      <c r="CA90" s="338">
        <f t="shared" si="53"/>
        <v>0</v>
      </c>
      <c r="CB90" s="338">
        <f t="shared" si="53"/>
        <v>0</v>
      </c>
      <c r="CC90" s="338">
        <f t="shared" si="53"/>
        <v>0</v>
      </c>
      <c r="CD90" s="338">
        <f t="shared" si="53"/>
        <v>0</v>
      </c>
      <c r="CE90" s="338">
        <f t="shared" si="53"/>
        <v>0</v>
      </c>
      <c r="CF90" s="338">
        <f t="shared" si="53"/>
        <v>37229914.719999999</v>
      </c>
      <c r="CG90" s="338">
        <f t="shared" si="53"/>
        <v>3849914.72</v>
      </c>
      <c r="CH90" s="338">
        <f t="shared" si="53"/>
        <v>0</v>
      </c>
      <c r="CI90" s="338">
        <f t="shared" si="53"/>
        <v>0</v>
      </c>
      <c r="CJ90" s="338">
        <f t="shared" si="53"/>
        <v>0</v>
      </c>
      <c r="CK90" s="338">
        <f t="shared" si="53"/>
        <v>0</v>
      </c>
      <c r="CL90" s="338">
        <f t="shared" si="53"/>
        <v>0</v>
      </c>
      <c r="CM90" s="338">
        <f t="shared" si="53"/>
        <v>0</v>
      </c>
      <c r="CN90" s="338">
        <f t="shared" si="53"/>
        <v>0</v>
      </c>
      <c r="CO90" s="338">
        <f t="shared" si="53"/>
        <v>0</v>
      </c>
      <c r="CP90" s="338">
        <f t="shared" si="53"/>
        <v>0</v>
      </c>
      <c r="CQ90" s="338">
        <f t="shared" si="53"/>
        <v>0</v>
      </c>
      <c r="CR90" s="338">
        <f t="shared" si="53"/>
        <v>3849914.72</v>
      </c>
      <c r="CS90" s="338">
        <f t="shared" si="53"/>
        <v>6350581.4800000004</v>
      </c>
      <c r="CT90" s="338">
        <f t="shared" si="53"/>
        <v>0</v>
      </c>
      <c r="CU90" s="338">
        <f t="shared" si="53"/>
        <v>0</v>
      </c>
      <c r="CV90" s="338">
        <f t="shared" si="53"/>
        <v>0</v>
      </c>
      <c r="CW90" s="338">
        <f t="shared" si="53"/>
        <v>0</v>
      </c>
      <c r="CX90" s="338">
        <f t="shared" si="53"/>
        <v>0</v>
      </c>
      <c r="CY90" s="338">
        <f t="shared" si="53"/>
        <v>0</v>
      </c>
      <c r="CZ90" s="338">
        <f t="shared" si="53"/>
        <v>0</v>
      </c>
      <c r="DA90" s="338">
        <f t="shared" si="53"/>
        <v>0</v>
      </c>
      <c r="DB90" s="338">
        <f t="shared" si="53"/>
        <v>0</v>
      </c>
      <c r="DC90" s="338">
        <f t="shared" si="53"/>
        <v>0</v>
      </c>
      <c r="DD90" s="338">
        <f t="shared" si="53"/>
        <v>6350581.4800000004</v>
      </c>
      <c r="DE90" s="338">
        <f t="shared" ref="DE90:EJ90" si="54">SUM(DE86:DE89)</f>
        <v>6350581.4800000004</v>
      </c>
      <c r="DF90" s="338">
        <f t="shared" si="54"/>
        <v>0</v>
      </c>
      <c r="DG90" s="338">
        <f t="shared" si="54"/>
        <v>0</v>
      </c>
      <c r="DH90" s="338">
        <f t="shared" si="54"/>
        <v>0</v>
      </c>
      <c r="DI90" s="338">
        <f t="shared" si="54"/>
        <v>0</v>
      </c>
      <c r="DJ90" s="338">
        <f t="shared" si="54"/>
        <v>0</v>
      </c>
      <c r="DK90" s="338">
        <f t="shared" si="54"/>
        <v>0</v>
      </c>
      <c r="DL90" s="338">
        <f t="shared" si="54"/>
        <v>0</v>
      </c>
      <c r="DM90" s="338">
        <f t="shared" si="54"/>
        <v>0</v>
      </c>
      <c r="DN90" s="338">
        <f t="shared" si="54"/>
        <v>0</v>
      </c>
      <c r="DO90" s="338">
        <f t="shared" si="54"/>
        <v>0</v>
      </c>
      <c r="DP90" s="338">
        <f t="shared" si="54"/>
        <v>6350581.4800000004</v>
      </c>
      <c r="DQ90" s="338">
        <f t="shared" si="54"/>
        <v>6350581.4800000004</v>
      </c>
      <c r="DR90" s="338">
        <f t="shared" si="54"/>
        <v>0</v>
      </c>
      <c r="DS90" s="338">
        <f t="shared" si="54"/>
        <v>0</v>
      </c>
      <c r="DT90" s="338">
        <f t="shared" si="54"/>
        <v>0</v>
      </c>
      <c r="DU90" s="338">
        <f t="shared" si="54"/>
        <v>0</v>
      </c>
      <c r="DV90" s="338">
        <f t="shared" si="54"/>
        <v>0</v>
      </c>
      <c r="DW90" s="338">
        <f t="shared" si="54"/>
        <v>0</v>
      </c>
      <c r="DX90" s="338">
        <f t="shared" si="54"/>
        <v>0</v>
      </c>
      <c r="DY90" s="338">
        <f t="shared" si="54"/>
        <v>0</v>
      </c>
      <c r="DZ90" s="338">
        <f t="shared" si="54"/>
        <v>0</v>
      </c>
      <c r="EA90" s="338">
        <f t="shared" si="54"/>
        <v>0</v>
      </c>
      <c r="EB90" s="338">
        <f t="shared" si="54"/>
        <v>6350581.4800000004</v>
      </c>
      <c r="EC90" s="338">
        <f t="shared" si="54"/>
        <v>0</v>
      </c>
      <c r="ED90" s="338">
        <f t="shared" si="54"/>
        <v>0</v>
      </c>
      <c r="EE90" s="338">
        <f t="shared" si="54"/>
        <v>0</v>
      </c>
      <c r="EF90" s="338">
        <f t="shared" si="54"/>
        <v>0</v>
      </c>
      <c r="EG90" s="338">
        <f t="shared" si="54"/>
        <v>0</v>
      </c>
      <c r="EH90" s="338">
        <f t="shared" si="54"/>
        <v>0</v>
      </c>
      <c r="EI90" s="338">
        <f t="shared" si="54"/>
        <v>0</v>
      </c>
      <c r="EJ90" s="338">
        <f t="shared" si="54"/>
        <v>0</v>
      </c>
      <c r="EK90" s="338">
        <f>SUM(EK86:EK89)</f>
        <v>0</v>
      </c>
      <c r="EL90" s="338">
        <f>SUM(EL86:EL89)</f>
        <v>0</v>
      </c>
      <c r="EM90" s="338">
        <f>SUM(EM86:EM89)</f>
        <v>0</v>
      </c>
      <c r="EN90" s="339">
        <f>SUM(EN86:EN89)</f>
        <v>0</v>
      </c>
      <c r="EO90" s="373"/>
    </row>
    <row r="91" spans="1:156" s="101" customFormat="1" ht="15.75" thickBot="1" x14ac:dyDescent="0.3">
      <c r="A91" s="180" t="s">
        <v>1255</v>
      </c>
      <c r="B91" s="308"/>
      <c r="C91" s="308"/>
      <c r="D91" s="308"/>
      <c r="E91" s="308"/>
      <c r="F91" s="308"/>
      <c r="G91" s="308"/>
      <c r="H91" s="308"/>
      <c r="I91" s="308"/>
      <c r="J91" s="181"/>
      <c r="K91" s="181"/>
      <c r="L91" s="181"/>
      <c r="M91" s="337">
        <f>SUM(X91,AJ91,AV91, BH91,BT91,CF91,CR91,DD91,DP91,EB91,EN91)</f>
        <v>135000000</v>
      </c>
      <c r="N91" s="338">
        <v>0</v>
      </c>
      <c r="O91" s="338">
        <v>0</v>
      </c>
      <c r="P91" s="338">
        <v>0</v>
      </c>
      <c r="Q91" s="338">
        <v>0</v>
      </c>
      <c r="R91" s="338">
        <v>0</v>
      </c>
      <c r="S91" s="338">
        <v>0</v>
      </c>
      <c r="T91" s="338">
        <v>0</v>
      </c>
      <c r="U91" s="338">
        <v>0</v>
      </c>
      <c r="V91" s="338">
        <v>0</v>
      </c>
      <c r="W91" s="338">
        <v>0</v>
      </c>
      <c r="X91" s="338">
        <f>SUM(N91:W91)</f>
        <v>0</v>
      </c>
      <c r="Y91" s="338">
        <v>0</v>
      </c>
      <c r="Z91" s="338">
        <v>0</v>
      </c>
      <c r="AA91" s="338">
        <v>0</v>
      </c>
      <c r="AB91" s="338">
        <v>0</v>
      </c>
      <c r="AC91" s="338">
        <v>0</v>
      </c>
      <c r="AD91" s="338">
        <v>0</v>
      </c>
      <c r="AE91" s="338">
        <v>0</v>
      </c>
      <c r="AF91" s="338">
        <v>0</v>
      </c>
      <c r="AG91" s="338">
        <v>0</v>
      </c>
      <c r="AH91" s="338">
        <v>0</v>
      </c>
      <c r="AI91" s="338">
        <v>0</v>
      </c>
      <c r="AJ91" s="338">
        <f>SUM(Y91:AI91)</f>
        <v>0</v>
      </c>
      <c r="AK91" s="338">
        <v>15000000</v>
      </c>
      <c r="AL91" s="338">
        <v>0</v>
      </c>
      <c r="AM91" s="338">
        <v>0</v>
      </c>
      <c r="AN91" s="338">
        <v>0</v>
      </c>
      <c r="AO91" s="338">
        <v>0</v>
      </c>
      <c r="AP91" s="338">
        <v>0</v>
      </c>
      <c r="AQ91" s="338">
        <v>0</v>
      </c>
      <c r="AR91" s="338">
        <v>0</v>
      </c>
      <c r="AS91" s="338">
        <v>0</v>
      </c>
      <c r="AT91" s="338">
        <v>0</v>
      </c>
      <c r="AU91" s="338">
        <v>0</v>
      </c>
      <c r="AV91" s="338">
        <f>SUM(AK91:AU91)</f>
        <v>15000000</v>
      </c>
      <c r="AW91" s="338">
        <v>15000000</v>
      </c>
      <c r="AX91" s="338">
        <v>0</v>
      </c>
      <c r="AY91" s="338">
        <v>0</v>
      </c>
      <c r="AZ91" s="338">
        <v>0</v>
      </c>
      <c r="BA91" s="338">
        <v>0</v>
      </c>
      <c r="BB91" s="338">
        <v>0</v>
      </c>
      <c r="BC91" s="338">
        <v>0</v>
      </c>
      <c r="BD91" s="338">
        <v>0</v>
      </c>
      <c r="BE91" s="338">
        <v>0</v>
      </c>
      <c r="BF91" s="338">
        <v>0</v>
      </c>
      <c r="BG91" s="338">
        <v>0</v>
      </c>
      <c r="BH91" s="338">
        <f>SUM(AW91:BG91)</f>
        <v>15000000</v>
      </c>
      <c r="BI91" s="338">
        <v>15000000</v>
      </c>
      <c r="BJ91" s="338">
        <v>0</v>
      </c>
      <c r="BK91" s="338">
        <v>0</v>
      </c>
      <c r="BL91" s="338">
        <v>0</v>
      </c>
      <c r="BM91" s="338">
        <v>0</v>
      </c>
      <c r="BN91" s="338">
        <v>0</v>
      </c>
      <c r="BO91" s="338">
        <v>0</v>
      </c>
      <c r="BP91" s="338">
        <v>0</v>
      </c>
      <c r="BQ91" s="338">
        <v>0</v>
      </c>
      <c r="BR91" s="338">
        <v>0</v>
      </c>
      <c r="BS91" s="338">
        <v>0</v>
      </c>
      <c r="BT91" s="338">
        <f>SUM(BI91:BS91)</f>
        <v>15000000</v>
      </c>
      <c r="BU91" s="338">
        <v>15000000</v>
      </c>
      <c r="BV91" s="338">
        <v>0</v>
      </c>
      <c r="BW91" s="338">
        <v>0</v>
      </c>
      <c r="BX91" s="338">
        <v>0</v>
      </c>
      <c r="BY91" s="338">
        <v>0</v>
      </c>
      <c r="BZ91" s="338">
        <v>0</v>
      </c>
      <c r="CA91" s="338">
        <v>0</v>
      </c>
      <c r="CB91" s="338">
        <v>0</v>
      </c>
      <c r="CC91" s="338">
        <v>0</v>
      </c>
      <c r="CD91" s="338">
        <v>0</v>
      </c>
      <c r="CE91" s="338">
        <v>0</v>
      </c>
      <c r="CF91" s="338">
        <f>SUM(BU91:CE91)</f>
        <v>15000000</v>
      </c>
      <c r="CG91" s="338">
        <v>15000000</v>
      </c>
      <c r="CH91" s="338">
        <v>0</v>
      </c>
      <c r="CI91" s="338">
        <v>0</v>
      </c>
      <c r="CJ91" s="338">
        <v>0</v>
      </c>
      <c r="CK91" s="338">
        <v>0</v>
      </c>
      <c r="CL91" s="338">
        <v>0</v>
      </c>
      <c r="CM91" s="338">
        <v>0</v>
      </c>
      <c r="CN91" s="338">
        <v>0</v>
      </c>
      <c r="CO91" s="338">
        <v>0</v>
      </c>
      <c r="CP91" s="338">
        <v>0</v>
      </c>
      <c r="CQ91" s="338">
        <v>0</v>
      </c>
      <c r="CR91" s="338">
        <f>SUM(CG91:CQ91)</f>
        <v>15000000</v>
      </c>
      <c r="CS91" s="338">
        <v>15000000</v>
      </c>
      <c r="CT91" s="338">
        <v>0</v>
      </c>
      <c r="CU91" s="338">
        <v>0</v>
      </c>
      <c r="CV91" s="338">
        <v>0</v>
      </c>
      <c r="CW91" s="338">
        <v>0</v>
      </c>
      <c r="CX91" s="338">
        <v>0</v>
      </c>
      <c r="CY91" s="338">
        <v>0</v>
      </c>
      <c r="CZ91" s="338">
        <v>0</v>
      </c>
      <c r="DA91" s="338">
        <v>0</v>
      </c>
      <c r="DB91" s="338">
        <v>0</v>
      </c>
      <c r="DC91" s="338">
        <v>0</v>
      </c>
      <c r="DD91" s="338">
        <f>SUM(CS91:DC91)</f>
        <v>15000000</v>
      </c>
      <c r="DE91" s="338">
        <v>15000000</v>
      </c>
      <c r="DF91" s="338">
        <v>0</v>
      </c>
      <c r="DG91" s="338">
        <v>0</v>
      </c>
      <c r="DH91" s="338">
        <v>0</v>
      </c>
      <c r="DI91" s="338">
        <v>0</v>
      </c>
      <c r="DJ91" s="338">
        <v>0</v>
      </c>
      <c r="DK91" s="338">
        <v>0</v>
      </c>
      <c r="DL91" s="338">
        <v>0</v>
      </c>
      <c r="DM91" s="338">
        <v>0</v>
      </c>
      <c r="DN91" s="338">
        <v>0</v>
      </c>
      <c r="DO91" s="338">
        <v>0</v>
      </c>
      <c r="DP91" s="338">
        <f>SUM(DE91:DO91)</f>
        <v>15000000</v>
      </c>
      <c r="DQ91" s="338">
        <v>15000000</v>
      </c>
      <c r="DR91" s="338">
        <v>0</v>
      </c>
      <c r="DS91" s="338">
        <v>0</v>
      </c>
      <c r="DT91" s="338">
        <v>0</v>
      </c>
      <c r="DU91" s="338">
        <v>0</v>
      </c>
      <c r="DV91" s="338">
        <v>0</v>
      </c>
      <c r="DW91" s="338">
        <v>0</v>
      </c>
      <c r="DX91" s="338">
        <v>0</v>
      </c>
      <c r="DY91" s="338">
        <v>0</v>
      </c>
      <c r="DZ91" s="338">
        <v>0</v>
      </c>
      <c r="EA91" s="338">
        <v>0</v>
      </c>
      <c r="EB91" s="338">
        <f>SUM(DQ91:EA91)</f>
        <v>15000000</v>
      </c>
      <c r="EC91" s="338">
        <v>15000000</v>
      </c>
      <c r="ED91" s="338">
        <v>0</v>
      </c>
      <c r="EE91" s="338">
        <v>0</v>
      </c>
      <c r="EF91" s="338">
        <v>0</v>
      </c>
      <c r="EG91" s="338">
        <v>0</v>
      </c>
      <c r="EH91" s="338">
        <v>0</v>
      </c>
      <c r="EI91" s="338">
        <v>0</v>
      </c>
      <c r="EJ91" s="338">
        <v>0</v>
      </c>
      <c r="EK91" s="338">
        <v>0</v>
      </c>
      <c r="EL91" s="338">
        <v>0</v>
      </c>
      <c r="EM91" s="338">
        <v>0</v>
      </c>
      <c r="EN91" s="339">
        <f>SUM(EC91:EM91)</f>
        <v>15000000</v>
      </c>
      <c r="EO91" s="374"/>
      <c r="EY91" s="9"/>
      <c r="EZ91" s="9"/>
    </row>
    <row r="92" spans="1:156" s="11" customFormat="1" ht="21.75" thickBot="1" x14ac:dyDescent="0.3">
      <c r="A92" s="195" t="s">
        <v>1190</v>
      </c>
      <c r="B92" s="230"/>
      <c r="C92" s="230"/>
      <c r="D92" s="230"/>
      <c r="E92" s="230"/>
      <c r="F92" s="230"/>
      <c r="G92" s="321"/>
      <c r="H92" s="321"/>
      <c r="I92" s="321"/>
      <c r="J92" s="285"/>
      <c r="K92" s="285"/>
      <c r="L92" s="285"/>
      <c r="M92" s="363">
        <f t="shared" ref="M92:AR92" si="55">M17+M56+M57+M85+M90+M91</f>
        <v>4985841197.1838627</v>
      </c>
      <c r="N92" s="364">
        <f t="shared" si="55"/>
        <v>63270489.039999999</v>
      </c>
      <c r="O92" s="364">
        <f t="shared" si="55"/>
        <v>83337326.700000003</v>
      </c>
      <c r="P92" s="364">
        <f t="shared" si="55"/>
        <v>4958078.03</v>
      </c>
      <c r="Q92" s="364">
        <f t="shared" si="55"/>
        <v>265186699.75</v>
      </c>
      <c r="R92" s="364">
        <f t="shared" si="55"/>
        <v>49958714.510000005</v>
      </c>
      <c r="S92" s="364">
        <f t="shared" si="55"/>
        <v>1248480.3900000001</v>
      </c>
      <c r="T92" s="364">
        <f t="shared" si="55"/>
        <v>5444450.1400000006</v>
      </c>
      <c r="U92" s="364">
        <f t="shared" si="55"/>
        <v>1189722.2999999998</v>
      </c>
      <c r="V92" s="364">
        <f t="shared" si="55"/>
        <v>35616.46</v>
      </c>
      <c r="W92" s="364">
        <f t="shared" si="55"/>
        <v>37439996.615000002</v>
      </c>
      <c r="X92" s="364">
        <f t="shared" si="55"/>
        <v>512069573.93499994</v>
      </c>
      <c r="Y92" s="364">
        <f t="shared" si="55"/>
        <v>15088115.880000001</v>
      </c>
      <c r="Z92" s="364">
        <f t="shared" si="55"/>
        <v>16306147.85</v>
      </c>
      <c r="AA92" s="364">
        <f t="shared" si="55"/>
        <v>2046093.33</v>
      </c>
      <c r="AB92" s="364">
        <f t="shared" si="55"/>
        <v>61514373.789999992</v>
      </c>
      <c r="AC92" s="364">
        <f t="shared" si="55"/>
        <v>10868737.699999999</v>
      </c>
      <c r="AD92" s="364">
        <f t="shared" si="55"/>
        <v>0</v>
      </c>
      <c r="AE92" s="364">
        <f t="shared" si="55"/>
        <v>50142387.939999998</v>
      </c>
      <c r="AF92" s="364">
        <f t="shared" si="55"/>
        <v>13164574.51</v>
      </c>
      <c r="AG92" s="364">
        <f t="shared" si="55"/>
        <v>0</v>
      </c>
      <c r="AH92" s="364">
        <f t="shared" si="55"/>
        <v>0</v>
      </c>
      <c r="AI92" s="364">
        <f t="shared" si="55"/>
        <v>12866934.830000002</v>
      </c>
      <c r="AJ92" s="364">
        <f t="shared" si="55"/>
        <v>181997365.83000004</v>
      </c>
      <c r="AK92" s="364">
        <f t="shared" si="55"/>
        <v>38830575.413672939</v>
      </c>
      <c r="AL92" s="364">
        <f t="shared" si="55"/>
        <v>55914664.91343569</v>
      </c>
      <c r="AM92" s="364">
        <f t="shared" si="55"/>
        <v>53540412</v>
      </c>
      <c r="AN92" s="364">
        <f t="shared" si="55"/>
        <v>133075889.61808382</v>
      </c>
      <c r="AO92" s="364">
        <f t="shared" si="55"/>
        <v>23483980.501426559</v>
      </c>
      <c r="AP92" s="364">
        <f t="shared" si="55"/>
        <v>0</v>
      </c>
      <c r="AQ92" s="364">
        <f t="shared" si="55"/>
        <v>117881109.55</v>
      </c>
      <c r="AR92" s="364">
        <f t="shared" si="55"/>
        <v>34397333.180000007</v>
      </c>
      <c r="AS92" s="364">
        <f t="shared" ref="AS92:BX92" si="56">AS17+AS56+AS57+AS85+AS90+AS91</f>
        <v>0</v>
      </c>
      <c r="AT92" s="364">
        <f t="shared" si="56"/>
        <v>13805355.51</v>
      </c>
      <c r="AU92" s="364">
        <f t="shared" si="56"/>
        <v>2423550.7400000002</v>
      </c>
      <c r="AV92" s="364">
        <f t="shared" si="56"/>
        <v>473352871.42661899</v>
      </c>
      <c r="AW92" s="364">
        <f t="shared" si="56"/>
        <v>43737619.120977364</v>
      </c>
      <c r="AX92" s="364">
        <f t="shared" si="56"/>
        <v>26785707.424564313</v>
      </c>
      <c r="AY92" s="364">
        <f t="shared" si="56"/>
        <v>102828</v>
      </c>
      <c r="AZ92" s="364">
        <f t="shared" si="56"/>
        <v>199720891.44554472</v>
      </c>
      <c r="BA92" s="364">
        <f t="shared" si="56"/>
        <v>35245922.019802012</v>
      </c>
      <c r="BB92" s="364">
        <f t="shared" si="56"/>
        <v>0</v>
      </c>
      <c r="BC92" s="364">
        <f t="shared" si="56"/>
        <v>180742741.69999999</v>
      </c>
      <c r="BD92" s="364">
        <f t="shared" si="56"/>
        <v>57188961.259999998</v>
      </c>
      <c r="BE92" s="364">
        <f t="shared" si="56"/>
        <v>0</v>
      </c>
      <c r="BF92" s="364">
        <f t="shared" si="56"/>
        <v>28500000</v>
      </c>
      <c r="BG92" s="364">
        <f t="shared" si="56"/>
        <v>670000</v>
      </c>
      <c r="BH92" s="364">
        <f t="shared" si="56"/>
        <v>572694670.9708885</v>
      </c>
      <c r="BI92" s="364">
        <f t="shared" si="56"/>
        <v>58249127.000977367</v>
      </c>
      <c r="BJ92" s="364">
        <f t="shared" si="56"/>
        <v>18084604.52</v>
      </c>
      <c r="BK92" s="364">
        <f t="shared" si="56"/>
        <v>0</v>
      </c>
      <c r="BL92" s="364">
        <f t="shared" si="56"/>
        <v>24350238.697071426</v>
      </c>
      <c r="BM92" s="364">
        <f t="shared" si="56"/>
        <v>4304159.7700714283</v>
      </c>
      <c r="BN92" s="364">
        <f t="shared" si="56"/>
        <v>0</v>
      </c>
      <c r="BO92" s="364">
        <f t="shared" si="56"/>
        <v>93618700.840000004</v>
      </c>
      <c r="BP92" s="364">
        <f t="shared" si="56"/>
        <v>21110085.899999999</v>
      </c>
      <c r="BQ92" s="364">
        <f t="shared" si="56"/>
        <v>0</v>
      </c>
      <c r="BR92" s="364">
        <f t="shared" si="56"/>
        <v>144750000</v>
      </c>
      <c r="BS92" s="364">
        <f t="shared" si="56"/>
        <v>6910000</v>
      </c>
      <c r="BT92" s="364">
        <f t="shared" si="56"/>
        <v>371376916.72812021</v>
      </c>
      <c r="BU92" s="364">
        <f t="shared" si="56"/>
        <v>44628982.340977371</v>
      </c>
      <c r="BV92" s="364">
        <f t="shared" si="56"/>
        <v>0</v>
      </c>
      <c r="BW92" s="364">
        <f t="shared" si="56"/>
        <v>0</v>
      </c>
      <c r="BX92" s="364">
        <f t="shared" si="56"/>
        <v>169507854</v>
      </c>
      <c r="BY92" s="364">
        <f t="shared" ref="BY92:DD92" si="57">BY17+BY56+BY57+BY85+BY90+BY91</f>
        <v>30131480</v>
      </c>
      <c r="BZ92" s="364">
        <f t="shared" si="57"/>
        <v>0</v>
      </c>
      <c r="CA92" s="364">
        <f t="shared" si="57"/>
        <v>89250000</v>
      </c>
      <c r="CB92" s="364">
        <f t="shared" si="57"/>
        <v>18182662.600000001</v>
      </c>
      <c r="CC92" s="364">
        <f t="shared" si="57"/>
        <v>5429293.4000000004</v>
      </c>
      <c r="CD92" s="364">
        <f t="shared" si="57"/>
        <v>137101000</v>
      </c>
      <c r="CE92" s="364">
        <f t="shared" si="57"/>
        <v>13231000</v>
      </c>
      <c r="CF92" s="364">
        <f t="shared" si="57"/>
        <v>507462272.34097731</v>
      </c>
      <c r="CG92" s="364">
        <f t="shared" si="57"/>
        <v>47421413.160977364</v>
      </c>
      <c r="CH92" s="364">
        <f t="shared" si="57"/>
        <v>0</v>
      </c>
      <c r="CI92" s="364">
        <f t="shared" si="57"/>
        <v>0</v>
      </c>
      <c r="CJ92" s="364">
        <f t="shared" si="57"/>
        <v>184218743</v>
      </c>
      <c r="CK92" s="364">
        <f t="shared" si="57"/>
        <v>34108870</v>
      </c>
      <c r="CL92" s="364">
        <f t="shared" si="57"/>
        <v>0</v>
      </c>
      <c r="CM92" s="364">
        <f t="shared" si="57"/>
        <v>89250000</v>
      </c>
      <c r="CN92" s="364">
        <f t="shared" si="57"/>
        <v>15750000</v>
      </c>
      <c r="CO92" s="364">
        <f t="shared" si="57"/>
        <v>0</v>
      </c>
      <c r="CP92" s="364">
        <f t="shared" si="57"/>
        <v>137101000</v>
      </c>
      <c r="CQ92" s="364">
        <f t="shared" si="57"/>
        <v>16751000</v>
      </c>
      <c r="CR92" s="364">
        <f t="shared" si="57"/>
        <v>524601026.16097742</v>
      </c>
      <c r="CS92" s="364">
        <f t="shared" si="57"/>
        <v>252297943.97641966</v>
      </c>
      <c r="CT92" s="364">
        <f t="shared" si="57"/>
        <v>0</v>
      </c>
      <c r="CU92" s="364">
        <f t="shared" si="57"/>
        <v>0</v>
      </c>
      <c r="CV92" s="364">
        <f t="shared" si="57"/>
        <v>66388743</v>
      </c>
      <c r="CW92" s="364">
        <f t="shared" si="57"/>
        <v>13318871</v>
      </c>
      <c r="CX92" s="364">
        <f t="shared" si="57"/>
        <v>0</v>
      </c>
      <c r="CY92" s="364">
        <f t="shared" si="57"/>
        <v>89250000</v>
      </c>
      <c r="CZ92" s="364">
        <f t="shared" si="57"/>
        <v>15750000</v>
      </c>
      <c r="DA92" s="364">
        <f t="shared" si="57"/>
        <v>0</v>
      </c>
      <c r="DB92" s="364">
        <f t="shared" si="57"/>
        <v>0</v>
      </c>
      <c r="DC92" s="364">
        <f t="shared" si="57"/>
        <v>10550000</v>
      </c>
      <c r="DD92" s="364">
        <f t="shared" si="57"/>
        <v>447555557.97641969</v>
      </c>
      <c r="DE92" s="364">
        <f t="shared" ref="DE92:EJ92" si="58">DE17+DE56+DE57+DE85+DE90+DE91</f>
        <v>394255512.09478611</v>
      </c>
      <c r="DF92" s="364">
        <f t="shared" si="58"/>
        <v>0</v>
      </c>
      <c r="DG92" s="364">
        <f t="shared" si="58"/>
        <v>0</v>
      </c>
      <c r="DH92" s="364">
        <f t="shared" si="58"/>
        <v>37247910</v>
      </c>
      <c r="DI92" s="364">
        <f t="shared" si="58"/>
        <v>8176371</v>
      </c>
      <c r="DJ92" s="364">
        <f t="shared" si="58"/>
        <v>0</v>
      </c>
      <c r="DK92" s="364">
        <f t="shared" si="58"/>
        <v>44602050</v>
      </c>
      <c r="DL92" s="364">
        <f t="shared" si="58"/>
        <v>7870950</v>
      </c>
      <c r="DM92" s="364">
        <f t="shared" si="58"/>
        <v>0</v>
      </c>
      <c r="DN92" s="364">
        <f t="shared" si="58"/>
        <v>0</v>
      </c>
      <c r="DO92" s="364">
        <f t="shared" si="58"/>
        <v>2500000</v>
      </c>
      <c r="DP92" s="364">
        <f t="shared" si="58"/>
        <v>494652793.09478611</v>
      </c>
      <c r="DQ92" s="364">
        <f t="shared" si="58"/>
        <v>444271811.09478605</v>
      </c>
      <c r="DR92" s="364">
        <f t="shared" si="58"/>
        <v>0</v>
      </c>
      <c r="DS92" s="364">
        <f t="shared" si="58"/>
        <v>0</v>
      </c>
      <c r="DT92" s="364">
        <f t="shared" si="58"/>
        <v>0</v>
      </c>
      <c r="DU92" s="364">
        <f t="shared" si="58"/>
        <v>0</v>
      </c>
      <c r="DV92" s="364">
        <f t="shared" si="58"/>
        <v>0</v>
      </c>
      <c r="DW92" s="364">
        <f t="shared" si="58"/>
        <v>0</v>
      </c>
      <c r="DX92" s="364">
        <f t="shared" si="58"/>
        <v>0</v>
      </c>
      <c r="DY92" s="364">
        <f t="shared" si="58"/>
        <v>0</v>
      </c>
      <c r="DZ92" s="364">
        <f t="shared" si="58"/>
        <v>0</v>
      </c>
      <c r="EA92" s="364">
        <f t="shared" si="58"/>
        <v>0</v>
      </c>
      <c r="EB92" s="364">
        <f t="shared" si="58"/>
        <v>444271811.09478605</v>
      </c>
      <c r="EC92" s="364">
        <f t="shared" si="58"/>
        <v>455806337.63048708</v>
      </c>
      <c r="ED92" s="364">
        <f t="shared" si="58"/>
        <v>0</v>
      </c>
      <c r="EE92" s="364">
        <f t="shared" si="58"/>
        <v>0</v>
      </c>
      <c r="EF92" s="364">
        <f t="shared" si="58"/>
        <v>0</v>
      </c>
      <c r="EG92" s="364">
        <f t="shared" si="58"/>
        <v>0</v>
      </c>
      <c r="EH92" s="364">
        <f t="shared" si="58"/>
        <v>0</v>
      </c>
      <c r="EI92" s="364">
        <f t="shared" si="58"/>
        <v>0</v>
      </c>
      <c r="EJ92" s="364">
        <f t="shared" si="58"/>
        <v>0</v>
      </c>
      <c r="EK92" s="364">
        <f>EK17+EK56+EK57+EK85+EK90+EK91</f>
        <v>0</v>
      </c>
      <c r="EL92" s="364">
        <f>EL17+EL56+EL57+EL85+EL90+EL91</f>
        <v>0</v>
      </c>
      <c r="EM92" s="364">
        <f>EM17+EM56+EM57+EM85+EM90+EM91</f>
        <v>0</v>
      </c>
      <c r="EN92" s="365">
        <f>EN17+EN56+EN57+EN85+EN90+EN91</f>
        <v>455806337.63048708</v>
      </c>
      <c r="EO92" s="58"/>
      <c r="EY92" s="9"/>
      <c r="EZ92" s="9"/>
    </row>
    <row r="93" spans="1:156" s="11" customFormat="1" x14ac:dyDescent="0.25">
      <c r="A93" s="322"/>
      <c r="B93" s="232"/>
      <c r="C93" s="232"/>
      <c r="D93" s="232"/>
      <c r="E93" s="232"/>
      <c r="F93" s="232" t="s">
        <v>1130</v>
      </c>
      <c r="G93" s="323"/>
      <c r="H93" s="323"/>
      <c r="I93" s="323"/>
      <c r="J93" s="286"/>
      <c r="K93" s="286"/>
      <c r="L93" s="286"/>
      <c r="M93" s="366"/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6"/>
      <c r="AA93" s="366"/>
      <c r="AB93" s="366"/>
      <c r="AC93" s="366"/>
      <c r="AD93" s="366"/>
      <c r="AE93" s="366"/>
      <c r="AF93" s="366"/>
      <c r="AG93" s="366"/>
      <c r="AH93" s="366"/>
      <c r="AI93" s="366"/>
      <c r="AJ93" s="366">
        <f>HDP!B4</f>
        <v>352122013.77589434</v>
      </c>
      <c r="AK93" s="366"/>
      <c r="AL93" s="366"/>
      <c r="AM93" s="366"/>
      <c r="AN93" s="366"/>
      <c r="AO93" s="366"/>
      <c r="AP93" s="366"/>
      <c r="AQ93" s="366"/>
      <c r="AR93" s="366"/>
      <c r="AS93" s="366"/>
      <c r="AT93" s="366"/>
      <c r="AU93" s="366"/>
      <c r="AV93" s="366">
        <f>HDP!C4</f>
        <v>366931124.11526299</v>
      </c>
      <c r="AW93" s="366"/>
      <c r="AX93" s="366"/>
      <c r="AY93" s="366"/>
      <c r="AZ93" s="366"/>
      <c r="BA93" s="366"/>
      <c r="BB93" s="366"/>
      <c r="BC93" s="366"/>
      <c r="BD93" s="366"/>
      <c r="BE93" s="366"/>
      <c r="BF93" s="366"/>
      <c r="BG93" s="366"/>
      <c r="BH93" s="366">
        <f>HDP!D4</f>
        <v>385268286.33042908</v>
      </c>
      <c r="BI93" s="366"/>
      <c r="BJ93" s="366"/>
      <c r="BK93" s="366"/>
      <c r="BL93" s="366"/>
      <c r="BM93" s="366"/>
      <c r="BN93" s="366"/>
      <c r="BO93" s="366"/>
      <c r="BP93" s="366"/>
      <c r="BQ93" s="366"/>
      <c r="BR93" s="366"/>
      <c r="BS93" s="366"/>
      <c r="BT93" s="366">
        <f>HDP!E4</f>
        <v>388017458.65171349</v>
      </c>
      <c r="BU93" s="366"/>
      <c r="BV93" s="366"/>
      <c r="BW93" s="366"/>
      <c r="BX93" s="366"/>
      <c r="BY93" s="366"/>
      <c r="BZ93" s="366"/>
      <c r="CA93" s="366"/>
      <c r="CB93" s="366"/>
      <c r="CC93" s="366"/>
      <c r="CD93" s="366"/>
      <c r="CE93" s="366"/>
      <c r="CF93" s="366">
        <f>HDP!F4</f>
        <v>394225737.99014086</v>
      </c>
      <c r="CG93" s="366"/>
      <c r="CH93" s="366"/>
      <c r="CI93" s="366"/>
      <c r="CJ93" s="366"/>
      <c r="CK93" s="366"/>
      <c r="CL93" s="366"/>
      <c r="CM93" s="366"/>
      <c r="CN93" s="366"/>
      <c r="CO93" s="366"/>
      <c r="CP93" s="366"/>
      <c r="CQ93" s="366"/>
      <c r="CR93" s="366">
        <f>HDP!G4</f>
        <v>400533349.79798311</v>
      </c>
      <c r="CS93" s="366"/>
      <c r="CT93" s="366"/>
      <c r="CU93" s="366"/>
      <c r="CV93" s="366"/>
      <c r="CW93" s="366"/>
      <c r="CX93" s="366"/>
      <c r="CY93" s="366"/>
      <c r="CZ93" s="366"/>
      <c r="DA93" s="366"/>
      <c r="DB93" s="366"/>
      <c r="DC93" s="366"/>
      <c r="DD93" s="366">
        <f>HDP!H4</f>
        <v>406941883.39475083</v>
      </c>
      <c r="DE93" s="366"/>
      <c r="DF93" s="366"/>
      <c r="DG93" s="366"/>
      <c r="DH93" s="366"/>
      <c r="DI93" s="366"/>
      <c r="DJ93" s="366"/>
      <c r="DK93" s="366"/>
      <c r="DL93" s="366"/>
      <c r="DM93" s="366"/>
      <c r="DN93" s="366"/>
      <c r="DO93" s="366"/>
      <c r="DP93" s="366">
        <f>HDP!I4</f>
        <v>413452953.52906686</v>
      </c>
      <c r="DQ93" s="366"/>
      <c r="DR93" s="366"/>
      <c r="DS93" s="366"/>
      <c r="DT93" s="366"/>
      <c r="DU93" s="366"/>
      <c r="DV93" s="366"/>
      <c r="DW93" s="366"/>
      <c r="DX93" s="366"/>
      <c r="DY93" s="366"/>
      <c r="DZ93" s="366"/>
      <c r="EA93" s="366"/>
      <c r="EB93" s="366">
        <f>HDP!J4</f>
        <v>420068200.78553194</v>
      </c>
      <c r="EC93" s="366"/>
      <c r="ED93" s="366"/>
      <c r="EE93" s="366"/>
      <c r="EF93" s="366"/>
      <c r="EG93" s="366"/>
      <c r="EH93" s="366"/>
      <c r="EI93" s="366"/>
      <c r="EJ93" s="366"/>
      <c r="EK93" s="366"/>
      <c r="EL93" s="366"/>
      <c r="EM93" s="366"/>
      <c r="EN93" s="367">
        <f>HDP!K4</f>
        <v>427209360.19888592</v>
      </c>
      <c r="EO93" s="58"/>
      <c r="EY93" s="9"/>
      <c r="EZ93" s="9"/>
    </row>
    <row r="94" spans="1:156" s="101" customFormat="1" x14ac:dyDescent="0.25">
      <c r="A94" s="208"/>
      <c r="B94" s="183"/>
      <c r="C94" s="183"/>
      <c r="D94" s="183"/>
      <c r="E94" s="183"/>
      <c r="F94" s="183" t="s">
        <v>1142</v>
      </c>
      <c r="G94" s="324"/>
      <c r="H94" s="324"/>
      <c r="I94" s="324"/>
      <c r="J94" s="287"/>
      <c r="K94" s="287"/>
      <c r="L94" s="287"/>
      <c r="M94" s="368"/>
      <c r="N94" s="368"/>
      <c r="O94" s="368"/>
      <c r="P94" s="368"/>
      <c r="Q94" s="368"/>
      <c r="R94" s="368"/>
      <c r="S94" s="368"/>
      <c r="T94" s="368"/>
      <c r="U94" s="368"/>
      <c r="V94" s="368"/>
      <c r="W94" s="368"/>
      <c r="X94" s="368"/>
      <c r="Y94" s="368"/>
      <c r="Z94" s="368"/>
      <c r="AA94" s="368"/>
      <c r="AB94" s="368"/>
      <c r="AC94" s="368"/>
      <c r="AD94" s="368"/>
      <c r="AE94" s="368"/>
      <c r="AF94" s="368"/>
      <c r="AG94" s="368"/>
      <c r="AH94" s="368"/>
      <c r="AI94" s="368"/>
      <c r="AJ94" s="368">
        <f>AJ$93-AJ92</f>
        <v>170124647.9458943</v>
      </c>
      <c r="AK94" s="368"/>
      <c r="AL94" s="368"/>
      <c r="AM94" s="368"/>
      <c r="AN94" s="368"/>
      <c r="AO94" s="368"/>
      <c r="AP94" s="368"/>
      <c r="AQ94" s="368"/>
      <c r="AR94" s="368"/>
      <c r="AS94" s="368"/>
      <c r="AT94" s="368"/>
      <c r="AU94" s="368"/>
      <c r="AV94" s="368">
        <f>AV$93-AV92</f>
        <v>-106421747.31135601</v>
      </c>
      <c r="AW94" s="368"/>
      <c r="AX94" s="368"/>
      <c r="AY94" s="368"/>
      <c r="AZ94" s="368"/>
      <c r="BA94" s="368"/>
      <c r="BB94" s="368"/>
      <c r="BC94" s="368"/>
      <c r="BD94" s="368"/>
      <c r="BE94" s="368"/>
      <c r="BF94" s="368"/>
      <c r="BG94" s="368"/>
      <c r="BH94" s="368">
        <f>BH$93-BH92</f>
        <v>-187426384.64045942</v>
      </c>
      <c r="BI94" s="368"/>
      <c r="BJ94" s="368"/>
      <c r="BK94" s="368"/>
      <c r="BL94" s="368"/>
      <c r="BM94" s="368"/>
      <c r="BN94" s="368"/>
      <c r="BO94" s="368"/>
      <c r="BP94" s="368"/>
      <c r="BQ94" s="368"/>
      <c r="BR94" s="368"/>
      <c r="BS94" s="368"/>
      <c r="BT94" s="368">
        <f>BT$93-BT92</f>
        <v>16640541.923593283</v>
      </c>
      <c r="BU94" s="368"/>
      <c r="BV94" s="368"/>
      <c r="BW94" s="368"/>
      <c r="BX94" s="368"/>
      <c r="BY94" s="368"/>
      <c r="BZ94" s="368"/>
      <c r="CA94" s="368"/>
      <c r="CB94" s="368"/>
      <c r="CC94" s="368"/>
      <c r="CD94" s="368"/>
      <c r="CE94" s="368"/>
      <c r="CF94" s="368">
        <f>CF$93-CF92</f>
        <v>-113236534.35083646</v>
      </c>
      <c r="CG94" s="368"/>
      <c r="CH94" s="368"/>
      <c r="CI94" s="368"/>
      <c r="CJ94" s="368"/>
      <c r="CK94" s="368"/>
      <c r="CL94" s="368"/>
      <c r="CM94" s="368"/>
      <c r="CN94" s="368"/>
      <c r="CO94" s="368"/>
      <c r="CP94" s="368"/>
      <c r="CQ94" s="368"/>
      <c r="CR94" s="368">
        <f>CR$93-CR92</f>
        <v>-124067676.36299431</v>
      </c>
      <c r="CS94" s="368"/>
      <c r="CT94" s="368"/>
      <c r="CU94" s="368"/>
      <c r="CV94" s="368"/>
      <c r="CW94" s="368"/>
      <c r="CX94" s="368"/>
      <c r="CY94" s="368"/>
      <c r="CZ94" s="368"/>
      <c r="DA94" s="368"/>
      <c r="DB94" s="368"/>
      <c r="DC94" s="368"/>
      <c r="DD94" s="368">
        <f>DD$93-DD92</f>
        <v>-40613674.581668854</v>
      </c>
      <c r="DE94" s="368"/>
      <c r="DF94" s="368"/>
      <c r="DG94" s="368"/>
      <c r="DH94" s="368"/>
      <c r="DI94" s="368"/>
      <c r="DJ94" s="368"/>
      <c r="DK94" s="368"/>
      <c r="DL94" s="368"/>
      <c r="DM94" s="368"/>
      <c r="DN94" s="368"/>
      <c r="DO94" s="368"/>
      <c r="DP94" s="368">
        <f>DP$93-DP92</f>
        <v>-81199839.565719247</v>
      </c>
      <c r="DQ94" s="368"/>
      <c r="DR94" s="368"/>
      <c r="DS94" s="368"/>
      <c r="DT94" s="368"/>
      <c r="DU94" s="368"/>
      <c r="DV94" s="368"/>
      <c r="DW94" s="368"/>
      <c r="DX94" s="368"/>
      <c r="DY94" s="368"/>
      <c r="DZ94" s="368"/>
      <c r="EA94" s="368"/>
      <c r="EB94" s="368">
        <f>EB$93-EB92</f>
        <v>-24203610.30925411</v>
      </c>
      <c r="EC94" s="368"/>
      <c r="ED94" s="368"/>
      <c r="EE94" s="368"/>
      <c r="EF94" s="368"/>
      <c r="EG94" s="368"/>
      <c r="EH94" s="368"/>
      <c r="EI94" s="368"/>
      <c r="EJ94" s="368"/>
      <c r="EK94" s="368"/>
      <c r="EL94" s="368"/>
      <c r="EM94" s="368"/>
      <c r="EN94" s="369">
        <f>EN$93-EN92</f>
        <v>-28596977.431601167</v>
      </c>
      <c r="EO94" s="374"/>
      <c r="EY94" s="9"/>
      <c r="EZ94" s="9"/>
    </row>
    <row r="95" spans="1:156" s="101" customFormat="1" x14ac:dyDescent="0.25">
      <c r="A95" s="208"/>
      <c r="B95" s="183"/>
      <c r="C95" s="183"/>
      <c r="D95" s="183"/>
      <c r="E95" s="183"/>
      <c r="F95" s="183" t="s">
        <v>1309</v>
      </c>
      <c r="G95" s="324"/>
      <c r="H95" s="324"/>
      <c r="I95" s="324"/>
      <c r="J95" s="287"/>
      <c r="K95" s="287"/>
      <c r="L95" s="287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8"/>
      <c r="X95" s="368">
        <f>N92+O92+P92+R92+S92+U92+V92</f>
        <v>203998427.43000004</v>
      </c>
      <c r="Y95" s="368"/>
      <c r="Z95" s="368"/>
      <c r="AA95" s="368"/>
      <c r="AB95" s="368"/>
      <c r="AC95" s="368"/>
      <c r="AD95" s="368"/>
      <c r="AE95" s="368"/>
      <c r="AF95" s="368"/>
      <c r="AG95" s="368"/>
      <c r="AH95" s="368"/>
      <c r="AI95" s="368"/>
      <c r="AJ95" s="368">
        <f>Y92+Z92+AA92+AC92+AD92+AF92+AG92</f>
        <v>57473669.270000003</v>
      </c>
      <c r="AK95" s="368"/>
      <c r="AL95" s="368"/>
      <c r="AM95" s="368"/>
      <c r="AN95" s="368"/>
      <c r="AO95" s="368"/>
      <c r="AP95" s="368"/>
      <c r="AQ95" s="368"/>
      <c r="AR95" s="368"/>
      <c r="AS95" s="368"/>
      <c r="AT95" s="368"/>
      <c r="AU95" s="368"/>
      <c r="AV95" s="368">
        <f>AK92+AL92+AM92+AO92+AP92+AR92+AS92</f>
        <v>206166966.00853518</v>
      </c>
      <c r="AW95" s="368"/>
      <c r="AX95" s="368"/>
      <c r="AY95" s="368"/>
      <c r="AZ95" s="368"/>
      <c r="BA95" s="368"/>
      <c r="BB95" s="368"/>
      <c r="BC95" s="368"/>
      <c r="BD95" s="368"/>
      <c r="BE95" s="368"/>
      <c r="BF95" s="368"/>
      <c r="BG95" s="368"/>
      <c r="BH95" s="368">
        <f>AW92+AX92+AY92+BA92+BB92+BD92+BE92</f>
        <v>163061037.82534367</v>
      </c>
      <c r="BI95" s="368"/>
      <c r="BJ95" s="368"/>
      <c r="BK95" s="368"/>
      <c r="BL95" s="368"/>
      <c r="BM95" s="368"/>
      <c r="BN95" s="368"/>
      <c r="BO95" s="368"/>
      <c r="BP95" s="368"/>
      <c r="BQ95" s="368"/>
      <c r="BR95" s="368"/>
      <c r="BS95" s="368"/>
      <c r="BT95" s="368">
        <f>BI92+BJ92+BK92+BM92+BN92+BP92+BQ92</f>
        <v>101747977.1910488</v>
      </c>
      <c r="BU95" s="368"/>
      <c r="BV95" s="368"/>
      <c r="BW95" s="368"/>
      <c r="BX95" s="368"/>
      <c r="BY95" s="368"/>
      <c r="BZ95" s="368"/>
      <c r="CA95" s="368"/>
      <c r="CB95" s="368"/>
      <c r="CC95" s="368"/>
      <c r="CD95" s="368"/>
      <c r="CE95" s="368"/>
      <c r="CF95" s="368">
        <f>BU92+BV92+BW92+BY92+BZ92+CB92+CC92</f>
        <v>98372418.340977371</v>
      </c>
      <c r="CG95" s="368"/>
      <c r="CH95" s="368"/>
      <c r="CI95" s="368"/>
      <c r="CJ95" s="368"/>
      <c r="CK95" s="368"/>
      <c r="CL95" s="368"/>
      <c r="CM95" s="368"/>
      <c r="CN95" s="368"/>
      <c r="CO95" s="368"/>
      <c r="CP95" s="368"/>
      <c r="CQ95" s="368"/>
      <c r="CR95" s="368">
        <f>CG92+CH92+CI92+CK92+CL92+CN92+CO92</f>
        <v>97280283.160977364</v>
      </c>
      <c r="CS95" s="368"/>
      <c r="CT95" s="368"/>
      <c r="CU95" s="368"/>
      <c r="CV95" s="368"/>
      <c r="CW95" s="368"/>
      <c r="CX95" s="368"/>
      <c r="CY95" s="368"/>
      <c r="CZ95" s="368"/>
      <c r="DA95" s="368"/>
      <c r="DB95" s="368"/>
      <c r="DC95" s="368"/>
      <c r="DD95" s="368">
        <f>CS92+CT92+CU92+CW92+CX92+CZ92+DA92</f>
        <v>281366814.97641969</v>
      </c>
      <c r="DE95" s="368"/>
      <c r="DF95" s="368"/>
      <c r="DG95" s="368"/>
      <c r="DH95" s="368"/>
      <c r="DI95" s="368"/>
      <c r="DJ95" s="368"/>
      <c r="DK95" s="368"/>
      <c r="DL95" s="368"/>
      <c r="DM95" s="368"/>
      <c r="DN95" s="368"/>
      <c r="DO95" s="368"/>
      <c r="DP95" s="368">
        <f>DE92+DF92+DG92+DI92+DJ92+DL92+DM92</f>
        <v>410302833.09478611</v>
      </c>
      <c r="DQ95" s="368"/>
      <c r="DR95" s="368"/>
      <c r="DS95" s="368"/>
      <c r="DT95" s="368"/>
      <c r="DU95" s="368"/>
      <c r="DV95" s="368"/>
      <c r="DW95" s="368"/>
      <c r="DX95" s="368"/>
      <c r="DY95" s="368"/>
      <c r="DZ95" s="368"/>
      <c r="EA95" s="368"/>
      <c r="EB95" s="368">
        <f>DQ92+DR92+DS92+DU92+DV92+DX92+DY92</f>
        <v>444271811.09478605</v>
      </c>
      <c r="EC95" s="368"/>
      <c r="ED95" s="368"/>
      <c r="EE95" s="368"/>
      <c r="EF95" s="368"/>
      <c r="EG95" s="368"/>
      <c r="EH95" s="368"/>
      <c r="EI95" s="368"/>
      <c r="EJ95" s="368"/>
      <c r="EK95" s="368"/>
      <c r="EL95" s="368"/>
      <c r="EM95" s="368"/>
      <c r="EN95" s="369">
        <f>EC92+ED92+EE92+EG92+EH92+EJ92+EK92</f>
        <v>455806337.63048708</v>
      </c>
      <c r="EO95" s="374"/>
      <c r="EY95" s="9"/>
      <c r="EZ95" s="9"/>
    </row>
    <row r="96" spans="1:156" s="101" customFormat="1" x14ac:dyDescent="0.25">
      <c r="A96" s="208"/>
      <c r="B96" s="183"/>
      <c r="C96" s="183"/>
      <c r="D96" s="183"/>
      <c r="E96" s="183"/>
      <c r="F96" s="183" t="s">
        <v>1277</v>
      </c>
      <c r="G96" s="324"/>
      <c r="H96" s="324"/>
      <c r="I96" s="324"/>
      <c r="J96" s="287"/>
      <c r="K96" s="287"/>
      <c r="L96" s="287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8"/>
      <c r="X96" s="368">
        <f>Q92+T92</f>
        <v>270631149.88999999</v>
      </c>
      <c r="Y96" s="368"/>
      <c r="Z96" s="368"/>
      <c r="AA96" s="368"/>
      <c r="AB96" s="368"/>
      <c r="AC96" s="368"/>
      <c r="AD96" s="368"/>
      <c r="AE96" s="368"/>
      <c r="AF96" s="368"/>
      <c r="AG96" s="368"/>
      <c r="AH96" s="368"/>
      <c r="AI96" s="368"/>
      <c r="AJ96" s="368">
        <f>AB92+AE92+AH92</f>
        <v>111656761.72999999</v>
      </c>
      <c r="AK96" s="368"/>
      <c r="AL96" s="368"/>
      <c r="AM96" s="368"/>
      <c r="AN96" s="368"/>
      <c r="AO96" s="368"/>
      <c r="AP96" s="368"/>
      <c r="AQ96" s="368"/>
      <c r="AR96" s="368"/>
      <c r="AS96" s="368"/>
      <c r="AT96" s="368"/>
      <c r="AU96" s="368"/>
      <c r="AV96" s="368">
        <f>AN92+AQ92+AT92</f>
        <v>264762354.67808381</v>
      </c>
      <c r="AW96" s="368"/>
      <c r="AX96" s="368"/>
      <c r="AY96" s="368"/>
      <c r="AZ96" s="368"/>
      <c r="BA96" s="368"/>
      <c r="BB96" s="368"/>
      <c r="BC96" s="368"/>
      <c r="BD96" s="368"/>
      <c r="BE96" s="368"/>
      <c r="BF96" s="368"/>
      <c r="BG96" s="368"/>
      <c r="BH96" s="368">
        <f>AZ92+BC92+BF92</f>
        <v>408963633.14554471</v>
      </c>
      <c r="BI96" s="368"/>
      <c r="BJ96" s="368"/>
      <c r="BK96" s="368"/>
      <c r="BL96" s="368"/>
      <c r="BM96" s="368"/>
      <c r="BN96" s="368"/>
      <c r="BO96" s="368"/>
      <c r="BP96" s="368"/>
      <c r="BQ96" s="368"/>
      <c r="BR96" s="368"/>
      <c r="BS96" s="368"/>
      <c r="BT96" s="368">
        <f>BL92+BO92+BR92</f>
        <v>262718939.53707144</v>
      </c>
      <c r="BU96" s="368"/>
      <c r="BV96" s="368"/>
      <c r="BW96" s="368"/>
      <c r="BX96" s="368"/>
      <c r="BY96" s="368"/>
      <c r="BZ96" s="368"/>
      <c r="CA96" s="368"/>
      <c r="CB96" s="368"/>
      <c r="CC96" s="368"/>
      <c r="CD96" s="368"/>
      <c r="CE96" s="368"/>
      <c r="CF96" s="368">
        <f>BX92+CA92+CD92</f>
        <v>395858854</v>
      </c>
      <c r="CG96" s="368"/>
      <c r="CH96" s="368"/>
      <c r="CI96" s="368"/>
      <c r="CJ96" s="368"/>
      <c r="CK96" s="368"/>
      <c r="CL96" s="368"/>
      <c r="CM96" s="368"/>
      <c r="CN96" s="368"/>
      <c r="CO96" s="368"/>
      <c r="CP96" s="368"/>
      <c r="CQ96" s="368"/>
      <c r="CR96" s="368">
        <f>CJ92+CM92+CP92</f>
        <v>410569743</v>
      </c>
      <c r="CS96" s="368"/>
      <c r="CT96" s="368"/>
      <c r="CU96" s="368"/>
      <c r="CV96" s="368"/>
      <c r="CW96" s="368"/>
      <c r="CX96" s="368"/>
      <c r="CY96" s="368"/>
      <c r="CZ96" s="368"/>
      <c r="DA96" s="368"/>
      <c r="DB96" s="368"/>
      <c r="DC96" s="368"/>
      <c r="DD96" s="368">
        <f>CV92+CY92+DB92</f>
        <v>155638743</v>
      </c>
      <c r="DE96" s="368"/>
      <c r="DF96" s="368"/>
      <c r="DG96" s="368"/>
      <c r="DH96" s="368"/>
      <c r="DI96" s="368"/>
      <c r="DJ96" s="368"/>
      <c r="DK96" s="368"/>
      <c r="DL96" s="368"/>
      <c r="DM96" s="368"/>
      <c r="DN96" s="368"/>
      <c r="DO96" s="368"/>
      <c r="DP96" s="368">
        <f>DH92+DK92+DN92</f>
        <v>81849960</v>
      </c>
      <c r="DQ96" s="368"/>
      <c r="DR96" s="368"/>
      <c r="DS96" s="368"/>
      <c r="DT96" s="368"/>
      <c r="DU96" s="368"/>
      <c r="DV96" s="368"/>
      <c r="DW96" s="368"/>
      <c r="DX96" s="368"/>
      <c r="DY96" s="368"/>
      <c r="DZ96" s="368"/>
      <c r="EA96" s="368"/>
      <c r="EB96" s="368">
        <f>DT92+DW92+DZ92</f>
        <v>0</v>
      </c>
      <c r="EC96" s="368"/>
      <c r="ED96" s="368"/>
      <c r="EE96" s="368"/>
      <c r="EF96" s="368"/>
      <c r="EG96" s="368"/>
      <c r="EH96" s="368"/>
      <c r="EI96" s="368"/>
      <c r="EJ96" s="368"/>
      <c r="EK96" s="368"/>
      <c r="EL96" s="368"/>
      <c r="EM96" s="368"/>
      <c r="EN96" s="369">
        <f>EF92+EI92+EL92</f>
        <v>0</v>
      </c>
      <c r="EO96" s="374"/>
      <c r="EY96" s="9"/>
      <c r="EZ96" s="9"/>
    </row>
    <row r="97" spans="1:156" s="101" customFormat="1" ht="15.75" thickBot="1" x14ac:dyDescent="0.3">
      <c r="A97" s="225"/>
      <c r="B97" s="226"/>
      <c r="C97" s="226"/>
      <c r="D97" s="226"/>
      <c r="E97" s="226"/>
      <c r="F97" s="226" t="s">
        <v>1307</v>
      </c>
      <c r="G97" s="226"/>
      <c r="H97" s="226"/>
      <c r="I97" s="226"/>
      <c r="J97" s="200"/>
      <c r="K97" s="200"/>
      <c r="L97" s="20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>
        <f>W92</f>
        <v>37439996.615000002</v>
      </c>
      <c r="Y97" s="370"/>
      <c r="Z97" s="370"/>
      <c r="AA97" s="370"/>
      <c r="AB97" s="370"/>
      <c r="AC97" s="370"/>
      <c r="AD97" s="370"/>
      <c r="AE97" s="370"/>
      <c r="AF97" s="370"/>
      <c r="AG97" s="370"/>
      <c r="AH97" s="370"/>
      <c r="AI97" s="370"/>
      <c r="AJ97" s="370">
        <f>AI92</f>
        <v>12866934.830000002</v>
      </c>
      <c r="AK97" s="370"/>
      <c r="AL97" s="370"/>
      <c r="AM97" s="370"/>
      <c r="AN97" s="370"/>
      <c r="AO97" s="370"/>
      <c r="AP97" s="370"/>
      <c r="AQ97" s="370"/>
      <c r="AR97" s="370"/>
      <c r="AS97" s="370"/>
      <c r="AT97" s="370"/>
      <c r="AU97" s="370"/>
      <c r="AV97" s="370">
        <f>AU92</f>
        <v>2423550.7400000002</v>
      </c>
      <c r="AW97" s="370"/>
      <c r="AX97" s="370"/>
      <c r="AY97" s="370"/>
      <c r="AZ97" s="370"/>
      <c r="BA97" s="370"/>
      <c r="BB97" s="370"/>
      <c r="BC97" s="370"/>
      <c r="BD97" s="370"/>
      <c r="BE97" s="370"/>
      <c r="BF97" s="370"/>
      <c r="BG97" s="370"/>
      <c r="BH97" s="370">
        <f>BG92</f>
        <v>670000</v>
      </c>
      <c r="BI97" s="370"/>
      <c r="BJ97" s="370"/>
      <c r="BK97" s="370"/>
      <c r="BL97" s="370"/>
      <c r="BM97" s="370"/>
      <c r="BN97" s="370"/>
      <c r="BO97" s="370"/>
      <c r="BP97" s="370"/>
      <c r="BQ97" s="370"/>
      <c r="BR97" s="370"/>
      <c r="BS97" s="370"/>
      <c r="BT97" s="370">
        <f>BS92</f>
        <v>6910000</v>
      </c>
      <c r="BU97" s="370"/>
      <c r="BV97" s="370"/>
      <c r="BW97" s="370"/>
      <c r="BX97" s="370"/>
      <c r="BY97" s="370"/>
      <c r="BZ97" s="370"/>
      <c r="CA97" s="370"/>
      <c r="CB97" s="370"/>
      <c r="CC97" s="370"/>
      <c r="CD97" s="370"/>
      <c r="CE97" s="370"/>
      <c r="CF97" s="370">
        <f>CE92</f>
        <v>13231000</v>
      </c>
      <c r="CG97" s="370"/>
      <c r="CH97" s="370"/>
      <c r="CI97" s="370"/>
      <c r="CJ97" s="370"/>
      <c r="CK97" s="370"/>
      <c r="CL97" s="370"/>
      <c r="CM97" s="370"/>
      <c r="CN97" s="370"/>
      <c r="CO97" s="370"/>
      <c r="CP97" s="370"/>
      <c r="CQ97" s="370"/>
      <c r="CR97" s="370">
        <f>CQ92</f>
        <v>16751000</v>
      </c>
      <c r="CS97" s="370"/>
      <c r="CT97" s="370"/>
      <c r="CU97" s="370"/>
      <c r="CV97" s="370"/>
      <c r="CW97" s="370"/>
      <c r="CX97" s="370"/>
      <c r="CY97" s="370"/>
      <c r="CZ97" s="370"/>
      <c r="DA97" s="370"/>
      <c r="DB97" s="370"/>
      <c r="DC97" s="370"/>
      <c r="DD97" s="370">
        <f>DC92</f>
        <v>10550000</v>
      </c>
      <c r="DE97" s="370"/>
      <c r="DF97" s="370"/>
      <c r="DG97" s="370"/>
      <c r="DH97" s="370"/>
      <c r="DI97" s="370"/>
      <c r="DJ97" s="370"/>
      <c r="DK97" s="370"/>
      <c r="DL97" s="370"/>
      <c r="DM97" s="370"/>
      <c r="DN97" s="370"/>
      <c r="DO97" s="370"/>
      <c r="DP97" s="370">
        <f>DO92</f>
        <v>2500000</v>
      </c>
      <c r="DQ97" s="370"/>
      <c r="DR97" s="370"/>
      <c r="DS97" s="370"/>
      <c r="DT97" s="370"/>
      <c r="DU97" s="370"/>
      <c r="DV97" s="370"/>
      <c r="DW97" s="370"/>
      <c r="DX97" s="370"/>
      <c r="DY97" s="370"/>
      <c r="DZ97" s="370"/>
      <c r="EA97" s="370"/>
      <c r="EB97" s="370">
        <f>EA92</f>
        <v>0</v>
      </c>
      <c r="EC97" s="370"/>
      <c r="ED97" s="370"/>
      <c r="EE97" s="370"/>
      <c r="EF97" s="370"/>
      <c r="EG97" s="370"/>
      <c r="EH97" s="370"/>
      <c r="EI97" s="370"/>
      <c r="EJ97" s="370"/>
      <c r="EK97" s="370"/>
      <c r="EL97" s="370"/>
      <c r="EM97" s="370"/>
      <c r="EN97" s="371">
        <f>EM92</f>
        <v>0</v>
      </c>
      <c r="EO97" s="374"/>
      <c r="EY97" s="9"/>
      <c r="EZ97" s="9"/>
    </row>
    <row r="98" spans="1:156" x14ac:dyDescent="0.25">
      <c r="A98" s="173"/>
      <c r="F98" s="118"/>
      <c r="G98" s="118"/>
      <c r="H98" s="118"/>
      <c r="I98" s="118"/>
    </row>
    <row r="99" spans="1:156" x14ac:dyDescent="0.25">
      <c r="A99" s="173"/>
      <c r="F99" s="118"/>
      <c r="G99" s="118"/>
      <c r="H99" s="118"/>
      <c r="I99" s="118"/>
    </row>
    <row r="100" spans="1:156" x14ac:dyDescent="0.25">
      <c r="A100" s="173"/>
      <c r="F100" s="118"/>
      <c r="G100" s="118"/>
      <c r="H100" s="118"/>
      <c r="I100" s="118"/>
    </row>
    <row r="101" spans="1:156" x14ac:dyDescent="0.25">
      <c r="A101" s="173"/>
      <c r="F101" s="118"/>
      <c r="G101" s="118"/>
      <c r="H101" s="118"/>
      <c r="I101" s="118"/>
    </row>
    <row r="102" spans="1:156" x14ac:dyDescent="0.25">
      <c r="A102" s="173"/>
      <c r="F102" s="118"/>
      <c r="G102" s="118"/>
      <c r="H102" s="118"/>
      <c r="I102" s="118"/>
    </row>
    <row r="103" spans="1:156" x14ac:dyDescent="0.25">
      <c r="A103" s="173"/>
      <c r="F103" s="118"/>
      <c r="G103" s="118"/>
      <c r="H103" s="118"/>
      <c r="I103" s="118"/>
    </row>
    <row r="104" spans="1:156" x14ac:dyDescent="0.25">
      <c r="A104" s="173"/>
      <c r="F104" s="118"/>
      <c r="G104" s="118"/>
      <c r="H104" s="118"/>
      <c r="I104" s="118"/>
    </row>
    <row r="105" spans="1:156" x14ac:dyDescent="0.25">
      <c r="A105" s="173"/>
      <c r="F105" s="118"/>
      <c r="G105" s="118"/>
      <c r="H105" s="118"/>
      <c r="I105" s="118"/>
    </row>
    <row r="106" spans="1:156" x14ac:dyDescent="0.25">
      <c r="A106" s="173"/>
      <c r="F106" s="118"/>
      <c r="G106" s="118"/>
      <c r="H106" s="118"/>
      <c r="I106" s="118"/>
    </row>
    <row r="107" spans="1:156" x14ac:dyDescent="0.25">
      <c r="A107" s="173"/>
      <c r="F107" s="118"/>
      <c r="G107" s="118"/>
      <c r="H107" s="118"/>
      <c r="I107" s="118"/>
    </row>
    <row r="108" spans="1:156" x14ac:dyDescent="0.25">
      <c r="A108" s="173"/>
      <c r="F108" s="118"/>
      <c r="G108" s="118"/>
      <c r="H108" s="118"/>
      <c r="I108" s="118"/>
    </row>
    <row r="109" spans="1:156" x14ac:dyDescent="0.25">
      <c r="A109" s="173"/>
      <c r="F109" s="118"/>
      <c r="G109" s="118"/>
      <c r="H109" s="118"/>
      <c r="I109" s="118"/>
    </row>
    <row r="110" spans="1:156" x14ac:dyDescent="0.25">
      <c r="A110" s="173"/>
      <c r="F110" s="118"/>
      <c r="G110" s="118"/>
      <c r="H110" s="118"/>
      <c r="I110" s="118"/>
    </row>
    <row r="111" spans="1:156" x14ac:dyDescent="0.25">
      <c r="A111" s="173"/>
      <c r="F111" s="118"/>
      <c r="G111" s="118"/>
      <c r="H111" s="118"/>
      <c r="I111" s="118"/>
    </row>
    <row r="112" spans="1:156" x14ac:dyDescent="0.25">
      <c r="A112" s="173"/>
      <c r="F112" s="118"/>
      <c r="G112" s="118"/>
      <c r="H112" s="118"/>
      <c r="I112" s="118"/>
    </row>
    <row r="113" spans="1:9" x14ac:dyDescent="0.25">
      <c r="A113" s="173"/>
      <c r="F113" s="118"/>
      <c r="G113" s="118"/>
      <c r="H113" s="118"/>
      <c r="I113" s="118"/>
    </row>
    <row r="114" spans="1:9" x14ac:dyDescent="0.25">
      <c r="A114" s="173"/>
      <c r="F114" s="118"/>
      <c r="G114" s="118"/>
      <c r="H114" s="118"/>
      <c r="I114" s="118"/>
    </row>
    <row r="115" spans="1:9" x14ac:dyDescent="0.25">
      <c r="A115" s="173"/>
      <c r="F115" s="118"/>
      <c r="G115" s="118"/>
      <c r="H115" s="118"/>
      <c r="I115" s="118"/>
    </row>
    <row r="116" spans="1:9" x14ac:dyDescent="0.25">
      <c r="A116" s="173"/>
      <c r="F116" s="118"/>
      <c r="G116" s="118"/>
      <c r="H116" s="118"/>
      <c r="I116" s="118"/>
    </row>
    <row r="117" spans="1:9" x14ac:dyDescent="0.25">
      <c r="A117" s="173"/>
      <c r="F117" s="118"/>
      <c r="G117" s="118"/>
      <c r="H117" s="118"/>
      <c r="I117" s="118"/>
    </row>
    <row r="118" spans="1:9" x14ac:dyDescent="0.25">
      <c r="A118" s="173"/>
      <c r="F118" s="118"/>
      <c r="G118" s="118"/>
      <c r="H118" s="118"/>
      <c r="I118" s="118"/>
    </row>
    <row r="119" spans="1:9" x14ac:dyDescent="0.25">
      <c r="A119" s="173"/>
      <c r="F119" s="118"/>
      <c r="G119" s="118"/>
      <c r="H119" s="118"/>
      <c r="I119" s="118"/>
    </row>
    <row r="120" spans="1:9" x14ac:dyDescent="0.25">
      <c r="A120" s="173"/>
      <c r="F120" s="118"/>
      <c r="G120" s="118"/>
      <c r="H120" s="118"/>
      <c r="I120" s="118"/>
    </row>
    <row r="121" spans="1:9" x14ac:dyDescent="0.25">
      <c r="A121" s="173"/>
      <c r="F121" s="118"/>
      <c r="G121" s="118"/>
      <c r="H121" s="118"/>
      <c r="I121" s="118"/>
    </row>
    <row r="122" spans="1:9" x14ac:dyDescent="0.25">
      <c r="A122" s="173"/>
      <c r="F122" s="118"/>
      <c r="G122" s="118"/>
      <c r="H122" s="118"/>
      <c r="I122" s="118"/>
    </row>
    <row r="123" spans="1:9" x14ac:dyDescent="0.25">
      <c r="A123" s="173"/>
      <c r="F123" s="118"/>
      <c r="G123" s="118"/>
      <c r="H123" s="118"/>
      <c r="I123" s="118"/>
    </row>
    <row r="124" spans="1:9" x14ac:dyDescent="0.25">
      <c r="A124" s="173"/>
      <c r="F124" s="118"/>
      <c r="G124" s="118"/>
      <c r="H124" s="118"/>
      <c r="I124" s="118"/>
    </row>
    <row r="125" spans="1:9" x14ac:dyDescent="0.25">
      <c r="A125" s="173"/>
      <c r="F125" s="118"/>
      <c r="G125" s="118"/>
      <c r="H125" s="118"/>
      <c r="I125" s="118"/>
    </row>
    <row r="126" spans="1:9" x14ac:dyDescent="0.25">
      <c r="A126" s="173"/>
      <c r="F126" s="118"/>
      <c r="G126" s="118"/>
      <c r="H126" s="118"/>
      <c r="I126" s="118"/>
    </row>
    <row r="127" spans="1:9" x14ac:dyDescent="0.25">
      <c r="A127" s="173"/>
      <c r="F127" s="118"/>
      <c r="G127" s="118"/>
      <c r="H127" s="118"/>
      <c r="I127" s="118"/>
    </row>
    <row r="128" spans="1:9" x14ac:dyDescent="0.25">
      <c r="A128" s="173"/>
      <c r="F128" s="118"/>
      <c r="G128" s="118"/>
      <c r="H128" s="118"/>
      <c r="I128" s="118"/>
    </row>
    <row r="129" spans="1:9" x14ac:dyDescent="0.25">
      <c r="A129" s="173"/>
      <c r="F129" s="118"/>
      <c r="G129" s="118"/>
      <c r="H129" s="118"/>
      <c r="I129" s="118"/>
    </row>
    <row r="130" spans="1:9" x14ac:dyDescent="0.25">
      <c r="A130" s="173"/>
      <c r="F130" s="118"/>
      <c r="G130" s="118"/>
      <c r="H130" s="118"/>
      <c r="I130" s="118"/>
    </row>
    <row r="131" spans="1:9" x14ac:dyDescent="0.25">
      <c r="A131" s="173"/>
      <c r="F131" s="118"/>
      <c r="G131" s="118"/>
      <c r="H131" s="118"/>
      <c r="I131" s="118"/>
    </row>
    <row r="132" spans="1:9" x14ac:dyDescent="0.25">
      <c r="A132" s="173"/>
      <c r="F132" s="118"/>
      <c r="G132" s="118"/>
      <c r="H132" s="118"/>
      <c r="I132" s="118"/>
    </row>
    <row r="133" spans="1:9" x14ac:dyDescent="0.25">
      <c r="A133" s="173"/>
      <c r="F133" s="118"/>
      <c r="G133" s="118"/>
      <c r="H133" s="118"/>
      <c r="I133" s="118"/>
    </row>
    <row r="134" spans="1:9" x14ac:dyDescent="0.25">
      <c r="A134" s="173"/>
      <c r="F134" s="118"/>
      <c r="G134" s="118"/>
      <c r="H134" s="118"/>
      <c r="I134" s="118"/>
    </row>
    <row r="135" spans="1:9" x14ac:dyDescent="0.25">
      <c r="A135" s="173"/>
      <c r="F135" s="118"/>
      <c r="G135" s="118"/>
      <c r="H135" s="118"/>
      <c r="I135" s="118"/>
    </row>
    <row r="136" spans="1:9" x14ac:dyDescent="0.25">
      <c r="A136" s="173"/>
      <c r="F136" s="118"/>
      <c r="G136" s="118"/>
      <c r="H136" s="118"/>
      <c r="I136" s="118"/>
    </row>
    <row r="137" spans="1:9" x14ac:dyDescent="0.25">
      <c r="A137" s="173"/>
      <c r="F137" s="118"/>
      <c r="G137" s="118"/>
      <c r="H137" s="118"/>
      <c r="I137" s="118"/>
    </row>
    <row r="138" spans="1:9" x14ac:dyDescent="0.25">
      <c r="A138" s="173"/>
      <c r="F138" s="118"/>
      <c r="G138" s="118"/>
      <c r="H138" s="118"/>
      <c r="I138" s="118"/>
    </row>
    <row r="139" spans="1:9" x14ac:dyDescent="0.25">
      <c r="A139" s="173"/>
      <c r="F139" s="118"/>
      <c r="G139" s="118"/>
      <c r="H139" s="118"/>
      <c r="I139" s="118"/>
    </row>
    <row r="152" spans="13:84" x14ac:dyDescent="0.25"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150"/>
      <c r="BV152" s="150"/>
      <c r="BW152" s="150"/>
      <c r="BX152" s="150"/>
      <c r="BY152" s="150"/>
      <c r="BZ152" s="150"/>
      <c r="CA152" s="150"/>
      <c r="CB152" s="150"/>
      <c r="CC152" s="150"/>
      <c r="CD152" s="150"/>
      <c r="CE152" s="150"/>
      <c r="CF152" s="150"/>
    </row>
  </sheetData>
  <sheetProtection algorithmName="SHA-512" hashValue="D+md06q5AFWDAt/muFFGJ7dWeThBJZlvrMbcqvcUEQvDtnZVfuhoc1ytFYezVmIM1OP0qNLmvU0T0C4jrtew3A==" saltValue="P8d719ecuzcD2qase8M7NA==" spinCount="100000" sheet="1" objects="1" scenarios="1"/>
  <autoFilter ref="A2:EN94"/>
  <mergeCells count="21">
    <mergeCell ref="DQ1:EA1"/>
    <mergeCell ref="EC1:EM1"/>
    <mergeCell ref="CG1:CQ1"/>
    <mergeCell ref="CS1:DC1"/>
    <mergeCell ref="DE1:DO1"/>
    <mergeCell ref="Y1:AI1"/>
    <mergeCell ref="AK1:AU1"/>
    <mergeCell ref="AW1:BG1"/>
    <mergeCell ref="BI1:BS1"/>
    <mergeCell ref="BU1:CE1"/>
    <mergeCell ref="N59:W59"/>
    <mergeCell ref="Y59:AI59"/>
    <mergeCell ref="AK59:AU59"/>
    <mergeCell ref="AW59:BG59"/>
    <mergeCell ref="BI59:BS59"/>
    <mergeCell ref="EC59:EM59"/>
    <mergeCell ref="BU59:CE59"/>
    <mergeCell ref="CG59:CQ59"/>
    <mergeCell ref="CS59:DC59"/>
    <mergeCell ref="DE59:DO59"/>
    <mergeCell ref="DQ59:EA59"/>
  </mergeCells>
  <pageMargins left="0.23622047244094491" right="0.23622047244094491" top="0.74803149606299213" bottom="0.74803149606299213" header="0.31496062992125984" footer="0.31496062992125984"/>
  <pageSetup paperSize="8" scale="33" fitToWidth="4" fitToHeight="0" orientation="landscape" r:id="rId1"/>
  <headerFooter>
    <oddFooter>&amp;LPríloha č. 1_Harmonogram&amp;R&amp;P l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19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defaultColWidth="9.140625" defaultRowHeight="15" x14ac:dyDescent="0.25"/>
  <cols>
    <col min="1" max="1" width="9.140625" style="14" customWidth="1"/>
    <col min="2" max="5" width="9.140625" style="108"/>
    <col min="6" max="6" width="32.28515625" style="108" customWidth="1"/>
    <col min="7" max="9" width="9.140625" style="108"/>
    <col min="10" max="10" width="18.7109375" style="14" bestFit="1" customWidth="1"/>
    <col min="11" max="11" width="10.85546875" style="14" bestFit="1" customWidth="1"/>
    <col min="12" max="19" width="9.140625" style="14" customWidth="1"/>
    <col min="20" max="20" width="12.85546875" style="14" customWidth="1"/>
    <col min="21" max="21" width="12.42578125" style="14" customWidth="1"/>
    <col min="22" max="22" width="12.42578125" style="14" bestFit="1" customWidth="1"/>
    <col min="23" max="31" width="9.140625" style="14" customWidth="1"/>
    <col min="32" max="33" width="12.42578125" style="14" bestFit="1" customWidth="1"/>
    <col min="34" max="34" width="11" style="14" customWidth="1"/>
    <col min="35" max="36" width="9.140625" style="14" customWidth="1"/>
    <col min="37" max="37" width="10.42578125" style="14" bestFit="1" customWidth="1"/>
    <col min="38" max="43" width="9.140625" style="14" customWidth="1"/>
    <col min="44" max="44" width="12.5703125" style="14" customWidth="1"/>
    <col min="45" max="45" width="12.42578125" style="14" bestFit="1" customWidth="1"/>
    <col min="46" max="48" width="9.140625" style="14" customWidth="1"/>
    <col min="49" max="50" width="10.42578125" style="14" bestFit="1" customWidth="1"/>
    <col min="51" max="55" width="9.140625" style="14" customWidth="1"/>
    <col min="56" max="56" width="11.42578125" style="14" bestFit="1" customWidth="1"/>
    <col min="57" max="57" width="11.7109375" style="14" customWidth="1"/>
    <col min="58" max="67" width="9.140625" style="14" customWidth="1"/>
    <col min="68" max="68" width="11.42578125" style="14" bestFit="1" customWidth="1"/>
    <col min="69" max="69" width="13.28515625" style="14" customWidth="1"/>
    <col min="70" max="79" width="9.140625" style="14" customWidth="1"/>
    <col min="80" max="80" width="11.85546875" style="14" customWidth="1"/>
    <col min="81" max="81" width="12.5703125" style="14" customWidth="1"/>
    <col min="82" max="91" width="9.140625" style="14" customWidth="1"/>
    <col min="92" max="92" width="12.42578125" style="14" bestFit="1" customWidth="1"/>
    <col min="93" max="93" width="12.5703125" style="14" customWidth="1"/>
    <col min="94" max="16384" width="9.140625" style="14"/>
  </cols>
  <sheetData>
    <row r="1" spans="1:141" x14ac:dyDescent="0.25">
      <c r="A1" s="87"/>
      <c r="B1" s="112"/>
      <c r="C1" s="112"/>
      <c r="D1" s="112"/>
      <c r="E1" s="112"/>
      <c r="F1" s="113"/>
      <c r="G1" s="107"/>
      <c r="H1" s="114"/>
      <c r="I1" s="115"/>
      <c r="J1" s="86"/>
      <c r="K1" s="499" t="s">
        <v>1053</v>
      </c>
      <c r="L1" s="500"/>
      <c r="M1" s="500"/>
      <c r="N1" s="500"/>
      <c r="O1" s="500"/>
      <c r="P1" s="500"/>
      <c r="Q1" s="500"/>
      <c r="R1" s="500"/>
      <c r="S1" s="500"/>
      <c r="T1" s="501"/>
      <c r="U1" s="97" t="s">
        <v>1054</v>
      </c>
      <c r="V1" s="492" t="s">
        <v>1119</v>
      </c>
      <c r="W1" s="493"/>
      <c r="X1" s="493"/>
      <c r="Y1" s="493"/>
      <c r="Z1" s="493"/>
      <c r="AA1" s="493"/>
      <c r="AB1" s="493"/>
      <c r="AC1" s="493"/>
      <c r="AD1" s="493"/>
      <c r="AE1" s="493"/>
      <c r="AF1" s="494"/>
      <c r="AG1" s="98">
        <v>2021</v>
      </c>
      <c r="AH1" s="495" t="s">
        <v>1118</v>
      </c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99">
        <v>2022</v>
      </c>
      <c r="AT1" s="495" t="s">
        <v>1117</v>
      </c>
      <c r="AU1" s="495"/>
      <c r="AV1" s="495"/>
      <c r="AW1" s="495"/>
      <c r="AX1" s="495"/>
      <c r="AY1" s="495"/>
      <c r="AZ1" s="495"/>
      <c r="BA1" s="495"/>
      <c r="BB1" s="495"/>
      <c r="BC1" s="495"/>
      <c r="BD1" s="496"/>
      <c r="BE1" s="99">
        <v>2023</v>
      </c>
      <c r="BF1" s="495" t="s">
        <v>1116</v>
      </c>
      <c r="BG1" s="495"/>
      <c r="BH1" s="495"/>
      <c r="BI1" s="495"/>
      <c r="BJ1" s="495"/>
      <c r="BK1" s="495"/>
      <c r="BL1" s="495"/>
      <c r="BM1" s="495"/>
      <c r="BN1" s="495"/>
      <c r="BO1" s="495"/>
      <c r="BP1" s="496"/>
      <c r="BQ1" s="99">
        <v>2024</v>
      </c>
      <c r="BR1" s="495" t="s">
        <v>1120</v>
      </c>
      <c r="BS1" s="495"/>
      <c r="BT1" s="495"/>
      <c r="BU1" s="495"/>
      <c r="BV1" s="495"/>
      <c r="BW1" s="495"/>
      <c r="BX1" s="495"/>
      <c r="BY1" s="495"/>
      <c r="BZ1" s="495"/>
      <c r="CA1" s="495"/>
      <c r="CB1" s="496"/>
      <c r="CC1" s="100">
        <v>2025</v>
      </c>
      <c r="CD1" s="495" t="s">
        <v>1121</v>
      </c>
      <c r="CE1" s="495"/>
      <c r="CF1" s="495"/>
      <c r="CG1" s="495"/>
      <c r="CH1" s="495"/>
      <c r="CI1" s="495"/>
      <c r="CJ1" s="495"/>
      <c r="CK1" s="495"/>
      <c r="CL1" s="495"/>
      <c r="CM1" s="495"/>
      <c r="CN1" s="496"/>
      <c r="CO1" s="100">
        <v>2026</v>
      </c>
      <c r="CP1" s="495" t="s">
        <v>1122</v>
      </c>
      <c r="CQ1" s="495"/>
      <c r="CR1" s="495"/>
      <c r="CS1" s="495"/>
      <c r="CT1" s="495"/>
      <c r="CU1" s="495"/>
      <c r="CV1" s="495"/>
      <c r="CW1" s="495"/>
      <c r="CX1" s="495"/>
      <c r="CY1" s="495"/>
      <c r="CZ1" s="496"/>
      <c r="DA1" s="100">
        <v>2027</v>
      </c>
      <c r="DB1" s="495" t="s">
        <v>1123</v>
      </c>
      <c r="DC1" s="495"/>
      <c r="DD1" s="495"/>
      <c r="DE1" s="495"/>
      <c r="DF1" s="495"/>
      <c r="DG1" s="495"/>
      <c r="DH1" s="495"/>
      <c r="DI1" s="495"/>
      <c r="DJ1" s="495"/>
      <c r="DK1" s="495"/>
      <c r="DL1" s="496"/>
      <c r="DM1" s="100">
        <v>2028</v>
      </c>
      <c r="DN1" s="495" t="s">
        <v>1125</v>
      </c>
      <c r="DO1" s="495"/>
      <c r="DP1" s="495"/>
      <c r="DQ1" s="495"/>
      <c r="DR1" s="495"/>
      <c r="DS1" s="495"/>
      <c r="DT1" s="495"/>
      <c r="DU1" s="495"/>
      <c r="DV1" s="495"/>
      <c r="DW1" s="495"/>
      <c r="DX1" s="496"/>
      <c r="DY1" s="100">
        <v>2029</v>
      </c>
      <c r="DZ1" s="495" t="s">
        <v>1124</v>
      </c>
      <c r="EA1" s="495"/>
      <c r="EB1" s="495"/>
      <c r="EC1" s="495"/>
      <c r="ED1" s="495"/>
      <c r="EE1" s="495"/>
      <c r="EF1" s="495"/>
      <c r="EG1" s="495"/>
      <c r="EH1" s="495"/>
      <c r="EI1" s="495"/>
      <c r="EJ1" s="496"/>
      <c r="EK1" s="100">
        <v>2030</v>
      </c>
    </row>
    <row r="2" spans="1:141" ht="30.75" thickBot="1" x14ac:dyDescent="0.3">
      <c r="A2" s="172"/>
      <c r="B2" s="119" t="s">
        <v>383</v>
      </c>
      <c r="C2" s="119" t="s">
        <v>335</v>
      </c>
      <c r="D2" s="119" t="s">
        <v>288</v>
      </c>
      <c r="E2" s="119" t="s">
        <v>1318</v>
      </c>
      <c r="F2" s="119" t="s">
        <v>337</v>
      </c>
      <c r="G2" s="155" t="s">
        <v>931</v>
      </c>
      <c r="H2" s="391" t="s">
        <v>310</v>
      </c>
      <c r="I2" s="392" t="s">
        <v>941</v>
      </c>
      <c r="J2" s="393" t="s">
        <v>939</v>
      </c>
      <c r="K2" s="385" t="s">
        <v>940</v>
      </c>
      <c r="L2" s="385" t="s">
        <v>1055</v>
      </c>
      <c r="M2" s="385" t="s">
        <v>1056</v>
      </c>
      <c r="N2" s="385" t="s">
        <v>1057</v>
      </c>
      <c r="O2" s="385" t="s">
        <v>1058</v>
      </c>
      <c r="P2" s="385" t="s">
        <v>1059</v>
      </c>
      <c r="Q2" s="385" t="s">
        <v>929</v>
      </c>
      <c r="R2" s="385" t="s">
        <v>1060</v>
      </c>
      <c r="S2" s="385" t="s">
        <v>1059</v>
      </c>
      <c r="T2" s="385" t="s">
        <v>1061</v>
      </c>
      <c r="U2" s="386" t="s">
        <v>1062</v>
      </c>
      <c r="V2" s="385" t="s">
        <v>940</v>
      </c>
      <c r="W2" s="385" t="s">
        <v>1055</v>
      </c>
      <c r="X2" s="385" t="s">
        <v>1056</v>
      </c>
      <c r="Y2" s="385" t="s">
        <v>1057</v>
      </c>
      <c r="Z2" s="385" t="s">
        <v>1058</v>
      </c>
      <c r="AA2" s="385" t="s">
        <v>1059</v>
      </c>
      <c r="AB2" s="385" t="s">
        <v>929</v>
      </c>
      <c r="AC2" s="385" t="s">
        <v>1060</v>
      </c>
      <c r="AD2" s="385" t="s">
        <v>1059</v>
      </c>
      <c r="AE2" s="385" t="s">
        <v>1063</v>
      </c>
      <c r="AF2" s="385" t="s">
        <v>1061</v>
      </c>
      <c r="AG2" s="386" t="s">
        <v>1062</v>
      </c>
      <c r="AH2" s="385" t="s">
        <v>940</v>
      </c>
      <c r="AI2" s="385" t="s">
        <v>1055</v>
      </c>
      <c r="AJ2" s="385" t="s">
        <v>1056</v>
      </c>
      <c r="AK2" s="385" t="s">
        <v>1057</v>
      </c>
      <c r="AL2" s="385" t="s">
        <v>1058</v>
      </c>
      <c r="AM2" s="385" t="s">
        <v>1059</v>
      </c>
      <c r="AN2" s="385" t="s">
        <v>929</v>
      </c>
      <c r="AO2" s="385" t="s">
        <v>1060</v>
      </c>
      <c r="AP2" s="385" t="s">
        <v>1059</v>
      </c>
      <c r="AQ2" s="385" t="s">
        <v>1063</v>
      </c>
      <c r="AR2" s="385" t="s">
        <v>1061</v>
      </c>
      <c r="AS2" s="386" t="s">
        <v>1062</v>
      </c>
      <c r="AT2" s="385" t="s">
        <v>940</v>
      </c>
      <c r="AU2" s="385" t="s">
        <v>1055</v>
      </c>
      <c r="AV2" s="385" t="s">
        <v>1056</v>
      </c>
      <c r="AW2" s="385" t="s">
        <v>1057</v>
      </c>
      <c r="AX2" s="385" t="s">
        <v>1058</v>
      </c>
      <c r="AY2" s="385" t="s">
        <v>1059</v>
      </c>
      <c r="AZ2" s="385" t="s">
        <v>929</v>
      </c>
      <c r="BA2" s="385" t="s">
        <v>1060</v>
      </c>
      <c r="BB2" s="385" t="s">
        <v>1059</v>
      </c>
      <c r="BC2" s="385" t="s">
        <v>1063</v>
      </c>
      <c r="BD2" s="385" t="s">
        <v>1061</v>
      </c>
      <c r="BE2" s="386" t="s">
        <v>1062</v>
      </c>
      <c r="BF2" s="385" t="s">
        <v>940</v>
      </c>
      <c r="BG2" s="385" t="s">
        <v>1055</v>
      </c>
      <c r="BH2" s="385" t="s">
        <v>1056</v>
      </c>
      <c r="BI2" s="385" t="s">
        <v>1057</v>
      </c>
      <c r="BJ2" s="385" t="s">
        <v>1058</v>
      </c>
      <c r="BK2" s="385" t="s">
        <v>1059</v>
      </c>
      <c r="BL2" s="385" t="s">
        <v>929</v>
      </c>
      <c r="BM2" s="385" t="s">
        <v>1060</v>
      </c>
      <c r="BN2" s="385" t="s">
        <v>1059</v>
      </c>
      <c r="BO2" s="385" t="s">
        <v>1063</v>
      </c>
      <c r="BP2" s="385" t="s">
        <v>1061</v>
      </c>
      <c r="BQ2" s="386" t="s">
        <v>1062</v>
      </c>
      <c r="BR2" s="385" t="s">
        <v>940</v>
      </c>
      <c r="BS2" s="385" t="s">
        <v>1055</v>
      </c>
      <c r="BT2" s="385" t="s">
        <v>1056</v>
      </c>
      <c r="BU2" s="385" t="s">
        <v>1057</v>
      </c>
      <c r="BV2" s="385" t="s">
        <v>1058</v>
      </c>
      <c r="BW2" s="385" t="s">
        <v>1059</v>
      </c>
      <c r="BX2" s="385" t="s">
        <v>929</v>
      </c>
      <c r="BY2" s="385" t="s">
        <v>1060</v>
      </c>
      <c r="BZ2" s="385" t="s">
        <v>1059</v>
      </c>
      <c r="CA2" s="385" t="s">
        <v>1063</v>
      </c>
      <c r="CB2" s="385" t="s">
        <v>1061</v>
      </c>
      <c r="CC2" s="387" t="s">
        <v>1062</v>
      </c>
      <c r="CD2" s="385" t="s">
        <v>940</v>
      </c>
      <c r="CE2" s="385" t="s">
        <v>1055</v>
      </c>
      <c r="CF2" s="385" t="s">
        <v>1056</v>
      </c>
      <c r="CG2" s="385" t="s">
        <v>1057</v>
      </c>
      <c r="CH2" s="385" t="s">
        <v>1058</v>
      </c>
      <c r="CI2" s="385" t="s">
        <v>1059</v>
      </c>
      <c r="CJ2" s="385" t="s">
        <v>929</v>
      </c>
      <c r="CK2" s="385" t="s">
        <v>1060</v>
      </c>
      <c r="CL2" s="385" t="s">
        <v>1059</v>
      </c>
      <c r="CM2" s="385" t="s">
        <v>1063</v>
      </c>
      <c r="CN2" s="385" t="s">
        <v>1061</v>
      </c>
      <c r="CO2" s="387" t="s">
        <v>1062</v>
      </c>
      <c r="CP2" s="385" t="s">
        <v>940</v>
      </c>
      <c r="CQ2" s="385" t="s">
        <v>1055</v>
      </c>
      <c r="CR2" s="385" t="s">
        <v>1056</v>
      </c>
      <c r="CS2" s="385" t="s">
        <v>1057</v>
      </c>
      <c r="CT2" s="385" t="s">
        <v>1058</v>
      </c>
      <c r="CU2" s="385" t="s">
        <v>1059</v>
      </c>
      <c r="CV2" s="385" t="s">
        <v>929</v>
      </c>
      <c r="CW2" s="385" t="s">
        <v>1060</v>
      </c>
      <c r="CX2" s="385" t="s">
        <v>1059</v>
      </c>
      <c r="CY2" s="385" t="s">
        <v>1063</v>
      </c>
      <c r="CZ2" s="385" t="s">
        <v>1061</v>
      </c>
      <c r="DA2" s="387" t="s">
        <v>1062</v>
      </c>
      <c r="DB2" s="385" t="s">
        <v>940</v>
      </c>
      <c r="DC2" s="385" t="s">
        <v>1055</v>
      </c>
      <c r="DD2" s="385" t="s">
        <v>1056</v>
      </c>
      <c r="DE2" s="385" t="s">
        <v>1057</v>
      </c>
      <c r="DF2" s="385" t="s">
        <v>1058</v>
      </c>
      <c r="DG2" s="385" t="s">
        <v>1059</v>
      </c>
      <c r="DH2" s="385" t="s">
        <v>929</v>
      </c>
      <c r="DI2" s="385" t="s">
        <v>1060</v>
      </c>
      <c r="DJ2" s="385" t="s">
        <v>1059</v>
      </c>
      <c r="DK2" s="385" t="s">
        <v>1063</v>
      </c>
      <c r="DL2" s="385" t="s">
        <v>1061</v>
      </c>
      <c r="DM2" s="387" t="s">
        <v>1062</v>
      </c>
      <c r="DN2" s="385" t="s">
        <v>940</v>
      </c>
      <c r="DO2" s="385" t="s">
        <v>1055</v>
      </c>
      <c r="DP2" s="385" t="s">
        <v>1056</v>
      </c>
      <c r="DQ2" s="385" t="s">
        <v>1057</v>
      </c>
      <c r="DR2" s="385" t="s">
        <v>1058</v>
      </c>
      <c r="DS2" s="385" t="s">
        <v>1059</v>
      </c>
      <c r="DT2" s="385" t="s">
        <v>929</v>
      </c>
      <c r="DU2" s="385" t="s">
        <v>1060</v>
      </c>
      <c r="DV2" s="385" t="s">
        <v>1059</v>
      </c>
      <c r="DW2" s="385" t="s">
        <v>1063</v>
      </c>
      <c r="DX2" s="385" t="s">
        <v>1061</v>
      </c>
      <c r="DY2" s="387" t="s">
        <v>1062</v>
      </c>
      <c r="DZ2" s="385" t="s">
        <v>940</v>
      </c>
      <c r="EA2" s="385" t="s">
        <v>1055</v>
      </c>
      <c r="EB2" s="385" t="s">
        <v>1056</v>
      </c>
      <c r="EC2" s="385" t="s">
        <v>1057</v>
      </c>
      <c r="ED2" s="385" t="s">
        <v>1058</v>
      </c>
      <c r="EE2" s="385" t="s">
        <v>1059</v>
      </c>
      <c r="EF2" s="385" t="s">
        <v>929</v>
      </c>
      <c r="EG2" s="385" t="s">
        <v>1060</v>
      </c>
      <c r="EH2" s="385" t="s">
        <v>1059</v>
      </c>
      <c r="EI2" s="385" t="s">
        <v>1063</v>
      </c>
      <c r="EJ2" s="385" t="s">
        <v>1061</v>
      </c>
      <c r="EK2" s="387" t="s">
        <v>1062</v>
      </c>
    </row>
    <row r="3" spans="1:141" ht="60" x14ac:dyDescent="0.25">
      <c r="A3" s="379" t="s">
        <v>1106</v>
      </c>
      <c r="B3" s="380"/>
      <c r="C3" s="380"/>
      <c r="D3" s="380"/>
      <c r="E3" s="380" t="s">
        <v>1366</v>
      </c>
      <c r="F3" s="381" t="s">
        <v>997</v>
      </c>
      <c r="G3" s="382"/>
      <c r="H3" s="382"/>
      <c r="I3" s="380" t="s">
        <v>1097</v>
      </c>
      <c r="J3" s="326">
        <f t="shared" ref="J3:J11" si="0">SUM(U3,AG3,AS3,BE3,BQ3,CC3,CO3,DA3,DM3,DY3,EK3)</f>
        <v>587423.92000000004</v>
      </c>
      <c r="K3" s="326">
        <v>0</v>
      </c>
      <c r="L3" s="326">
        <v>0</v>
      </c>
      <c r="M3" s="326">
        <v>0</v>
      </c>
      <c r="N3" s="326">
        <v>0</v>
      </c>
      <c r="O3" s="326">
        <v>0</v>
      </c>
      <c r="P3" s="326">
        <v>0</v>
      </c>
      <c r="Q3" s="326">
        <v>0</v>
      </c>
      <c r="R3" s="326">
        <v>0</v>
      </c>
      <c r="S3" s="326">
        <v>0</v>
      </c>
      <c r="T3" s="326">
        <v>338020.1</v>
      </c>
      <c r="U3" s="326">
        <f t="shared" ref="U3:U11" si="1">SUM(K3:T3)</f>
        <v>338020.1</v>
      </c>
      <c r="V3" s="326">
        <v>529278.82000000007</v>
      </c>
      <c r="W3" s="326">
        <v>0</v>
      </c>
      <c r="X3" s="326">
        <v>0</v>
      </c>
      <c r="Y3" s="326">
        <v>0</v>
      </c>
      <c r="Z3" s="326">
        <v>0</v>
      </c>
      <c r="AA3" s="326">
        <v>0</v>
      </c>
      <c r="AB3" s="326">
        <v>0</v>
      </c>
      <c r="AC3" s="326">
        <v>0</v>
      </c>
      <c r="AD3" s="326">
        <v>0</v>
      </c>
      <c r="AE3" s="326">
        <v>0</v>
      </c>
      <c r="AF3" s="326">
        <v>-279875</v>
      </c>
      <c r="AG3" s="326">
        <f t="shared" ref="AG3:AG11" si="2">SUM(V3:AF3)</f>
        <v>249403.82000000007</v>
      </c>
      <c r="AH3" s="326">
        <v>0</v>
      </c>
      <c r="AI3" s="326">
        <v>0</v>
      </c>
      <c r="AJ3" s="326">
        <v>0</v>
      </c>
      <c r="AK3" s="326">
        <v>0</v>
      </c>
      <c r="AL3" s="326">
        <v>0</v>
      </c>
      <c r="AM3" s="326">
        <v>0</v>
      </c>
      <c r="AN3" s="326">
        <v>0</v>
      </c>
      <c r="AO3" s="326">
        <v>0</v>
      </c>
      <c r="AP3" s="326">
        <v>0</v>
      </c>
      <c r="AQ3" s="326">
        <v>0</v>
      </c>
      <c r="AR3" s="326">
        <v>0</v>
      </c>
      <c r="AS3" s="326">
        <f t="shared" ref="AS3:AS11" si="3">SUM(AH3:AR3)</f>
        <v>0</v>
      </c>
      <c r="AT3" s="326">
        <v>0</v>
      </c>
      <c r="AU3" s="326">
        <v>0</v>
      </c>
      <c r="AV3" s="326">
        <v>0</v>
      </c>
      <c r="AW3" s="326">
        <v>0</v>
      </c>
      <c r="AX3" s="326">
        <v>0</v>
      </c>
      <c r="AY3" s="326">
        <v>0</v>
      </c>
      <c r="AZ3" s="326">
        <v>0</v>
      </c>
      <c r="BA3" s="326">
        <v>0</v>
      </c>
      <c r="BB3" s="326">
        <v>0</v>
      </c>
      <c r="BC3" s="326">
        <v>0</v>
      </c>
      <c r="BD3" s="326">
        <v>0</v>
      </c>
      <c r="BE3" s="326">
        <f t="shared" ref="BE3:BE11" si="4">SUM(AT3:BD3)</f>
        <v>0</v>
      </c>
      <c r="BF3" s="326">
        <v>0</v>
      </c>
      <c r="BG3" s="326">
        <v>0</v>
      </c>
      <c r="BH3" s="326">
        <v>0</v>
      </c>
      <c r="BI3" s="326">
        <v>0</v>
      </c>
      <c r="BJ3" s="326">
        <v>0</v>
      </c>
      <c r="BK3" s="326">
        <v>0</v>
      </c>
      <c r="BL3" s="326">
        <v>0</v>
      </c>
      <c r="BM3" s="326">
        <v>0</v>
      </c>
      <c r="BN3" s="326">
        <v>0</v>
      </c>
      <c r="BO3" s="326">
        <v>0</v>
      </c>
      <c r="BP3" s="326">
        <v>0</v>
      </c>
      <c r="BQ3" s="326">
        <f t="shared" ref="BQ3:BQ11" si="5">SUM(BF3:BP3)</f>
        <v>0</v>
      </c>
      <c r="BR3" s="326">
        <v>0</v>
      </c>
      <c r="BS3" s="326">
        <v>0</v>
      </c>
      <c r="BT3" s="326">
        <v>0</v>
      </c>
      <c r="BU3" s="326">
        <v>0</v>
      </c>
      <c r="BV3" s="326">
        <v>0</v>
      </c>
      <c r="BW3" s="326">
        <v>0</v>
      </c>
      <c r="BX3" s="326">
        <v>0</v>
      </c>
      <c r="BY3" s="326">
        <v>0</v>
      </c>
      <c r="BZ3" s="326">
        <v>0</v>
      </c>
      <c r="CA3" s="326">
        <v>0</v>
      </c>
      <c r="CB3" s="326">
        <v>0</v>
      </c>
      <c r="CC3" s="326">
        <f t="shared" ref="CC3:CC11" si="6">SUM(BR3:CB3)</f>
        <v>0</v>
      </c>
      <c r="CD3" s="329">
        <v>0</v>
      </c>
      <c r="CE3" s="329">
        <v>0</v>
      </c>
      <c r="CF3" s="329">
        <v>0</v>
      </c>
      <c r="CG3" s="329">
        <v>0</v>
      </c>
      <c r="CH3" s="329">
        <v>0</v>
      </c>
      <c r="CI3" s="329">
        <v>0</v>
      </c>
      <c r="CJ3" s="329">
        <v>0</v>
      </c>
      <c r="CK3" s="329">
        <v>0</v>
      </c>
      <c r="CL3" s="329">
        <v>0</v>
      </c>
      <c r="CM3" s="329">
        <v>0</v>
      </c>
      <c r="CN3" s="329">
        <v>0</v>
      </c>
      <c r="CO3" s="326">
        <f t="shared" ref="CO3:CO11" si="7">SUM(CD3:CN3)</f>
        <v>0</v>
      </c>
      <c r="CP3" s="329">
        <v>0</v>
      </c>
      <c r="CQ3" s="329">
        <v>0</v>
      </c>
      <c r="CR3" s="329">
        <v>0</v>
      </c>
      <c r="CS3" s="329">
        <v>0</v>
      </c>
      <c r="CT3" s="329">
        <v>0</v>
      </c>
      <c r="CU3" s="329">
        <v>0</v>
      </c>
      <c r="CV3" s="329">
        <v>0</v>
      </c>
      <c r="CW3" s="329">
        <v>0</v>
      </c>
      <c r="CX3" s="329">
        <v>0</v>
      </c>
      <c r="CY3" s="329">
        <v>0</v>
      </c>
      <c r="CZ3" s="329">
        <v>0</v>
      </c>
      <c r="DA3" s="326">
        <f t="shared" ref="DA3:DA11" si="8">SUM(CP3:CZ3)</f>
        <v>0</v>
      </c>
      <c r="DB3" s="329">
        <v>0</v>
      </c>
      <c r="DC3" s="329">
        <v>0</v>
      </c>
      <c r="DD3" s="329">
        <v>0</v>
      </c>
      <c r="DE3" s="329">
        <v>0</v>
      </c>
      <c r="DF3" s="329">
        <v>0</v>
      </c>
      <c r="DG3" s="329">
        <v>0</v>
      </c>
      <c r="DH3" s="329">
        <v>0</v>
      </c>
      <c r="DI3" s="329">
        <v>0</v>
      </c>
      <c r="DJ3" s="329">
        <v>0</v>
      </c>
      <c r="DK3" s="329">
        <v>0</v>
      </c>
      <c r="DL3" s="329">
        <v>0</v>
      </c>
      <c r="DM3" s="326">
        <f t="shared" ref="DM3:DM11" si="9">SUM(DB3:DL3)</f>
        <v>0</v>
      </c>
      <c r="DN3" s="329">
        <v>0</v>
      </c>
      <c r="DO3" s="329">
        <v>0</v>
      </c>
      <c r="DP3" s="329">
        <v>0</v>
      </c>
      <c r="DQ3" s="329">
        <v>0</v>
      </c>
      <c r="DR3" s="329">
        <v>0</v>
      </c>
      <c r="DS3" s="329">
        <v>0</v>
      </c>
      <c r="DT3" s="329">
        <v>0</v>
      </c>
      <c r="DU3" s="329">
        <v>0</v>
      </c>
      <c r="DV3" s="329">
        <v>0</v>
      </c>
      <c r="DW3" s="329">
        <v>0</v>
      </c>
      <c r="DX3" s="329">
        <v>0</v>
      </c>
      <c r="DY3" s="326">
        <f t="shared" ref="DY3:DY11" si="10">SUM(DN3:DX3)</f>
        <v>0</v>
      </c>
      <c r="DZ3" s="329">
        <v>0</v>
      </c>
      <c r="EA3" s="329">
        <v>0</v>
      </c>
      <c r="EB3" s="329">
        <v>0</v>
      </c>
      <c r="EC3" s="329">
        <v>0</v>
      </c>
      <c r="ED3" s="329">
        <v>0</v>
      </c>
      <c r="EE3" s="329">
        <v>0</v>
      </c>
      <c r="EF3" s="329">
        <v>0</v>
      </c>
      <c r="EG3" s="329">
        <v>0</v>
      </c>
      <c r="EH3" s="329">
        <v>0</v>
      </c>
      <c r="EI3" s="329">
        <v>0</v>
      </c>
      <c r="EJ3" s="329">
        <v>0</v>
      </c>
      <c r="EK3" s="341">
        <f t="shared" ref="EK3:EK11" si="11">SUM(DZ3:EJ3)</f>
        <v>0</v>
      </c>
    </row>
    <row r="4" spans="1:141" ht="60" x14ac:dyDescent="0.25">
      <c r="A4" s="174"/>
      <c r="B4" s="380"/>
      <c r="C4" s="380"/>
      <c r="D4" s="380"/>
      <c r="E4" s="380" t="s">
        <v>1367</v>
      </c>
      <c r="F4" s="381" t="s">
        <v>998</v>
      </c>
      <c r="G4" s="382"/>
      <c r="H4" s="382"/>
      <c r="I4" s="380" t="s">
        <v>1097</v>
      </c>
      <c r="J4" s="326">
        <f t="shared" si="0"/>
        <v>431030.33</v>
      </c>
      <c r="K4" s="326">
        <v>0</v>
      </c>
      <c r="L4" s="326">
        <v>0</v>
      </c>
      <c r="M4" s="326">
        <v>0</v>
      </c>
      <c r="N4" s="326">
        <v>0</v>
      </c>
      <c r="O4" s="326">
        <v>0</v>
      </c>
      <c r="P4" s="326">
        <v>0</v>
      </c>
      <c r="Q4" s="326">
        <v>0</v>
      </c>
      <c r="R4" s="326">
        <v>0</v>
      </c>
      <c r="S4" s="326">
        <v>0</v>
      </c>
      <c r="T4" s="326">
        <v>158351.39000000001</v>
      </c>
      <c r="U4" s="326">
        <f t="shared" si="1"/>
        <v>158351.39000000001</v>
      </c>
      <c r="V4" s="326">
        <v>382381.5</v>
      </c>
      <c r="W4" s="326">
        <v>0</v>
      </c>
      <c r="X4" s="326">
        <v>0</v>
      </c>
      <c r="Y4" s="326">
        <v>0</v>
      </c>
      <c r="Z4" s="326">
        <v>0</v>
      </c>
      <c r="AA4" s="326">
        <v>0</v>
      </c>
      <c r="AB4" s="326">
        <v>0</v>
      </c>
      <c r="AC4" s="326">
        <v>0</v>
      </c>
      <c r="AD4" s="326">
        <v>0</v>
      </c>
      <c r="AE4" s="326">
        <v>0</v>
      </c>
      <c r="AF4" s="326">
        <v>-109702.56</v>
      </c>
      <c r="AG4" s="326">
        <f t="shared" si="2"/>
        <v>272678.94</v>
      </c>
      <c r="AH4" s="326">
        <v>0</v>
      </c>
      <c r="AI4" s="326">
        <v>0</v>
      </c>
      <c r="AJ4" s="326">
        <v>0</v>
      </c>
      <c r="AK4" s="326">
        <v>0</v>
      </c>
      <c r="AL4" s="326">
        <v>0</v>
      </c>
      <c r="AM4" s="326">
        <v>0</v>
      </c>
      <c r="AN4" s="326">
        <v>0</v>
      </c>
      <c r="AO4" s="326">
        <v>0</v>
      </c>
      <c r="AP4" s="326">
        <v>0</v>
      </c>
      <c r="AQ4" s="326">
        <v>0</v>
      </c>
      <c r="AR4" s="326">
        <v>0</v>
      </c>
      <c r="AS4" s="326">
        <f t="shared" si="3"/>
        <v>0</v>
      </c>
      <c r="AT4" s="326">
        <v>0</v>
      </c>
      <c r="AU4" s="326">
        <v>0</v>
      </c>
      <c r="AV4" s="326">
        <v>0</v>
      </c>
      <c r="AW4" s="326">
        <v>0</v>
      </c>
      <c r="AX4" s="326">
        <v>0</v>
      </c>
      <c r="AY4" s="326">
        <v>0</v>
      </c>
      <c r="AZ4" s="326">
        <v>0</v>
      </c>
      <c r="BA4" s="326">
        <v>0</v>
      </c>
      <c r="BB4" s="326">
        <v>0</v>
      </c>
      <c r="BC4" s="326">
        <v>0</v>
      </c>
      <c r="BD4" s="326">
        <v>0</v>
      </c>
      <c r="BE4" s="326">
        <f t="shared" si="4"/>
        <v>0</v>
      </c>
      <c r="BF4" s="326">
        <v>0</v>
      </c>
      <c r="BG4" s="326">
        <v>0</v>
      </c>
      <c r="BH4" s="326">
        <v>0</v>
      </c>
      <c r="BI4" s="326">
        <v>0</v>
      </c>
      <c r="BJ4" s="326">
        <v>0</v>
      </c>
      <c r="BK4" s="326">
        <v>0</v>
      </c>
      <c r="BL4" s="326">
        <v>0</v>
      </c>
      <c r="BM4" s="326">
        <v>0</v>
      </c>
      <c r="BN4" s="326">
        <v>0</v>
      </c>
      <c r="BO4" s="326">
        <v>0</v>
      </c>
      <c r="BP4" s="326">
        <v>0</v>
      </c>
      <c r="BQ4" s="326">
        <f t="shared" si="5"/>
        <v>0</v>
      </c>
      <c r="BR4" s="326">
        <v>0</v>
      </c>
      <c r="BS4" s="326">
        <v>0</v>
      </c>
      <c r="BT4" s="326">
        <v>0</v>
      </c>
      <c r="BU4" s="326">
        <v>0</v>
      </c>
      <c r="BV4" s="326">
        <v>0</v>
      </c>
      <c r="BW4" s="326">
        <v>0</v>
      </c>
      <c r="BX4" s="326">
        <v>0</v>
      </c>
      <c r="BY4" s="326">
        <v>0</v>
      </c>
      <c r="BZ4" s="326">
        <v>0</v>
      </c>
      <c r="CA4" s="326">
        <v>0</v>
      </c>
      <c r="CB4" s="326">
        <v>0</v>
      </c>
      <c r="CC4" s="326">
        <f t="shared" si="6"/>
        <v>0</v>
      </c>
      <c r="CD4" s="329">
        <v>0</v>
      </c>
      <c r="CE4" s="329">
        <v>0</v>
      </c>
      <c r="CF4" s="329">
        <v>0</v>
      </c>
      <c r="CG4" s="329">
        <v>0</v>
      </c>
      <c r="CH4" s="329">
        <v>0</v>
      </c>
      <c r="CI4" s="329">
        <v>0</v>
      </c>
      <c r="CJ4" s="329">
        <v>0</v>
      </c>
      <c r="CK4" s="329">
        <v>0</v>
      </c>
      <c r="CL4" s="329">
        <v>0</v>
      </c>
      <c r="CM4" s="329">
        <v>0</v>
      </c>
      <c r="CN4" s="329">
        <v>0</v>
      </c>
      <c r="CO4" s="326">
        <f t="shared" si="7"/>
        <v>0</v>
      </c>
      <c r="CP4" s="329">
        <v>0</v>
      </c>
      <c r="CQ4" s="329">
        <v>0</v>
      </c>
      <c r="CR4" s="329">
        <v>0</v>
      </c>
      <c r="CS4" s="329">
        <v>0</v>
      </c>
      <c r="CT4" s="329">
        <v>0</v>
      </c>
      <c r="CU4" s="329">
        <v>0</v>
      </c>
      <c r="CV4" s="329">
        <v>0</v>
      </c>
      <c r="CW4" s="329">
        <v>0</v>
      </c>
      <c r="CX4" s="329">
        <v>0</v>
      </c>
      <c r="CY4" s="329">
        <v>0</v>
      </c>
      <c r="CZ4" s="329">
        <v>0</v>
      </c>
      <c r="DA4" s="326">
        <f t="shared" si="8"/>
        <v>0</v>
      </c>
      <c r="DB4" s="329">
        <v>0</v>
      </c>
      <c r="DC4" s="329">
        <v>0</v>
      </c>
      <c r="DD4" s="329">
        <v>0</v>
      </c>
      <c r="DE4" s="329">
        <v>0</v>
      </c>
      <c r="DF4" s="329">
        <v>0</v>
      </c>
      <c r="DG4" s="329">
        <v>0</v>
      </c>
      <c r="DH4" s="329">
        <v>0</v>
      </c>
      <c r="DI4" s="329">
        <v>0</v>
      </c>
      <c r="DJ4" s="329">
        <v>0</v>
      </c>
      <c r="DK4" s="329">
        <v>0</v>
      </c>
      <c r="DL4" s="329">
        <v>0</v>
      </c>
      <c r="DM4" s="326">
        <f t="shared" si="9"/>
        <v>0</v>
      </c>
      <c r="DN4" s="329">
        <v>0</v>
      </c>
      <c r="DO4" s="329">
        <v>0</v>
      </c>
      <c r="DP4" s="329">
        <v>0</v>
      </c>
      <c r="DQ4" s="329">
        <v>0</v>
      </c>
      <c r="DR4" s="329">
        <v>0</v>
      </c>
      <c r="DS4" s="329">
        <v>0</v>
      </c>
      <c r="DT4" s="329">
        <v>0</v>
      </c>
      <c r="DU4" s="329">
        <v>0</v>
      </c>
      <c r="DV4" s="329">
        <v>0</v>
      </c>
      <c r="DW4" s="329">
        <v>0</v>
      </c>
      <c r="DX4" s="329">
        <v>0</v>
      </c>
      <c r="DY4" s="326">
        <f t="shared" si="10"/>
        <v>0</v>
      </c>
      <c r="DZ4" s="329">
        <v>0</v>
      </c>
      <c r="EA4" s="329">
        <v>0</v>
      </c>
      <c r="EB4" s="329">
        <v>0</v>
      </c>
      <c r="EC4" s="329">
        <v>0</v>
      </c>
      <c r="ED4" s="329">
        <v>0</v>
      </c>
      <c r="EE4" s="329">
        <v>0</v>
      </c>
      <c r="EF4" s="329">
        <v>0</v>
      </c>
      <c r="EG4" s="329">
        <v>0</v>
      </c>
      <c r="EH4" s="329">
        <v>0</v>
      </c>
      <c r="EI4" s="329">
        <v>0</v>
      </c>
      <c r="EJ4" s="329">
        <v>0</v>
      </c>
      <c r="EK4" s="341">
        <f t="shared" si="11"/>
        <v>0</v>
      </c>
    </row>
    <row r="5" spans="1:141" ht="60" x14ac:dyDescent="0.25">
      <c r="A5" s="174"/>
      <c r="B5" s="380"/>
      <c r="C5" s="380"/>
      <c r="D5" s="380"/>
      <c r="E5" s="380" t="s">
        <v>1368</v>
      </c>
      <c r="F5" s="381" t="s">
        <v>999</v>
      </c>
      <c r="G5" s="382"/>
      <c r="H5" s="382"/>
      <c r="I5" s="380" t="s">
        <v>1097</v>
      </c>
      <c r="J5" s="326">
        <f t="shared" si="0"/>
        <v>423400.67000000004</v>
      </c>
      <c r="K5" s="326">
        <v>302193.67</v>
      </c>
      <c r="L5" s="326">
        <v>0</v>
      </c>
      <c r="M5" s="326">
        <v>0</v>
      </c>
      <c r="N5" s="326">
        <v>0</v>
      </c>
      <c r="O5" s="326">
        <v>0</v>
      </c>
      <c r="P5" s="326">
        <v>0</v>
      </c>
      <c r="Q5" s="326">
        <v>0</v>
      </c>
      <c r="R5" s="326">
        <v>0</v>
      </c>
      <c r="S5" s="326">
        <v>0</v>
      </c>
      <c r="T5" s="326">
        <v>96996.84</v>
      </c>
      <c r="U5" s="326">
        <f t="shared" si="1"/>
        <v>399190.51</v>
      </c>
      <c r="V5" s="326">
        <f>64668.14+950</f>
        <v>65618.14</v>
      </c>
      <c r="W5" s="326">
        <v>0</v>
      </c>
      <c r="X5" s="326">
        <v>0</v>
      </c>
      <c r="Y5" s="326">
        <v>0</v>
      </c>
      <c r="Z5" s="326">
        <v>0</v>
      </c>
      <c r="AA5" s="326">
        <v>0</v>
      </c>
      <c r="AB5" s="326">
        <v>0</v>
      </c>
      <c r="AC5" s="326">
        <v>0</v>
      </c>
      <c r="AD5" s="326">
        <v>0</v>
      </c>
      <c r="AE5" s="326">
        <v>0</v>
      </c>
      <c r="AF5" s="326">
        <v>-41407.979999999996</v>
      </c>
      <c r="AG5" s="326">
        <f t="shared" si="2"/>
        <v>24210.160000000003</v>
      </c>
      <c r="AH5" s="326">
        <v>0</v>
      </c>
      <c r="AI5" s="326">
        <v>0</v>
      </c>
      <c r="AJ5" s="326">
        <v>0</v>
      </c>
      <c r="AK5" s="326">
        <v>0</v>
      </c>
      <c r="AL5" s="326">
        <v>0</v>
      </c>
      <c r="AM5" s="326">
        <v>0</v>
      </c>
      <c r="AN5" s="326">
        <v>0</v>
      </c>
      <c r="AO5" s="326">
        <v>0</v>
      </c>
      <c r="AP5" s="326">
        <v>0</v>
      </c>
      <c r="AQ5" s="326">
        <v>0</v>
      </c>
      <c r="AR5" s="326">
        <v>0</v>
      </c>
      <c r="AS5" s="326">
        <f t="shared" si="3"/>
        <v>0</v>
      </c>
      <c r="AT5" s="326">
        <v>0</v>
      </c>
      <c r="AU5" s="326">
        <v>0</v>
      </c>
      <c r="AV5" s="326">
        <v>0</v>
      </c>
      <c r="AW5" s="326">
        <v>0</v>
      </c>
      <c r="AX5" s="326">
        <v>0</v>
      </c>
      <c r="AY5" s="326">
        <v>0</v>
      </c>
      <c r="AZ5" s="326">
        <v>0</v>
      </c>
      <c r="BA5" s="326">
        <v>0</v>
      </c>
      <c r="BB5" s="326">
        <v>0</v>
      </c>
      <c r="BC5" s="326">
        <v>0</v>
      </c>
      <c r="BD5" s="326">
        <v>0</v>
      </c>
      <c r="BE5" s="326">
        <f t="shared" si="4"/>
        <v>0</v>
      </c>
      <c r="BF5" s="326">
        <v>0</v>
      </c>
      <c r="BG5" s="326">
        <v>0</v>
      </c>
      <c r="BH5" s="326">
        <v>0</v>
      </c>
      <c r="BI5" s="326">
        <v>0</v>
      </c>
      <c r="BJ5" s="326">
        <v>0</v>
      </c>
      <c r="BK5" s="326">
        <v>0</v>
      </c>
      <c r="BL5" s="326">
        <v>0</v>
      </c>
      <c r="BM5" s="326">
        <v>0</v>
      </c>
      <c r="BN5" s="326">
        <v>0</v>
      </c>
      <c r="BO5" s="326">
        <v>0</v>
      </c>
      <c r="BP5" s="326">
        <v>0</v>
      </c>
      <c r="BQ5" s="326">
        <f t="shared" si="5"/>
        <v>0</v>
      </c>
      <c r="BR5" s="326">
        <v>0</v>
      </c>
      <c r="BS5" s="326">
        <v>0</v>
      </c>
      <c r="BT5" s="326">
        <v>0</v>
      </c>
      <c r="BU5" s="326">
        <v>0</v>
      </c>
      <c r="BV5" s="326">
        <v>0</v>
      </c>
      <c r="BW5" s="326">
        <v>0</v>
      </c>
      <c r="BX5" s="326">
        <v>0</v>
      </c>
      <c r="BY5" s="326">
        <v>0</v>
      </c>
      <c r="BZ5" s="326">
        <v>0</v>
      </c>
      <c r="CA5" s="326">
        <v>0</v>
      </c>
      <c r="CB5" s="326">
        <v>0</v>
      </c>
      <c r="CC5" s="326">
        <f t="shared" si="6"/>
        <v>0</v>
      </c>
      <c r="CD5" s="329">
        <v>0</v>
      </c>
      <c r="CE5" s="329">
        <v>0</v>
      </c>
      <c r="CF5" s="329">
        <v>0</v>
      </c>
      <c r="CG5" s="329">
        <v>0</v>
      </c>
      <c r="CH5" s="329">
        <v>0</v>
      </c>
      <c r="CI5" s="329">
        <v>0</v>
      </c>
      <c r="CJ5" s="329">
        <v>0</v>
      </c>
      <c r="CK5" s="329">
        <v>0</v>
      </c>
      <c r="CL5" s="329">
        <v>0</v>
      </c>
      <c r="CM5" s="329">
        <v>0</v>
      </c>
      <c r="CN5" s="329">
        <v>0</v>
      </c>
      <c r="CO5" s="326">
        <f t="shared" si="7"/>
        <v>0</v>
      </c>
      <c r="CP5" s="329">
        <v>0</v>
      </c>
      <c r="CQ5" s="329">
        <v>0</v>
      </c>
      <c r="CR5" s="329">
        <v>0</v>
      </c>
      <c r="CS5" s="329">
        <v>0</v>
      </c>
      <c r="CT5" s="329">
        <v>0</v>
      </c>
      <c r="CU5" s="329">
        <v>0</v>
      </c>
      <c r="CV5" s="329">
        <v>0</v>
      </c>
      <c r="CW5" s="329">
        <v>0</v>
      </c>
      <c r="CX5" s="329">
        <v>0</v>
      </c>
      <c r="CY5" s="329">
        <v>0</v>
      </c>
      <c r="CZ5" s="329">
        <v>0</v>
      </c>
      <c r="DA5" s="326">
        <f t="shared" si="8"/>
        <v>0</v>
      </c>
      <c r="DB5" s="329">
        <v>0</v>
      </c>
      <c r="DC5" s="329">
        <v>0</v>
      </c>
      <c r="DD5" s="329">
        <v>0</v>
      </c>
      <c r="DE5" s="329">
        <v>0</v>
      </c>
      <c r="DF5" s="329">
        <v>0</v>
      </c>
      <c r="DG5" s="329">
        <v>0</v>
      </c>
      <c r="DH5" s="329">
        <v>0</v>
      </c>
      <c r="DI5" s="329">
        <v>0</v>
      </c>
      <c r="DJ5" s="329">
        <v>0</v>
      </c>
      <c r="DK5" s="329">
        <v>0</v>
      </c>
      <c r="DL5" s="329">
        <v>0</v>
      </c>
      <c r="DM5" s="326">
        <f t="shared" si="9"/>
        <v>0</v>
      </c>
      <c r="DN5" s="329">
        <v>0</v>
      </c>
      <c r="DO5" s="329">
        <v>0</v>
      </c>
      <c r="DP5" s="329">
        <v>0</v>
      </c>
      <c r="DQ5" s="329">
        <v>0</v>
      </c>
      <c r="DR5" s="329">
        <v>0</v>
      </c>
      <c r="DS5" s="329">
        <v>0</v>
      </c>
      <c r="DT5" s="329">
        <v>0</v>
      </c>
      <c r="DU5" s="329">
        <v>0</v>
      </c>
      <c r="DV5" s="329">
        <v>0</v>
      </c>
      <c r="DW5" s="329">
        <v>0</v>
      </c>
      <c r="DX5" s="329">
        <v>0</v>
      </c>
      <c r="DY5" s="326">
        <f t="shared" si="10"/>
        <v>0</v>
      </c>
      <c r="DZ5" s="329">
        <v>0</v>
      </c>
      <c r="EA5" s="329">
        <v>0</v>
      </c>
      <c r="EB5" s="329">
        <v>0</v>
      </c>
      <c r="EC5" s="329">
        <v>0</v>
      </c>
      <c r="ED5" s="329">
        <v>0</v>
      </c>
      <c r="EE5" s="329">
        <v>0</v>
      </c>
      <c r="EF5" s="329">
        <v>0</v>
      </c>
      <c r="EG5" s="329">
        <v>0</v>
      </c>
      <c r="EH5" s="329">
        <v>0</v>
      </c>
      <c r="EI5" s="329">
        <v>0</v>
      </c>
      <c r="EJ5" s="329">
        <v>0</v>
      </c>
      <c r="EK5" s="341">
        <f t="shared" si="11"/>
        <v>0</v>
      </c>
    </row>
    <row r="6" spans="1:141" ht="45" x14ac:dyDescent="0.25">
      <c r="A6" s="174"/>
      <c r="B6" s="380"/>
      <c r="C6" s="380"/>
      <c r="D6" s="380"/>
      <c r="E6" s="380" t="s">
        <v>1369</v>
      </c>
      <c r="F6" s="381" t="s">
        <v>1000</v>
      </c>
      <c r="G6" s="382"/>
      <c r="H6" s="382"/>
      <c r="I6" s="380" t="s">
        <v>1097</v>
      </c>
      <c r="J6" s="326">
        <f t="shared" si="0"/>
        <v>544005.25</v>
      </c>
      <c r="K6" s="326">
        <v>0</v>
      </c>
      <c r="L6" s="326">
        <v>0</v>
      </c>
      <c r="M6" s="326">
        <v>0</v>
      </c>
      <c r="N6" s="326">
        <v>0</v>
      </c>
      <c r="O6" s="326">
        <v>0</v>
      </c>
      <c r="P6" s="326">
        <v>0</v>
      </c>
      <c r="Q6" s="326">
        <v>0</v>
      </c>
      <c r="R6" s="326">
        <v>0</v>
      </c>
      <c r="S6" s="326">
        <v>0</v>
      </c>
      <c r="T6" s="326">
        <v>88637.25</v>
      </c>
      <c r="U6" s="326">
        <f t="shared" si="1"/>
        <v>88637.25</v>
      </c>
      <c r="V6" s="326">
        <v>491718</v>
      </c>
      <c r="W6" s="326">
        <v>0</v>
      </c>
      <c r="X6" s="326">
        <v>0</v>
      </c>
      <c r="Y6" s="326">
        <v>0</v>
      </c>
      <c r="Z6" s="326">
        <v>0</v>
      </c>
      <c r="AA6" s="326">
        <v>0</v>
      </c>
      <c r="AB6" s="326">
        <v>0</v>
      </c>
      <c r="AC6" s="326">
        <v>0</v>
      </c>
      <c r="AD6" s="326">
        <v>0</v>
      </c>
      <c r="AE6" s="326">
        <v>0</v>
      </c>
      <c r="AF6" s="326">
        <v>-36350.000000000015</v>
      </c>
      <c r="AG6" s="326">
        <f t="shared" si="2"/>
        <v>455368</v>
      </c>
      <c r="AH6" s="326">
        <v>0</v>
      </c>
      <c r="AI6" s="326">
        <v>0</v>
      </c>
      <c r="AJ6" s="326">
        <v>0</v>
      </c>
      <c r="AK6" s="326">
        <v>0</v>
      </c>
      <c r="AL6" s="326">
        <v>0</v>
      </c>
      <c r="AM6" s="326">
        <v>0</v>
      </c>
      <c r="AN6" s="326">
        <v>0</v>
      </c>
      <c r="AO6" s="326">
        <v>0</v>
      </c>
      <c r="AP6" s="326">
        <v>0</v>
      </c>
      <c r="AQ6" s="326">
        <v>0</v>
      </c>
      <c r="AR6" s="326">
        <v>0</v>
      </c>
      <c r="AS6" s="326">
        <f t="shared" si="3"/>
        <v>0</v>
      </c>
      <c r="AT6" s="326">
        <v>0</v>
      </c>
      <c r="AU6" s="326">
        <v>0</v>
      </c>
      <c r="AV6" s="326">
        <v>0</v>
      </c>
      <c r="AW6" s="326">
        <v>0</v>
      </c>
      <c r="AX6" s="326">
        <v>0</v>
      </c>
      <c r="AY6" s="326">
        <v>0</v>
      </c>
      <c r="AZ6" s="326">
        <v>0</v>
      </c>
      <c r="BA6" s="326">
        <v>0</v>
      </c>
      <c r="BB6" s="326">
        <v>0</v>
      </c>
      <c r="BC6" s="326">
        <v>0</v>
      </c>
      <c r="BD6" s="326">
        <v>0</v>
      </c>
      <c r="BE6" s="326">
        <f t="shared" si="4"/>
        <v>0</v>
      </c>
      <c r="BF6" s="326">
        <v>0</v>
      </c>
      <c r="BG6" s="326">
        <v>0</v>
      </c>
      <c r="BH6" s="326">
        <v>0</v>
      </c>
      <c r="BI6" s="326">
        <v>0</v>
      </c>
      <c r="BJ6" s="326">
        <v>0</v>
      </c>
      <c r="BK6" s="326">
        <v>0</v>
      </c>
      <c r="BL6" s="326">
        <v>0</v>
      </c>
      <c r="BM6" s="326">
        <v>0</v>
      </c>
      <c r="BN6" s="326">
        <v>0</v>
      </c>
      <c r="BO6" s="326">
        <v>0</v>
      </c>
      <c r="BP6" s="326">
        <v>0</v>
      </c>
      <c r="BQ6" s="326">
        <f t="shared" si="5"/>
        <v>0</v>
      </c>
      <c r="BR6" s="326">
        <v>0</v>
      </c>
      <c r="BS6" s="326">
        <v>0</v>
      </c>
      <c r="BT6" s="326">
        <v>0</v>
      </c>
      <c r="BU6" s="326">
        <v>0</v>
      </c>
      <c r="BV6" s="326">
        <v>0</v>
      </c>
      <c r="BW6" s="326">
        <v>0</v>
      </c>
      <c r="BX6" s="326">
        <v>0</v>
      </c>
      <c r="BY6" s="326">
        <v>0</v>
      </c>
      <c r="BZ6" s="326">
        <v>0</v>
      </c>
      <c r="CA6" s="326">
        <v>0</v>
      </c>
      <c r="CB6" s="326">
        <v>0</v>
      </c>
      <c r="CC6" s="326">
        <f t="shared" si="6"/>
        <v>0</v>
      </c>
      <c r="CD6" s="329">
        <v>0</v>
      </c>
      <c r="CE6" s="329">
        <v>0</v>
      </c>
      <c r="CF6" s="329">
        <v>0</v>
      </c>
      <c r="CG6" s="329">
        <v>0</v>
      </c>
      <c r="CH6" s="329">
        <v>0</v>
      </c>
      <c r="CI6" s="329">
        <v>0</v>
      </c>
      <c r="CJ6" s="329">
        <v>0</v>
      </c>
      <c r="CK6" s="329">
        <v>0</v>
      </c>
      <c r="CL6" s="329">
        <v>0</v>
      </c>
      <c r="CM6" s="329">
        <v>0</v>
      </c>
      <c r="CN6" s="329">
        <v>0</v>
      </c>
      <c r="CO6" s="326">
        <f t="shared" si="7"/>
        <v>0</v>
      </c>
      <c r="CP6" s="329">
        <v>0</v>
      </c>
      <c r="CQ6" s="329">
        <v>0</v>
      </c>
      <c r="CR6" s="329">
        <v>0</v>
      </c>
      <c r="CS6" s="329">
        <v>0</v>
      </c>
      <c r="CT6" s="329">
        <v>0</v>
      </c>
      <c r="CU6" s="329">
        <v>0</v>
      </c>
      <c r="CV6" s="329">
        <v>0</v>
      </c>
      <c r="CW6" s="329">
        <v>0</v>
      </c>
      <c r="CX6" s="329">
        <v>0</v>
      </c>
      <c r="CY6" s="329">
        <v>0</v>
      </c>
      <c r="CZ6" s="329">
        <v>0</v>
      </c>
      <c r="DA6" s="326">
        <f t="shared" si="8"/>
        <v>0</v>
      </c>
      <c r="DB6" s="329">
        <v>0</v>
      </c>
      <c r="DC6" s="329">
        <v>0</v>
      </c>
      <c r="DD6" s="329">
        <v>0</v>
      </c>
      <c r="DE6" s="329">
        <v>0</v>
      </c>
      <c r="DF6" s="329">
        <v>0</v>
      </c>
      <c r="DG6" s="329">
        <v>0</v>
      </c>
      <c r="DH6" s="329">
        <v>0</v>
      </c>
      <c r="DI6" s="329">
        <v>0</v>
      </c>
      <c r="DJ6" s="329">
        <v>0</v>
      </c>
      <c r="DK6" s="329">
        <v>0</v>
      </c>
      <c r="DL6" s="329">
        <v>0</v>
      </c>
      <c r="DM6" s="326">
        <f t="shared" si="9"/>
        <v>0</v>
      </c>
      <c r="DN6" s="329">
        <v>0</v>
      </c>
      <c r="DO6" s="329">
        <v>0</v>
      </c>
      <c r="DP6" s="329">
        <v>0</v>
      </c>
      <c r="DQ6" s="329">
        <v>0</v>
      </c>
      <c r="DR6" s="329">
        <v>0</v>
      </c>
      <c r="DS6" s="329">
        <v>0</v>
      </c>
      <c r="DT6" s="329">
        <v>0</v>
      </c>
      <c r="DU6" s="329">
        <v>0</v>
      </c>
      <c r="DV6" s="329">
        <v>0</v>
      </c>
      <c r="DW6" s="329">
        <v>0</v>
      </c>
      <c r="DX6" s="329">
        <v>0</v>
      </c>
      <c r="DY6" s="326">
        <f t="shared" si="10"/>
        <v>0</v>
      </c>
      <c r="DZ6" s="329">
        <v>0</v>
      </c>
      <c r="EA6" s="329">
        <v>0</v>
      </c>
      <c r="EB6" s="329">
        <v>0</v>
      </c>
      <c r="EC6" s="329">
        <v>0</v>
      </c>
      <c r="ED6" s="329">
        <v>0</v>
      </c>
      <c r="EE6" s="329">
        <v>0</v>
      </c>
      <c r="EF6" s="329">
        <v>0</v>
      </c>
      <c r="EG6" s="329">
        <v>0</v>
      </c>
      <c r="EH6" s="329">
        <v>0</v>
      </c>
      <c r="EI6" s="329">
        <v>0</v>
      </c>
      <c r="EJ6" s="329">
        <v>0</v>
      </c>
      <c r="EK6" s="341">
        <f t="shared" si="11"/>
        <v>0</v>
      </c>
    </row>
    <row r="7" spans="1:141" ht="45" x14ac:dyDescent="0.25">
      <c r="A7" s="174"/>
      <c r="B7" s="380"/>
      <c r="C7" s="380"/>
      <c r="D7" s="380"/>
      <c r="E7" s="380" t="s">
        <v>1370</v>
      </c>
      <c r="F7" s="381" t="s">
        <v>1001</v>
      </c>
      <c r="G7" s="382"/>
      <c r="H7" s="382"/>
      <c r="I7" s="380" t="s">
        <v>1097</v>
      </c>
      <c r="J7" s="326">
        <f t="shared" si="0"/>
        <v>411305.6</v>
      </c>
      <c r="K7" s="326">
        <v>349367.32</v>
      </c>
      <c r="L7" s="326">
        <v>0</v>
      </c>
      <c r="M7" s="326">
        <v>0</v>
      </c>
      <c r="N7" s="326">
        <v>0</v>
      </c>
      <c r="O7" s="326">
        <v>0</v>
      </c>
      <c r="P7" s="326">
        <v>0</v>
      </c>
      <c r="Q7" s="326">
        <v>0</v>
      </c>
      <c r="R7" s="326">
        <v>0</v>
      </c>
      <c r="S7" s="326">
        <v>0</v>
      </c>
      <c r="T7" s="326">
        <v>57763.279999999984</v>
      </c>
      <c r="U7" s="326">
        <f t="shared" si="1"/>
        <v>407130.6</v>
      </c>
      <c r="V7" s="326">
        <f>20139.23+2775</f>
        <v>22914.23</v>
      </c>
      <c r="W7" s="326">
        <v>0</v>
      </c>
      <c r="X7" s="326">
        <v>0</v>
      </c>
      <c r="Y7" s="326">
        <v>0</v>
      </c>
      <c r="Z7" s="326">
        <v>0</v>
      </c>
      <c r="AA7" s="326">
        <v>0</v>
      </c>
      <c r="AB7" s="326">
        <v>0</v>
      </c>
      <c r="AC7" s="326">
        <v>0</v>
      </c>
      <c r="AD7" s="326">
        <v>0</v>
      </c>
      <c r="AE7" s="326">
        <v>0</v>
      </c>
      <c r="AF7" s="326">
        <f>-18739.23</f>
        <v>-18739.23</v>
      </c>
      <c r="AG7" s="326">
        <f t="shared" si="2"/>
        <v>4175</v>
      </c>
      <c r="AH7" s="326">
        <v>0</v>
      </c>
      <c r="AI7" s="326">
        <v>0</v>
      </c>
      <c r="AJ7" s="326">
        <v>0</v>
      </c>
      <c r="AK7" s="326">
        <v>0</v>
      </c>
      <c r="AL7" s="326">
        <v>0</v>
      </c>
      <c r="AM7" s="326">
        <v>0</v>
      </c>
      <c r="AN7" s="326">
        <v>0</v>
      </c>
      <c r="AO7" s="326">
        <v>0</v>
      </c>
      <c r="AP7" s="326">
        <v>0</v>
      </c>
      <c r="AQ7" s="326">
        <v>0</v>
      </c>
      <c r="AR7" s="326">
        <v>0</v>
      </c>
      <c r="AS7" s="326">
        <f t="shared" si="3"/>
        <v>0</v>
      </c>
      <c r="AT7" s="326">
        <v>0</v>
      </c>
      <c r="AU7" s="326">
        <v>0</v>
      </c>
      <c r="AV7" s="326">
        <v>0</v>
      </c>
      <c r="AW7" s="326">
        <v>0</v>
      </c>
      <c r="AX7" s="326">
        <v>0</v>
      </c>
      <c r="AY7" s="326">
        <v>0</v>
      </c>
      <c r="AZ7" s="326">
        <v>0</v>
      </c>
      <c r="BA7" s="326">
        <v>0</v>
      </c>
      <c r="BB7" s="326">
        <v>0</v>
      </c>
      <c r="BC7" s="326">
        <v>0</v>
      </c>
      <c r="BD7" s="326">
        <v>0</v>
      </c>
      <c r="BE7" s="326">
        <f t="shared" si="4"/>
        <v>0</v>
      </c>
      <c r="BF7" s="326">
        <v>0</v>
      </c>
      <c r="BG7" s="326">
        <v>0</v>
      </c>
      <c r="BH7" s="326">
        <v>0</v>
      </c>
      <c r="BI7" s="326">
        <v>0</v>
      </c>
      <c r="BJ7" s="326">
        <v>0</v>
      </c>
      <c r="BK7" s="326">
        <v>0</v>
      </c>
      <c r="BL7" s="326">
        <v>0</v>
      </c>
      <c r="BM7" s="326">
        <v>0</v>
      </c>
      <c r="BN7" s="326">
        <v>0</v>
      </c>
      <c r="BO7" s="326">
        <v>0</v>
      </c>
      <c r="BP7" s="326">
        <v>0</v>
      </c>
      <c r="BQ7" s="326">
        <f t="shared" si="5"/>
        <v>0</v>
      </c>
      <c r="BR7" s="326">
        <v>0</v>
      </c>
      <c r="BS7" s="326">
        <v>0</v>
      </c>
      <c r="BT7" s="326">
        <v>0</v>
      </c>
      <c r="BU7" s="326">
        <v>0</v>
      </c>
      <c r="BV7" s="326">
        <v>0</v>
      </c>
      <c r="BW7" s="326">
        <v>0</v>
      </c>
      <c r="BX7" s="326">
        <v>0</v>
      </c>
      <c r="BY7" s="326">
        <v>0</v>
      </c>
      <c r="BZ7" s="326">
        <v>0</v>
      </c>
      <c r="CA7" s="326">
        <v>0</v>
      </c>
      <c r="CB7" s="326">
        <v>0</v>
      </c>
      <c r="CC7" s="326">
        <f t="shared" si="6"/>
        <v>0</v>
      </c>
      <c r="CD7" s="329">
        <v>0</v>
      </c>
      <c r="CE7" s="329">
        <v>0</v>
      </c>
      <c r="CF7" s="329">
        <v>0</v>
      </c>
      <c r="CG7" s="329">
        <v>0</v>
      </c>
      <c r="CH7" s="329">
        <v>0</v>
      </c>
      <c r="CI7" s="329">
        <v>0</v>
      </c>
      <c r="CJ7" s="329">
        <v>0</v>
      </c>
      <c r="CK7" s="329">
        <v>0</v>
      </c>
      <c r="CL7" s="329">
        <v>0</v>
      </c>
      <c r="CM7" s="329">
        <v>0</v>
      </c>
      <c r="CN7" s="329">
        <v>0</v>
      </c>
      <c r="CO7" s="326">
        <f t="shared" si="7"/>
        <v>0</v>
      </c>
      <c r="CP7" s="329">
        <v>0</v>
      </c>
      <c r="CQ7" s="329">
        <v>0</v>
      </c>
      <c r="CR7" s="329">
        <v>0</v>
      </c>
      <c r="CS7" s="329">
        <v>0</v>
      </c>
      <c r="CT7" s="329">
        <v>0</v>
      </c>
      <c r="CU7" s="329">
        <v>0</v>
      </c>
      <c r="CV7" s="329">
        <v>0</v>
      </c>
      <c r="CW7" s="329">
        <v>0</v>
      </c>
      <c r="CX7" s="329">
        <v>0</v>
      </c>
      <c r="CY7" s="329">
        <v>0</v>
      </c>
      <c r="CZ7" s="329">
        <v>0</v>
      </c>
      <c r="DA7" s="326">
        <f t="shared" si="8"/>
        <v>0</v>
      </c>
      <c r="DB7" s="329">
        <v>0</v>
      </c>
      <c r="DC7" s="329">
        <v>0</v>
      </c>
      <c r="DD7" s="329">
        <v>0</v>
      </c>
      <c r="DE7" s="329">
        <v>0</v>
      </c>
      <c r="DF7" s="329">
        <v>0</v>
      </c>
      <c r="DG7" s="329">
        <v>0</v>
      </c>
      <c r="DH7" s="329">
        <v>0</v>
      </c>
      <c r="DI7" s="329">
        <v>0</v>
      </c>
      <c r="DJ7" s="329">
        <v>0</v>
      </c>
      <c r="DK7" s="329">
        <v>0</v>
      </c>
      <c r="DL7" s="329">
        <v>0</v>
      </c>
      <c r="DM7" s="326">
        <f t="shared" si="9"/>
        <v>0</v>
      </c>
      <c r="DN7" s="329">
        <v>0</v>
      </c>
      <c r="DO7" s="329">
        <v>0</v>
      </c>
      <c r="DP7" s="329">
        <v>0</v>
      </c>
      <c r="DQ7" s="329">
        <v>0</v>
      </c>
      <c r="DR7" s="329">
        <v>0</v>
      </c>
      <c r="DS7" s="329">
        <v>0</v>
      </c>
      <c r="DT7" s="329">
        <v>0</v>
      </c>
      <c r="DU7" s="329">
        <v>0</v>
      </c>
      <c r="DV7" s="329">
        <v>0</v>
      </c>
      <c r="DW7" s="329">
        <v>0</v>
      </c>
      <c r="DX7" s="329">
        <v>0</v>
      </c>
      <c r="DY7" s="326">
        <f t="shared" si="10"/>
        <v>0</v>
      </c>
      <c r="DZ7" s="329">
        <v>0</v>
      </c>
      <c r="EA7" s="329">
        <v>0</v>
      </c>
      <c r="EB7" s="329">
        <v>0</v>
      </c>
      <c r="EC7" s="329">
        <v>0</v>
      </c>
      <c r="ED7" s="329">
        <v>0</v>
      </c>
      <c r="EE7" s="329">
        <v>0</v>
      </c>
      <c r="EF7" s="329">
        <v>0</v>
      </c>
      <c r="EG7" s="329">
        <v>0</v>
      </c>
      <c r="EH7" s="329">
        <v>0</v>
      </c>
      <c r="EI7" s="329">
        <v>0</v>
      </c>
      <c r="EJ7" s="329">
        <v>0</v>
      </c>
      <c r="EK7" s="341">
        <f t="shared" si="11"/>
        <v>0</v>
      </c>
    </row>
    <row r="8" spans="1:141" ht="45" x14ac:dyDescent="0.25">
      <c r="A8" s="174"/>
      <c r="B8" s="380"/>
      <c r="C8" s="380"/>
      <c r="D8" s="380"/>
      <c r="E8" s="380" t="s">
        <v>1371</v>
      </c>
      <c r="F8" s="381" t="s">
        <v>1002</v>
      </c>
      <c r="G8" s="382"/>
      <c r="H8" s="382"/>
      <c r="I8" s="380" t="s">
        <v>1097</v>
      </c>
      <c r="J8" s="326">
        <f t="shared" si="0"/>
        <v>412369.86</v>
      </c>
      <c r="K8" s="326">
        <v>30375</v>
      </c>
      <c r="L8" s="326">
        <v>0</v>
      </c>
      <c r="M8" s="326">
        <v>0</v>
      </c>
      <c r="N8" s="326">
        <v>0</v>
      </c>
      <c r="O8" s="326">
        <v>0</v>
      </c>
      <c r="P8" s="326">
        <v>0</v>
      </c>
      <c r="Q8" s="326">
        <v>0</v>
      </c>
      <c r="R8" s="326">
        <v>0</v>
      </c>
      <c r="S8" s="326">
        <v>0</v>
      </c>
      <c r="T8" s="326">
        <v>0</v>
      </c>
      <c r="U8" s="326">
        <f t="shared" si="1"/>
        <v>30375</v>
      </c>
      <c r="V8" s="326">
        <f>375778.6+1128.76+5087.5</f>
        <v>381994.86</v>
      </c>
      <c r="W8" s="326">
        <v>0</v>
      </c>
      <c r="X8" s="326">
        <v>0</v>
      </c>
      <c r="Y8" s="326">
        <v>0</v>
      </c>
      <c r="Z8" s="326">
        <v>0</v>
      </c>
      <c r="AA8" s="326">
        <v>0</v>
      </c>
      <c r="AB8" s="326">
        <v>0</v>
      </c>
      <c r="AC8" s="326">
        <v>0</v>
      </c>
      <c r="AD8" s="326">
        <v>0</v>
      </c>
      <c r="AE8" s="326">
        <v>0</v>
      </c>
      <c r="AF8" s="326">
        <v>0</v>
      </c>
      <c r="AG8" s="326">
        <f t="shared" si="2"/>
        <v>381994.86</v>
      </c>
      <c r="AH8" s="326">
        <v>0</v>
      </c>
      <c r="AI8" s="326">
        <v>0</v>
      </c>
      <c r="AJ8" s="326">
        <v>0</v>
      </c>
      <c r="AK8" s="326">
        <v>0</v>
      </c>
      <c r="AL8" s="326">
        <v>0</v>
      </c>
      <c r="AM8" s="326">
        <v>0</v>
      </c>
      <c r="AN8" s="326">
        <v>0</v>
      </c>
      <c r="AO8" s="326">
        <v>0</v>
      </c>
      <c r="AP8" s="326">
        <v>0</v>
      </c>
      <c r="AQ8" s="326">
        <v>0</v>
      </c>
      <c r="AR8" s="326">
        <v>0</v>
      </c>
      <c r="AS8" s="326">
        <f t="shared" si="3"/>
        <v>0</v>
      </c>
      <c r="AT8" s="326">
        <v>0</v>
      </c>
      <c r="AU8" s="326">
        <v>0</v>
      </c>
      <c r="AV8" s="326">
        <v>0</v>
      </c>
      <c r="AW8" s="326">
        <v>0</v>
      </c>
      <c r="AX8" s="326">
        <v>0</v>
      </c>
      <c r="AY8" s="326">
        <v>0</v>
      </c>
      <c r="AZ8" s="326">
        <v>0</v>
      </c>
      <c r="BA8" s="326">
        <v>0</v>
      </c>
      <c r="BB8" s="326">
        <v>0</v>
      </c>
      <c r="BC8" s="326">
        <v>0</v>
      </c>
      <c r="BD8" s="326">
        <v>0</v>
      </c>
      <c r="BE8" s="326">
        <f t="shared" si="4"/>
        <v>0</v>
      </c>
      <c r="BF8" s="326">
        <v>0</v>
      </c>
      <c r="BG8" s="326">
        <v>0</v>
      </c>
      <c r="BH8" s="326">
        <v>0</v>
      </c>
      <c r="BI8" s="326">
        <v>0</v>
      </c>
      <c r="BJ8" s="326">
        <v>0</v>
      </c>
      <c r="BK8" s="326">
        <v>0</v>
      </c>
      <c r="BL8" s="326">
        <v>0</v>
      </c>
      <c r="BM8" s="326">
        <v>0</v>
      </c>
      <c r="BN8" s="326">
        <v>0</v>
      </c>
      <c r="BO8" s="326">
        <v>0</v>
      </c>
      <c r="BP8" s="326">
        <v>0</v>
      </c>
      <c r="BQ8" s="326">
        <f t="shared" si="5"/>
        <v>0</v>
      </c>
      <c r="BR8" s="326">
        <v>0</v>
      </c>
      <c r="BS8" s="326">
        <v>0</v>
      </c>
      <c r="BT8" s="326">
        <v>0</v>
      </c>
      <c r="BU8" s="326">
        <v>0</v>
      </c>
      <c r="BV8" s="326">
        <v>0</v>
      </c>
      <c r="BW8" s="326">
        <v>0</v>
      </c>
      <c r="BX8" s="326">
        <v>0</v>
      </c>
      <c r="BY8" s="326">
        <v>0</v>
      </c>
      <c r="BZ8" s="326">
        <v>0</v>
      </c>
      <c r="CA8" s="326">
        <v>0</v>
      </c>
      <c r="CB8" s="326">
        <v>0</v>
      </c>
      <c r="CC8" s="326">
        <f t="shared" si="6"/>
        <v>0</v>
      </c>
      <c r="CD8" s="329">
        <v>0</v>
      </c>
      <c r="CE8" s="329">
        <v>0</v>
      </c>
      <c r="CF8" s="329">
        <v>0</v>
      </c>
      <c r="CG8" s="329">
        <v>0</v>
      </c>
      <c r="CH8" s="329">
        <v>0</v>
      </c>
      <c r="CI8" s="329">
        <v>0</v>
      </c>
      <c r="CJ8" s="329">
        <v>0</v>
      </c>
      <c r="CK8" s="329">
        <v>0</v>
      </c>
      <c r="CL8" s="329">
        <v>0</v>
      </c>
      <c r="CM8" s="329">
        <v>0</v>
      </c>
      <c r="CN8" s="329">
        <v>0</v>
      </c>
      <c r="CO8" s="326">
        <f t="shared" si="7"/>
        <v>0</v>
      </c>
      <c r="CP8" s="329">
        <v>0</v>
      </c>
      <c r="CQ8" s="329">
        <v>0</v>
      </c>
      <c r="CR8" s="329">
        <v>0</v>
      </c>
      <c r="CS8" s="329">
        <v>0</v>
      </c>
      <c r="CT8" s="329">
        <v>0</v>
      </c>
      <c r="CU8" s="329">
        <v>0</v>
      </c>
      <c r="CV8" s="329">
        <v>0</v>
      </c>
      <c r="CW8" s="329">
        <v>0</v>
      </c>
      <c r="CX8" s="329">
        <v>0</v>
      </c>
      <c r="CY8" s="329">
        <v>0</v>
      </c>
      <c r="CZ8" s="329">
        <v>0</v>
      </c>
      <c r="DA8" s="326">
        <f t="shared" si="8"/>
        <v>0</v>
      </c>
      <c r="DB8" s="329">
        <v>0</v>
      </c>
      <c r="DC8" s="329">
        <v>0</v>
      </c>
      <c r="DD8" s="329">
        <v>0</v>
      </c>
      <c r="DE8" s="329">
        <v>0</v>
      </c>
      <c r="DF8" s="329">
        <v>0</v>
      </c>
      <c r="DG8" s="329">
        <v>0</v>
      </c>
      <c r="DH8" s="329">
        <v>0</v>
      </c>
      <c r="DI8" s="329">
        <v>0</v>
      </c>
      <c r="DJ8" s="329">
        <v>0</v>
      </c>
      <c r="DK8" s="329">
        <v>0</v>
      </c>
      <c r="DL8" s="329">
        <v>0</v>
      </c>
      <c r="DM8" s="326">
        <f t="shared" si="9"/>
        <v>0</v>
      </c>
      <c r="DN8" s="329">
        <v>0</v>
      </c>
      <c r="DO8" s="329">
        <v>0</v>
      </c>
      <c r="DP8" s="329">
        <v>0</v>
      </c>
      <c r="DQ8" s="329">
        <v>0</v>
      </c>
      <c r="DR8" s="329">
        <v>0</v>
      </c>
      <c r="DS8" s="329">
        <v>0</v>
      </c>
      <c r="DT8" s="329">
        <v>0</v>
      </c>
      <c r="DU8" s="329">
        <v>0</v>
      </c>
      <c r="DV8" s="329">
        <v>0</v>
      </c>
      <c r="DW8" s="329">
        <v>0</v>
      </c>
      <c r="DX8" s="329">
        <v>0</v>
      </c>
      <c r="DY8" s="326">
        <f t="shared" si="10"/>
        <v>0</v>
      </c>
      <c r="DZ8" s="329">
        <v>0</v>
      </c>
      <c r="EA8" s="329">
        <v>0</v>
      </c>
      <c r="EB8" s="329">
        <v>0</v>
      </c>
      <c r="EC8" s="329">
        <v>0</v>
      </c>
      <c r="ED8" s="329">
        <v>0</v>
      </c>
      <c r="EE8" s="329">
        <v>0</v>
      </c>
      <c r="EF8" s="329">
        <v>0</v>
      </c>
      <c r="EG8" s="329">
        <v>0</v>
      </c>
      <c r="EH8" s="329">
        <v>0</v>
      </c>
      <c r="EI8" s="329">
        <v>0</v>
      </c>
      <c r="EJ8" s="329">
        <v>0</v>
      </c>
      <c r="EK8" s="341">
        <f t="shared" si="11"/>
        <v>0</v>
      </c>
    </row>
    <row r="9" spans="1:141" ht="60" x14ac:dyDescent="0.25">
      <c r="A9" s="174"/>
      <c r="B9" s="380"/>
      <c r="C9" s="380"/>
      <c r="D9" s="380"/>
      <c r="E9" s="380" t="s">
        <v>1372</v>
      </c>
      <c r="F9" s="381" t="s">
        <v>1003</v>
      </c>
      <c r="G9" s="382"/>
      <c r="H9" s="382"/>
      <c r="I9" s="380" t="s">
        <v>1097</v>
      </c>
      <c r="J9" s="326">
        <f t="shared" si="0"/>
        <v>347600</v>
      </c>
      <c r="K9" s="326">
        <v>313035</v>
      </c>
      <c r="L9" s="326">
        <v>0</v>
      </c>
      <c r="M9" s="326">
        <v>0</v>
      </c>
      <c r="N9" s="326">
        <v>0</v>
      </c>
      <c r="O9" s="326">
        <v>0</v>
      </c>
      <c r="P9" s="326">
        <v>0</v>
      </c>
      <c r="Q9" s="326">
        <v>0</v>
      </c>
      <c r="R9" s="326">
        <v>0</v>
      </c>
      <c r="S9" s="326">
        <v>0</v>
      </c>
      <c r="T9" s="326">
        <v>34565.000000000007</v>
      </c>
      <c r="U9" s="326">
        <f t="shared" si="1"/>
        <v>347600</v>
      </c>
      <c r="V9" s="326">
        <v>0</v>
      </c>
      <c r="W9" s="326">
        <v>0</v>
      </c>
      <c r="X9" s="326">
        <v>0</v>
      </c>
      <c r="Y9" s="326">
        <v>0</v>
      </c>
      <c r="Z9" s="326">
        <v>0</v>
      </c>
      <c r="AA9" s="326">
        <v>0</v>
      </c>
      <c r="AB9" s="326">
        <v>0</v>
      </c>
      <c r="AC9" s="326">
        <v>0</v>
      </c>
      <c r="AD9" s="326">
        <v>0</v>
      </c>
      <c r="AE9" s="326">
        <v>0</v>
      </c>
      <c r="AF9" s="326">
        <v>0</v>
      </c>
      <c r="AG9" s="326">
        <f t="shared" si="2"/>
        <v>0</v>
      </c>
      <c r="AH9" s="326">
        <v>0</v>
      </c>
      <c r="AI9" s="326">
        <v>0</v>
      </c>
      <c r="AJ9" s="326">
        <v>0</v>
      </c>
      <c r="AK9" s="326">
        <v>0</v>
      </c>
      <c r="AL9" s="326">
        <v>0</v>
      </c>
      <c r="AM9" s="326">
        <v>0</v>
      </c>
      <c r="AN9" s="326">
        <v>0</v>
      </c>
      <c r="AO9" s="326">
        <v>0</v>
      </c>
      <c r="AP9" s="326">
        <v>0</v>
      </c>
      <c r="AQ9" s="326">
        <v>0</v>
      </c>
      <c r="AR9" s="326">
        <v>0</v>
      </c>
      <c r="AS9" s="326">
        <f t="shared" si="3"/>
        <v>0</v>
      </c>
      <c r="AT9" s="326">
        <v>0</v>
      </c>
      <c r="AU9" s="326">
        <v>0</v>
      </c>
      <c r="AV9" s="326">
        <v>0</v>
      </c>
      <c r="AW9" s="326">
        <v>0</v>
      </c>
      <c r="AX9" s="326">
        <v>0</v>
      </c>
      <c r="AY9" s="326">
        <v>0</v>
      </c>
      <c r="AZ9" s="326">
        <v>0</v>
      </c>
      <c r="BA9" s="326">
        <v>0</v>
      </c>
      <c r="BB9" s="326">
        <v>0</v>
      </c>
      <c r="BC9" s="326">
        <v>0</v>
      </c>
      <c r="BD9" s="326">
        <v>0</v>
      </c>
      <c r="BE9" s="326">
        <f t="shared" si="4"/>
        <v>0</v>
      </c>
      <c r="BF9" s="326">
        <v>0</v>
      </c>
      <c r="BG9" s="326">
        <v>0</v>
      </c>
      <c r="BH9" s="326">
        <v>0</v>
      </c>
      <c r="BI9" s="326">
        <v>0</v>
      </c>
      <c r="BJ9" s="326">
        <v>0</v>
      </c>
      <c r="BK9" s="326">
        <v>0</v>
      </c>
      <c r="BL9" s="326">
        <v>0</v>
      </c>
      <c r="BM9" s="326">
        <v>0</v>
      </c>
      <c r="BN9" s="326">
        <v>0</v>
      </c>
      <c r="BO9" s="326">
        <v>0</v>
      </c>
      <c r="BP9" s="326">
        <v>0</v>
      </c>
      <c r="BQ9" s="326">
        <f t="shared" si="5"/>
        <v>0</v>
      </c>
      <c r="BR9" s="326">
        <v>0</v>
      </c>
      <c r="BS9" s="326">
        <v>0</v>
      </c>
      <c r="BT9" s="326">
        <v>0</v>
      </c>
      <c r="BU9" s="326">
        <v>0</v>
      </c>
      <c r="BV9" s="326">
        <v>0</v>
      </c>
      <c r="BW9" s="326">
        <v>0</v>
      </c>
      <c r="BX9" s="326">
        <v>0</v>
      </c>
      <c r="BY9" s="326">
        <v>0</v>
      </c>
      <c r="BZ9" s="326">
        <v>0</v>
      </c>
      <c r="CA9" s="326">
        <v>0</v>
      </c>
      <c r="CB9" s="326">
        <v>0</v>
      </c>
      <c r="CC9" s="326">
        <f t="shared" si="6"/>
        <v>0</v>
      </c>
      <c r="CD9" s="329">
        <v>0</v>
      </c>
      <c r="CE9" s="329">
        <v>0</v>
      </c>
      <c r="CF9" s="329">
        <v>0</v>
      </c>
      <c r="CG9" s="329">
        <v>0</v>
      </c>
      <c r="CH9" s="329">
        <v>0</v>
      </c>
      <c r="CI9" s="329">
        <v>0</v>
      </c>
      <c r="CJ9" s="329">
        <v>0</v>
      </c>
      <c r="CK9" s="329">
        <v>0</v>
      </c>
      <c r="CL9" s="329">
        <v>0</v>
      </c>
      <c r="CM9" s="329">
        <v>0</v>
      </c>
      <c r="CN9" s="329">
        <v>0</v>
      </c>
      <c r="CO9" s="326">
        <f t="shared" si="7"/>
        <v>0</v>
      </c>
      <c r="CP9" s="329">
        <v>0</v>
      </c>
      <c r="CQ9" s="329">
        <v>0</v>
      </c>
      <c r="CR9" s="329">
        <v>0</v>
      </c>
      <c r="CS9" s="329">
        <v>0</v>
      </c>
      <c r="CT9" s="329">
        <v>0</v>
      </c>
      <c r="CU9" s="329">
        <v>0</v>
      </c>
      <c r="CV9" s="329">
        <v>0</v>
      </c>
      <c r="CW9" s="329">
        <v>0</v>
      </c>
      <c r="CX9" s="329">
        <v>0</v>
      </c>
      <c r="CY9" s="329">
        <v>0</v>
      </c>
      <c r="CZ9" s="329">
        <v>0</v>
      </c>
      <c r="DA9" s="326">
        <f t="shared" si="8"/>
        <v>0</v>
      </c>
      <c r="DB9" s="329">
        <v>0</v>
      </c>
      <c r="DC9" s="329">
        <v>0</v>
      </c>
      <c r="DD9" s="329">
        <v>0</v>
      </c>
      <c r="DE9" s="329">
        <v>0</v>
      </c>
      <c r="DF9" s="329">
        <v>0</v>
      </c>
      <c r="DG9" s="329">
        <v>0</v>
      </c>
      <c r="DH9" s="329">
        <v>0</v>
      </c>
      <c r="DI9" s="329">
        <v>0</v>
      </c>
      <c r="DJ9" s="329">
        <v>0</v>
      </c>
      <c r="DK9" s="329">
        <v>0</v>
      </c>
      <c r="DL9" s="329">
        <v>0</v>
      </c>
      <c r="DM9" s="326">
        <f t="shared" si="9"/>
        <v>0</v>
      </c>
      <c r="DN9" s="329">
        <v>0</v>
      </c>
      <c r="DO9" s="329">
        <v>0</v>
      </c>
      <c r="DP9" s="329">
        <v>0</v>
      </c>
      <c r="DQ9" s="329">
        <v>0</v>
      </c>
      <c r="DR9" s="329">
        <v>0</v>
      </c>
      <c r="DS9" s="329">
        <v>0</v>
      </c>
      <c r="DT9" s="329">
        <v>0</v>
      </c>
      <c r="DU9" s="329">
        <v>0</v>
      </c>
      <c r="DV9" s="329">
        <v>0</v>
      </c>
      <c r="DW9" s="329">
        <v>0</v>
      </c>
      <c r="DX9" s="329">
        <v>0</v>
      </c>
      <c r="DY9" s="326">
        <f t="shared" si="10"/>
        <v>0</v>
      </c>
      <c r="DZ9" s="329">
        <v>0</v>
      </c>
      <c r="EA9" s="329">
        <v>0</v>
      </c>
      <c r="EB9" s="329">
        <v>0</v>
      </c>
      <c r="EC9" s="329">
        <v>0</v>
      </c>
      <c r="ED9" s="329">
        <v>0</v>
      </c>
      <c r="EE9" s="329">
        <v>0</v>
      </c>
      <c r="EF9" s="329">
        <v>0</v>
      </c>
      <c r="EG9" s="329">
        <v>0</v>
      </c>
      <c r="EH9" s="329">
        <v>0</v>
      </c>
      <c r="EI9" s="329">
        <v>0</v>
      </c>
      <c r="EJ9" s="329">
        <v>0</v>
      </c>
      <c r="EK9" s="341">
        <f t="shared" si="11"/>
        <v>0</v>
      </c>
    </row>
    <row r="10" spans="1:141" ht="75" x14ac:dyDescent="0.25">
      <c r="A10" s="174"/>
      <c r="B10" s="380"/>
      <c r="C10" s="380"/>
      <c r="D10" s="380"/>
      <c r="E10" s="380" t="s">
        <v>1373</v>
      </c>
      <c r="F10" s="381" t="s">
        <v>1004</v>
      </c>
      <c r="G10" s="382"/>
      <c r="H10" s="382"/>
      <c r="I10" s="380" t="s">
        <v>1097</v>
      </c>
      <c r="J10" s="326">
        <f t="shared" si="0"/>
        <v>451458.68999999994</v>
      </c>
      <c r="K10" s="326">
        <v>0</v>
      </c>
      <c r="L10" s="326">
        <v>0</v>
      </c>
      <c r="M10" s="326">
        <v>0</v>
      </c>
      <c r="N10" s="326">
        <v>0</v>
      </c>
      <c r="O10" s="326">
        <v>0</v>
      </c>
      <c r="P10" s="326">
        <v>0</v>
      </c>
      <c r="Q10" s="326">
        <v>0</v>
      </c>
      <c r="R10" s="326">
        <v>0</v>
      </c>
      <c r="S10" s="326">
        <v>0</v>
      </c>
      <c r="T10" s="326">
        <v>31088</v>
      </c>
      <c r="U10" s="326">
        <f t="shared" si="1"/>
        <v>31088</v>
      </c>
      <c r="V10" s="326">
        <v>96899.65</v>
      </c>
      <c r="W10" s="326">
        <v>0</v>
      </c>
      <c r="X10" s="326">
        <v>0</v>
      </c>
      <c r="Y10" s="326">
        <v>0</v>
      </c>
      <c r="Z10" s="326">
        <v>0</v>
      </c>
      <c r="AA10" s="326">
        <v>0</v>
      </c>
      <c r="AB10" s="326">
        <v>0</v>
      </c>
      <c r="AC10" s="326">
        <v>0</v>
      </c>
      <c r="AD10" s="326">
        <v>0</v>
      </c>
      <c r="AE10" s="326">
        <v>0</v>
      </c>
      <c r="AF10" s="326">
        <v>323471.03999999998</v>
      </c>
      <c r="AG10" s="326">
        <f t="shared" si="2"/>
        <v>420370.68999999994</v>
      </c>
      <c r="AH10" s="326">
        <v>0</v>
      </c>
      <c r="AI10" s="326">
        <v>0</v>
      </c>
      <c r="AJ10" s="326">
        <v>0</v>
      </c>
      <c r="AK10" s="326">
        <v>0</v>
      </c>
      <c r="AL10" s="326">
        <v>0</v>
      </c>
      <c r="AM10" s="326">
        <v>0</v>
      </c>
      <c r="AN10" s="326">
        <v>0</v>
      </c>
      <c r="AO10" s="326">
        <v>0</v>
      </c>
      <c r="AP10" s="326">
        <v>0</v>
      </c>
      <c r="AQ10" s="326">
        <v>0</v>
      </c>
      <c r="AR10" s="326">
        <v>0</v>
      </c>
      <c r="AS10" s="326">
        <f t="shared" si="3"/>
        <v>0</v>
      </c>
      <c r="AT10" s="326">
        <v>0</v>
      </c>
      <c r="AU10" s="326">
        <v>0</v>
      </c>
      <c r="AV10" s="326">
        <v>0</v>
      </c>
      <c r="AW10" s="326">
        <v>0</v>
      </c>
      <c r="AX10" s="326">
        <v>0</v>
      </c>
      <c r="AY10" s="326">
        <v>0</v>
      </c>
      <c r="AZ10" s="326">
        <v>0</v>
      </c>
      <c r="BA10" s="326">
        <v>0</v>
      </c>
      <c r="BB10" s="326">
        <v>0</v>
      </c>
      <c r="BC10" s="326">
        <v>0</v>
      </c>
      <c r="BD10" s="326">
        <v>0</v>
      </c>
      <c r="BE10" s="326">
        <f t="shared" si="4"/>
        <v>0</v>
      </c>
      <c r="BF10" s="326">
        <v>0</v>
      </c>
      <c r="BG10" s="326">
        <v>0</v>
      </c>
      <c r="BH10" s="326">
        <v>0</v>
      </c>
      <c r="BI10" s="326">
        <v>0</v>
      </c>
      <c r="BJ10" s="326">
        <v>0</v>
      </c>
      <c r="BK10" s="326">
        <v>0</v>
      </c>
      <c r="BL10" s="326">
        <v>0</v>
      </c>
      <c r="BM10" s="326">
        <v>0</v>
      </c>
      <c r="BN10" s="326">
        <v>0</v>
      </c>
      <c r="BO10" s="326">
        <v>0</v>
      </c>
      <c r="BP10" s="326">
        <v>0</v>
      </c>
      <c r="BQ10" s="326">
        <f t="shared" si="5"/>
        <v>0</v>
      </c>
      <c r="BR10" s="326">
        <v>0</v>
      </c>
      <c r="BS10" s="326">
        <v>0</v>
      </c>
      <c r="BT10" s="326">
        <v>0</v>
      </c>
      <c r="BU10" s="326">
        <v>0</v>
      </c>
      <c r="BV10" s="326">
        <v>0</v>
      </c>
      <c r="BW10" s="326">
        <v>0</v>
      </c>
      <c r="BX10" s="326">
        <v>0</v>
      </c>
      <c r="BY10" s="326">
        <v>0</v>
      </c>
      <c r="BZ10" s="326">
        <v>0</v>
      </c>
      <c r="CA10" s="326">
        <v>0</v>
      </c>
      <c r="CB10" s="326">
        <v>0</v>
      </c>
      <c r="CC10" s="326">
        <f t="shared" si="6"/>
        <v>0</v>
      </c>
      <c r="CD10" s="329">
        <v>0</v>
      </c>
      <c r="CE10" s="329">
        <v>0</v>
      </c>
      <c r="CF10" s="329">
        <v>0</v>
      </c>
      <c r="CG10" s="329">
        <v>0</v>
      </c>
      <c r="CH10" s="329">
        <v>0</v>
      </c>
      <c r="CI10" s="329">
        <v>0</v>
      </c>
      <c r="CJ10" s="329">
        <v>0</v>
      </c>
      <c r="CK10" s="329">
        <v>0</v>
      </c>
      <c r="CL10" s="329">
        <v>0</v>
      </c>
      <c r="CM10" s="329">
        <v>0</v>
      </c>
      <c r="CN10" s="329">
        <v>0</v>
      </c>
      <c r="CO10" s="326">
        <f t="shared" si="7"/>
        <v>0</v>
      </c>
      <c r="CP10" s="329">
        <v>0</v>
      </c>
      <c r="CQ10" s="329">
        <v>0</v>
      </c>
      <c r="CR10" s="329">
        <v>0</v>
      </c>
      <c r="CS10" s="329">
        <v>0</v>
      </c>
      <c r="CT10" s="329">
        <v>0</v>
      </c>
      <c r="CU10" s="329">
        <v>0</v>
      </c>
      <c r="CV10" s="329">
        <v>0</v>
      </c>
      <c r="CW10" s="329">
        <v>0</v>
      </c>
      <c r="CX10" s="329">
        <v>0</v>
      </c>
      <c r="CY10" s="329">
        <v>0</v>
      </c>
      <c r="CZ10" s="329">
        <v>0</v>
      </c>
      <c r="DA10" s="326">
        <f t="shared" si="8"/>
        <v>0</v>
      </c>
      <c r="DB10" s="329">
        <v>0</v>
      </c>
      <c r="DC10" s="329">
        <v>0</v>
      </c>
      <c r="DD10" s="329">
        <v>0</v>
      </c>
      <c r="DE10" s="329">
        <v>0</v>
      </c>
      <c r="DF10" s="329">
        <v>0</v>
      </c>
      <c r="DG10" s="329">
        <v>0</v>
      </c>
      <c r="DH10" s="329">
        <v>0</v>
      </c>
      <c r="DI10" s="329">
        <v>0</v>
      </c>
      <c r="DJ10" s="329">
        <v>0</v>
      </c>
      <c r="DK10" s="329">
        <v>0</v>
      </c>
      <c r="DL10" s="329">
        <v>0</v>
      </c>
      <c r="DM10" s="326">
        <f t="shared" si="9"/>
        <v>0</v>
      </c>
      <c r="DN10" s="329">
        <v>0</v>
      </c>
      <c r="DO10" s="329">
        <v>0</v>
      </c>
      <c r="DP10" s="329">
        <v>0</v>
      </c>
      <c r="DQ10" s="329">
        <v>0</v>
      </c>
      <c r="DR10" s="329">
        <v>0</v>
      </c>
      <c r="DS10" s="329">
        <v>0</v>
      </c>
      <c r="DT10" s="329">
        <v>0</v>
      </c>
      <c r="DU10" s="329">
        <v>0</v>
      </c>
      <c r="DV10" s="329">
        <v>0</v>
      </c>
      <c r="DW10" s="329">
        <v>0</v>
      </c>
      <c r="DX10" s="329">
        <v>0</v>
      </c>
      <c r="DY10" s="326">
        <f t="shared" si="10"/>
        <v>0</v>
      </c>
      <c r="DZ10" s="329">
        <v>0</v>
      </c>
      <c r="EA10" s="329">
        <v>0</v>
      </c>
      <c r="EB10" s="329">
        <v>0</v>
      </c>
      <c r="EC10" s="329">
        <v>0</v>
      </c>
      <c r="ED10" s="329">
        <v>0</v>
      </c>
      <c r="EE10" s="329">
        <v>0</v>
      </c>
      <c r="EF10" s="329">
        <v>0</v>
      </c>
      <c r="EG10" s="329">
        <v>0</v>
      </c>
      <c r="EH10" s="329">
        <v>0</v>
      </c>
      <c r="EI10" s="329">
        <v>0</v>
      </c>
      <c r="EJ10" s="329">
        <v>0</v>
      </c>
      <c r="EK10" s="341">
        <f t="shared" si="11"/>
        <v>0</v>
      </c>
    </row>
    <row r="11" spans="1:141" ht="30" x14ac:dyDescent="0.25">
      <c r="A11" s="384"/>
      <c r="B11" s="380"/>
      <c r="C11" s="380"/>
      <c r="D11" s="380"/>
      <c r="E11" s="380" t="s">
        <v>1374</v>
      </c>
      <c r="F11" s="381" t="s">
        <v>1045</v>
      </c>
      <c r="G11" s="382" t="s">
        <v>923</v>
      </c>
      <c r="H11" s="382"/>
      <c r="I11" s="380" t="s">
        <v>1005</v>
      </c>
      <c r="J11" s="326">
        <f t="shared" si="0"/>
        <v>414453.8</v>
      </c>
      <c r="K11" s="326">
        <v>0</v>
      </c>
      <c r="L11" s="326">
        <v>0</v>
      </c>
      <c r="M11" s="326">
        <v>0</v>
      </c>
      <c r="N11" s="326">
        <v>0</v>
      </c>
      <c r="O11" s="326">
        <v>0</v>
      </c>
      <c r="P11" s="326">
        <v>0</v>
      </c>
      <c r="Q11" s="326">
        <v>0</v>
      </c>
      <c r="R11" s="326">
        <v>0</v>
      </c>
      <c r="S11" s="326">
        <v>0</v>
      </c>
      <c r="T11" s="326">
        <v>233536.46</v>
      </c>
      <c r="U11" s="326">
        <f t="shared" si="1"/>
        <v>233536.46</v>
      </c>
      <c r="V11" s="326">
        <v>0</v>
      </c>
      <c r="W11" s="326">
        <v>0</v>
      </c>
      <c r="X11" s="326">
        <v>0</v>
      </c>
      <c r="Y11" s="326">
        <v>0</v>
      </c>
      <c r="Z11" s="326">
        <v>0</v>
      </c>
      <c r="AA11" s="326">
        <v>0</v>
      </c>
      <c r="AB11" s="326">
        <v>0</v>
      </c>
      <c r="AC11" s="326">
        <v>0</v>
      </c>
      <c r="AD11" s="326">
        <v>0</v>
      </c>
      <c r="AE11" s="326">
        <v>0</v>
      </c>
      <c r="AF11" s="326">
        <v>0</v>
      </c>
      <c r="AG11" s="326">
        <f t="shared" si="2"/>
        <v>0</v>
      </c>
      <c r="AH11" s="326">
        <v>180917.34</v>
      </c>
      <c r="AI11" s="326">
        <v>0</v>
      </c>
      <c r="AJ11" s="326">
        <v>0</v>
      </c>
      <c r="AK11" s="326">
        <v>0</v>
      </c>
      <c r="AL11" s="326">
        <v>0</v>
      </c>
      <c r="AM11" s="326">
        <v>0</v>
      </c>
      <c r="AN11" s="326">
        <v>0</v>
      </c>
      <c r="AO11" s="326">
        <v>0</v>
      </c>
      <c r="AP11" s="326">
        <v>0</v>
      </c>
      <c r="AQ11" s="326">
        <v>0</v>
      </c>
      <c r="AR11" s="326">
        <v>0</v>
      </c>
      <c r="AS11" s="326">
        <f t="shared" si="3"/>
        <v>180917.34</v>
      </c>
      <c r="AT11" s="326">
        <v>0</v>
      </c>
      <c r="AU11" s="326">
        <v>0</v>
      </c>
      <c r="AV11" s="326">
        <v>0</v>
      </c>
      <c r="AW11" s="326">
        <v>0</v>
      </c>
      <c r="AX11" s="326">
        <v>0</v>
      </c>
      <c r="AY11" s="326">
        <v>0</v>
      </c>
      <c r="AZ11" s="326">
        <v>0</v>
      </c>
      <c r="BA11" s="326">
        <v>0</v>
      </c>
      <c r="BB11" s="326">
        <v>0</v>
      </c>
      <c r="BC11" s="326">
        <v>0</v>
      </c>
      <c r="BD11" s="326">
        <v>0</v>
      </c>
      <c r="BE11" s="326">
        <f t="shared" si="4"/>
        <v>0</v>
      </c>
      <c r="BF11" s="326">
        <v>0</v>
      </c>
      <c r="BG11" s="326">
        <v>0</v>
      </c>
      <c r="BH11" s="326">
        <v>0</v>
      </c>
      <c r="BI11" s="326">
        <v>0</v>
      </c>
      <c r="BJ11" s="326">
        <v>0</v>
      </c>
      <c r="BK11" s="326">
        <v>0</v>
      </c>
      <c r="BL11" s="326">
        <v>0</v>
      </c>
      <c r="BM11" s="326">
        <v>0</v>
      </c>
      <c r="BN11" s="326">
        <v>0</v>
      </c>
      <c r="BO11" s="326">
        <v>0</v>
      </c>
      <c r="BP11" s="326">
        <v>0</v>
      </c>
      <c r="BQ11" s="326">
        <f t="shared" si="5"/>
        <v>0</v>
      </c>
      <c r="BR11" s="326">
        <v>0</v>
      </c>
      <c r="BS11" s="326">
        <v>0</v>
      </c>
      <c r="BT11" s="326">
        <v>0</v>
      </c>
      <c r="BU11" s="326">
        <v>0</v>
      </c>
      <c r="BV11" s="326">
        <v>0</v>
      </c>
      <c r="BW11" s="326">
        <v>0</v>
      </c>
      <c r="BX11" s="326">
        <v>0</v>
      </c>
      <c r="BY11" s="326">
        <v>0</v>
      </c>
      <c r="BZ11" s="326">
        <v>0</v>
      </c>
      <c r="CA11" s="326">
        <v>0</v>
      </c>
      <c r="CB11" s="326">
        <v>0</v>
      </c>
      <c r="CC11" s="326">
        <f t="shared" si="6"/>
        <v>0</v>
      </c>
      <c r="CD11" s="329">
        <v>0</v>
      </c>
      <c r="CE11" s="329">
        <v>0</v>
      </c>
      <c r="CF11" s="329">
        <v>0</v>
      </c>
      <c r="CG11" s="329">
        <v>0</v>
      </c>
      <c r="CH11" s="329">
        <v>0</v>
      </c>
      <c r="CI11" s="329">
        <v>0</v>
      </c>
      <c r="CJ11" s="329">
        <v>0</v>
      </c>
      <c r="CK11" s="329">
        <v>0</v>
      </c>
      <c r="CL11" s="329">
        <v>0</v>
      </c>
      <c r="CM11" s="329">
        <v>0</v>
      </c>
      <c r="CN11" s="329">
        <v>0</v>
      </c>
      <c r="CO11" s="326">
        <f t="shared" si="7"/>
        <v>0</v>
      </c>
      <c r="CP11" s="329">
        <v>0</v>
      </c>
      <c r="CQ11" s="329">
        <v>0</v>
      </c>
      <c r="CR11" s="329">
        <v>0</v>
      </c>
      <c r="CS11" s="329">
        <v>0</v>
      </c>
      <c r="CT11" s="329">
        <v>0</v>
      </c>
      <c r="CU11" s="329">
        <v>0</v>
      </c>
      <c r="CV11" s="329">
        <v>0</v>
      </c>
      <c r="CW11" s="329">
        <v>0</v>
      </c>
      <c r="CX11" s="329">
        <v>0</v>
      </c>
      <c r="CY11" s="329">
        <v>0</v>
      </c>
      <c r="CZ11" s="329">
        <v>0</v>
      </c>
      <c r="DA11" s="326">
        <f t="shared" si="8"/>
        <v>0</v>
      </c>
      <c r="DB11" s="329">
        <v>0</v>
      </c>
      <c r="DC11" s="329">
        <v>0</v>
      </c>
      <c r="DD11" s="329">
        <v>0</v>
      </c>
      <c r="DE11" s="329">
        <v>0</v>
      </c>
      <c r="DF11" s="329">
        <v>0</v>
      </c>
      <c r="DG11" s="329">
        <v>0</v>
      </c>
      <c r="DH11" s="329">
        <v>0</v>
      </c>
      <c r="DI11" s="329">
        <v>0</v>
      </c>
      <c r="DJ11" s="329">
        <v>0</v>
      </c>
      <c r="DK11" s="329">
        <v>0</v>
      </c>
      <c r="DL11" s="329">
        <v>0</v>
      </c>
      <c r="DM11" s="326">
        <f t="shared" si="9"/>
        <v>0</v>
      </c>
      <c r="DN11" s="329">
        <v>0</v>
      </c>
      <c r="DO11" s="329">
        <v>0</v>
      </c>
      <c r="DP11" s="329">
        <v>0</v>
      </c>
      <c r="DQ11" s="329">
        <v>0</v>
      </c>
      <c r="DR11" s="329">
        <v>0</v>
      </c>
      <c r="DS11" s="329">
        <v>0</v>
      </c>
      <c r="DT11" s="329">
        <v>0</v>
      </c>
      <c r="DU11" s="329">
        <v>0</v>
      </c>
      <c r="DV11" s="329">
        <v>0</v>
      </c>
      <c r="DW11" s="329">
        <v>0</v>
      </c>
      <c r="DX11" s="329">
        <v>0</v>
      </c>
      <c r="DY11" s="326">
        <f t="shared" si="10"/>
        <v>0</v>
      </c>
      <c r="DZ11" s="329">
        <v>0</v>
      </c>
      <c r="EA11" s="329">
        <v>0</v>
      </c>
      <c r="EB11" s="329">
        <v>0</v>
      </c>
      <c r="EC11" s="329">
        <v>0</v>
      </c>
      <c r="ED11" s="329">
        <v>0</v>
      </c>
      <c r="EE11" s="329">
        <v>0</v>
      </c>
      <c r="EF11" s="329">
        <v>0</v>
      </c>
      <c r="EG11" s="329">
        <v>0</v>
      </c>
      <c r="EH11" s="329">
        <v>0</v>
      </c>
      <c r="EI11" s="329">
        <v>0</v>
      </c>
      <c r="EJ11" s="329">
        <v>0</v>
      </c>
      <c r="EK11" s="341">
        <f t="shared" si="11"/>
        <v>0</v>
      </c>
    </row>
    <row r="12" spans="1:141" ht="45" x14ac:dyDescent="0.25">
      <c r="A12" s="384"/>
      <c r="B12" s="380"/>
      <c r="C12" s="380"/>
      <c r="D12" s="380"/>
      <c r="E12" s="380" t="s">
        <v>1375</v>
      </c>
      <c r="F12" s="381" t="s">
        <v>1169</v>
      </c>
      <c r="G12" s="382"/>
      <c r="H12" s="382"/>
      <c r="I12" s="380" t="s">
        <v>1175</v>
      </c>
      <c r="J12" s="326">
        <f>U12+AG12+AS12+BE12+BQ12+CC12+CO12+DA12+DM12+DY12+EK12</f>
        <v>1009200</v>
      </c>
      <c r="K12" s="326">
        <v>0</v>
      </c>
      <c r="L12" s="326">
        <v>0</v>
      </c>
      <c r="M12" s="326">
        <v>0</v>
      </c>
      <c r="N12" s="326">
        <v>0</v>
      </c>
      <c r="O12" s="326">
        <v>0</v>
      </c>
      <c r="P12" s="326">
        <v>0</v>
      </c>
      <c r="Q12" s="326">
        <v>0</v>
      </c>
      <c r="R12" s="326">
        <v>0</v>
      </c>
      <c r="S12" s="326">
        <v>0</v>
      </c>
      <c r="T12" s="326">
        <v>49649.26</v>
      </c>
      <c r="U12" s="326">
        <f>K12+L12+M12+N12+O12+P12+Q12+R12+S12+T12</f>
        <v>49649.26</v>
      </c>
      <c r="V12" s="326">
        <v>0</v>
      </c>
      <c r="W12" s="326">
        <v>0</v>
      </c>
      <c r="X12" s="326">
        <v>0</v>
      </c>
      <c r="Y12" s="326">
        <v>0</v>
      </c>
      <c r="Z12" s="326">
        <v>0</v>
      </c>
      <c r="AA12" s="326">
        <v>0</v>
      </c>
      <c r="AB12" s="326">
        <v>0</v>
      </c>
      <c r="AC12" s="326">
        <v>0</v>
      </c>
      <c r="AD12" s="326">
        <v>0</v>
      </c>
      <c r="AE12" s="326">
        <v>0</v>
      </c>
      <c r="AF12" s="326">
        <v>0</v>
      </c>
      <c r="AG12" s="326">
        <f>V12+W12+X12+Y12+Z12+AA12+AB12+AC12+AD12+AE12+AF12</f>
        <v>0</v>
      </c>
      <c r="AH12" s="326">
        <v>0</v>
      </c>
      <c r="AI12" s="326">
        <v>0</v>
      </c>
      <c r="AJ12" s="326">
        <v>0</v>
      </c>
      <c r="AK12" s="326">
        <v>0</v>
      </c>
      <c r="AL12" s="326">
        <v>0</v>
      </c>
      <c r="AM12" s="326">
        <v>0</v>
      </c>
      <c r="AN12" s="326">
        <v>0</v>
      </c>
      <c r="AO12" s="326">
        <v>0</v>
      </c>
      <c r="AP12" s="326">
        <v>0</v>
      </c>
      <c r="AQ12" s="326">
        <v>0</v>
      </c>
      <c r="AR12" s="326">
        <v>959550.74</v>
      </c>
      <c r="AS12" s="326">
        <f>AH12+AI12+AJ12+AK12+AL12+AM12+AN12+AO12+AP12+AQ12+AR12</f>
        <v>959550.74</v>
      </c>
      <c r="AT12" s="326">
        <v>0</v>
      </c>
      <c r="AU12" s="326">
        <v>0</v>
      </c>
      <c r="AV12" s="326">
        <v>0</v>
      </c>
      <c r="AW12" s="326">
        <v>0</v>
      </c>
      <c r="AX12" s="326">
        <v>0</v>
      </c>
      <c r="AY12" s="326">
        <v>0</v>
      </c>
      <c r="AZ12" s="326">
        <v>0</v>
      </c>
      <c r="BA12" s="326">
        <v>0</v>
      </c>
      <c r="BB12" s="326">
        <v>0</v>
      </c>
      <c r="BC12" s="326">
        <v>0</v>
      </c>
      <c r="BD12" s="326">
        <v>0</v>
      </c>
      <c r="BE12" s="326">
        <f>AT12+AU12+AV12+AW12+AX12+AY12+AZ12+BA12+BB12+BC12+BD12</f>
        <v>0</v>
      </c>
      <c r="BF12" s="326">
        <v>0</v>
      </c>
      <c r="BG12" s="326">
        <v>0</v>
      </c>
      <c r="BH12" s="326">
        <v>0</v>
      </c>
      <c r="BI12" s="326">
        <v>0</v>
      </c>
      <c r="BJ12" s="326">
        <v>0</v>
      </c>
      <c r="BK12" s="326">
        <v>0</v>
      </c>
      <c r="BL12" s="326">
        <v>0</v>
      </c>
      <c r="BM12" s="326">
        <v>0</v>
      </c>
      <c r="BN12" s="326">
        <v>0</v>
      </c>
      <c r="BO12" s="326">
        <v>0</v>
      </c>
      <c r="BP12" s="326">
        <v>0</v>
      </c>
      <c r="BQ12" s="326">
        <f>BF12+BG12+BH12+BI12+BJ12+BK12+BL12+BM12+BN12+BO12+BP12</f>
        <v>0</v>
      </c>
      <c r="BR12" s="326">
        <v>0</v>
      </c>
      <c r="BS12" s="326">
        <v>0</v>
      </c>
      <c r="BT12" s="326">
        <v>0</v>
      </c>
      <c r="BU12" s="326">
        <v>0</v>
      </c>
      <c r="BV12" s="326">
        <v>0</v>
      </c>
      <c r="BW12" s="326">
        <v>0</v>
      </c>
      <c r="BX12" s="326">
        <v>0</v>
      </c>
      <c r="BY12" s="326">
        <v>0</v>
      </c>
      <c r="BZ12" s="326">
        <v>0</v>
      </c>
      <c r="CA12" s="326">
        <v>0</v>
      </c>
      <c r="CB12" s="326">
        <v>0</v>
      </c>
      <c r="CC12" s="326">
        <v>0</v>
      </c>
      <c r="CD12" s="329">
        <v>0</v>
      </c>
      <c r="CE12" s="329">
        <v>0</v>
      </c>
      <c r="CF12" s="329">
        <v>0</v>
      </c>
      <c r="CG12" s="329">
        <v>0</v>
      </c>
      <c r="CH12" s="329">
        <v>0</v>
      </c>
      <c r="CI12" s="329">
        <v>0</v>
      </c>
      <c r="CJ12" s="329">
        <v>0</v>
      </c>
      <c r="CK12" s="329">
        <v>0</v>
      </c>
      <c r="CL12" s="329">
        <v>0</v>
      </c>
      <c r="CM12" s="329">
        <v>0</v>
      </c>
      <c r="CN12" s="329">
        <v>0</v>
      </c>
      <c r="CO12" s="326">
        <f>CD12+CE12+CF12+CG12+CH12+CI12+CJ12+CK12+CL12+CM12+CN12</f>
        <v>0</v>
      </c>
      <c r="CP12" s="329">
        <v>0</v>
      </c>
      <c r="CQ12" s="329">
        <v>0</v>
      </c>
      <c r="CR12" s="329">
        <v>0</v>
      </c>
      <c r="CS12" s="329">
        <v>0</v>
      </c>
      <c r="CT12" s="329">
        <v>0</v>
      </c>
      <c r="CU12" s="329">
        <v>0</v>
      </c>
      <c r="CV12" s="329">
        <v>0</v>
      </c>
      <c r="CW12" s="329">
        <v>0</v>
      </c>
      <c r="CX12" s="329">
        <v>0</v>
      </c>
      <c r="CY12" s="329">
        <v>0</v>
      </c>
      <c r="CZ12" s="329">
        <v>0</v>
      </c>
      <c r="DA12" s="326">
        <f>CP12+CQ12+CR12+CS12+CT12+CU12+CV12+CW12+CX12+CY12+CZ12</f>
        <v>0</v>
      </c>
      <c r="DB12" s="329">
        <v>0</v>
      </c>
      <c r="DC12" s="329">
        <v>0</v>
      </c>
      <c r="DD12" s="329">
        <v>0</v>
      </c>
      <c r="DE12" s="329">
        <v>0</v>
      </c>
      <c r="DF12" s="329">
        <v>0</v>
      </c>
      <c r="DG12" s="329">
        <v>0</v>
      </c>
      <c r="DH12" s="329">
        <v>0</v>
      </c>
      <c r="DI12" s="329">
        <v>0</v>
      </c>
      <c r="DJ12" s="329">
        <v>0</v>
      </c>
      <c r="DK12" s="329">
        <v>0</v>
      </c>
      <c r="DL12" s="329">
        <v>0</v>
      </c>
      <c r="DM12" s="326">
        <f>DB12+DC12+DD12+DE12+DF12+DG12+DH12+DI12+DJ12+DK12+DL12</f>
        <v>0</v>
      </c>
      <c r="DN12" s="329">
        <v>0</v>
      </c>
      <c r="DO12" s="329">
        <v>0</v>
      </c>
      <c r="DP12" s="329">
        <v>0</v>
      </c>
      <c r="DQ12" s="329">
        <v>0</v>
      </c>
      <c r="DR12" s="329">
        <v>0</v>
      </c>
      <c r="DS12" s="329">
        <v>0</v>
      </c>
      <c r="DT12" s="329">
        <v>0</v>
      </c>
      <c r="DU12" s="329">
        <v>0</v>
      </c>
      <c r="DV12" s="329">
        <v>0</v>
      </c>
      <c r="DW12" s="329">
        <v>0</v>
      </c>
      <c r="DX12" s="329">
        <v>0</v>
      </c>
      <c r="DY12" s="326">
        <f>DN12+DO12+DP12+DQ12+DR12+DS12+DT12+DU12+DV12+DW12+DX12</f>
        <v>0</v>
      </c>
      <c r="DZ12" s="329">
        <v>0</v>
      </c>
      <c r="EA12" s="329">
        <v>0</v>
      </c>
      <c r="EB12" s="329">
        <v>0</v>
      </c>
      <c r="EC12" s="329">
        <v>0</v>
      </c>
      <c r="ED12" s="329">
        <v>0</v>
      </c>
      <c r="EE12" s="329">
        <v>0</v>
      </c>
      <c r="EF12" s="329">
        <v>0</v>
      </c>
      <c r="EG12" s="329">
        <v>0</v>
      </c>
      <c r="EH12" s="329">
        <v>0</v>
      </c>
      <c r="EI12" s="329">
        <v>0</v>
      </c>
      <c r="EJ12" s="329">
        <v>0</v>
      </c>
      <c r="EK12" s="341">
        <f>DZ12+EA12+EB12+EC12+ED12+EE12+EF12+EG12+EH12+EI12+EJ12</f>
        <v>0</v>
      </c>
    </row>
    <row r="13" spans="1:141" ht="45" x14ac:dyDescent="0.25">
      <c r="A13" s="384"/>
      <c r="B13" s="380"/>
      <c r="C13" s="380"/>
      <c r="D13" s="380"/>
      <c r="E13" s="380" t="s">
        <v>1376</v>
      </c>
      <c r="F13" s="381" t="s">
        <v>1179</v>
      </c>
      <c r="G13" s="382"/>
      <c r="H13" s="382"/>
      <c r="I13" s="380" t="s">
        <v>1175</v>
      </c>
      <c r="J13" s="326">
        <f>U13+AG13+AS13+BE13+BQ13+CC13+CO13+DA13+DM13+DY13+EK13</f>
        <v>1932885.74</v>
      </c>
      <c r="K13" s="326">
        <v>0</v>
      </c>
      <c r="L13" s="326">
        <v>0</v>
      </c>
      <c r="M13" s="326">
        <v>0</v>
      </c>
      <c r="N13" s="326">
        <v>0</v>
      </c>
      <c r="O13" s="326">
        <v>0</v>
      </c>
      <c r="P13" s="326">
        <v>0</v>
      </c>
      <c r="Q13" s="326">
        <v>0</v>
      </c>
      <c r="R13" s="326">
        <v>0</v>
      </c>
      <c r="S13" s="326">
        <v>0</v>
      </c>
      <c r="T13" s="326">
        <v>0</v>
      </c>
      <c r="U13" s="326">
        <f>K13+L13+M13+N13+O13+P13+Q13+R13+S13+T13</f>
        <v>0</v>
      </c>
      <c r="V13" s="326">
        <v>0</v>
      </c>
      <c r="W13" s="326">
        <v>0</v>
      </c>
      <c r="X13" s="326">
        <v>0</v>
      </c>
      <c r="Y13" s="326">
        <v>0</v>
      </c>
      <c r="Z13" s="326">
        <v>0</v>
      </c>
      <c r="AA13" s="326">
        <v>0</v>
      </c>
      <c r="AB13" s="326">
        <v>0</v>
      </c>
      <c r="AC13" s="326">
        <v>0</v>
      </c>
      <c r="AD13" s="326">
        <v>0</v>
      </c>
      <c r="AE13" s="326">
        <v>0</v>
      </c>
      <c r="AF13" s="326">
        <v>732885.74</v>
      </c>
      <c r="AG13" s="326">
        <f>V13+W13+X13+Y13+Z13+AA13+AB13+AC13+AD13+AE13+AF13</f>
        <v>732885.74</v>
      </c>
      <c r="AH13" s="326">
        <v>0</v>
      </c>
      <c r="AI13" s="326">
        <v>0</v>
      </c>
      <c r="AJ13" s="326">
        <v>0</v>
      </c>
      <c r="AK13" s="326">
        <v>0</v>
      </c>
      <c r="AL13" s="326">
        <v>0</v>
      </c>
      <c r="AM13" s="326">
        <v>0</v>
      </c>
      <c r="AN13" s="326">
        <v>0</v>
      </c>
      <c r="AO13" s="326">
        <v>0</v>
      </c>
      <c r="AP13" s="326">
        <v>0</v>
      </c>
      <c r="AQ13" s="326">
        <v>0</v>
      </c>
      <c r="AR13" s="326">
        <v>1200000</v>
      </c>
      <c r="AS13" s="326">
        <f>AH13+AI13+AJ13+AK13+AL13+AM13+AN13+AO13+AP13+AQ13+AR13</f>
        <v>1200000</v>
      </c>
      <c r="AT13" s="326">
        <v>0</v>
      </c>
      <c r="AU13" s="326">
        <v>0</v>
      </c>
      <c r="AV13" s="326">
        <v>0</v>
      </c>
      <c r="AW13" s="326">
        <v>0</v>
      </c>
      <c r="AX13" s="326">
        <v>0</v>
      </c>
      <c r="AY13" s="326">
        <v>0</v>
      </c>
      <c r="AZ13" s="326">
        <v>0</v>
      </c>
      <c r="BA13" s="326">
        <v>0</v>
      </c>
      <c r="BB13" s="326">
        <v>0</v>
      </c>
      <c r="BC13" s="326">
        <v>0</v>
      </c>
      <c r="BD13" s="326">
        <v>0</v>
      </c>
      <c r="BE13" s="326">
        <f>AT13+AU13+AV13+AW13+AX13+AY13+AZ13+BA13+BB13+BC13+BD13</f>
        <v>0</v>
      </c>
      <c r="BF13" s="326">
        <v>0</v>
      </c>
      <c r="BG13" s="326">
        <v>0</v>
      </c>
      <c r="BH13" s="326">
        <v>0</v>
      </c>
      <c r="BI13" s="326">
        <v>0</v>
      </c>
      <c r="BJ13" s="326">
        <v>0</v>
      </c>
      <c r="BK13" s="326">
        <v>0</v>
      </c>
      <c r="BL13" s="326">
        <v>0</v>
      </c>
      <c r="BM13" s="326">
        <v>0</v>
      </c>
      <c r="BN13" s="326">
        <v>0</v>
      </c>
      <c r="BO13" s="326">
        <v>0</v>
      </c>
      <c r="BP13" s="326">
        <v>0</v>
      </c>
      <c r="BQ13" s="326">
        <f>BF13+BG13+BH13+BI13+BJ13+BK13+BL13+BM13+BN13+BO13+BP13</f>
        <v>0</v>
      </c>
      <c r="BR13" s="326">
        <v>0</v>
      </c>
      <c r="BS13" s="326">
        <v>0</v>
      </c>
      <c r="BT13" s="326">
        <v>0</v>
      </c>
      <c r="BU13" s="326">
        <v>0</v>
      </c>
      <c r="BV13" s="326">
        <v>0</v>
      </c>
      <c r="BW13" s="326">
        <v>0</v>
      </c>
      <c r="BX13" s="326">
        <v>0</v>
      </c>
      <c r="BY13" s="326">
        <v>0</v>
      </c>
      <c r="BZ13" s="326">
        <v>0</v>
      </c>
      <c r="CA13" s="326">
        <v>0</v>
      </c>
      <c r="CB13" s="326">
        <v>0</v>
      </c>
      <c r="CC13" s="326">
        <f>BR13+BS13+BT13+BU13+BV13+BW13+BX13+BY13+BZ13+CA13+CB13</f>
        <v>0</v>
      </c>
      <c r="CD13" s="329">
        <v>0</v>
      </c>
      <c r="CE13" s="329">
        <v>0</v>
      </c>
      <c r="CF13" s="329">
        <v>0</v>
      </c>
      <c r="CG13" s="329">
        <v>0</v>
      </c>
      <c r="CH13" s="329">
        <v>0</v>
      </c>
      <c r="CI13" s="329">
        <v>0</v>
      </c>
      <c r="CJ13" s="329">
        <v>0</v>
      </c>
      <c r="CK13" s="329">
        <v>0</v>
      </c>
      <c r="CL13" s="329">
        <v>0</v>
      </c>
      <c r="CM13" s="329">
        <v>0</v>
      </c>
      <c r="CN13" s="329">
        <v>0</v>
      </c>
      <c r="CO13" s="326">
        <f>CD13+CE13+CF13+CG13+CH13+CI13+CJ13+CK13+CL13+CM13+CN13</f>
        <v>0</v>
      </c>
      <c r="CP13" s="329">
        <v>0</v>
      </c>
      <c r="CQ13" s="329">
        <v>0</v>
      </c>
      <c r="CR13" s="329">
        <v>0</v>
      </c>
      <c r="CS13" s="329">
        <v>0</v>
      </c>
      <c r="CT13" s="329">
        <v>0</v>
      </c>
      <c r="CU13" s="329">
        <v>0</v>
      </c>
      <c r="CV13" s="329">
        <v>0</v>
      </c>
      <c r="CW13" s="329">
        <v>0</v>
      </c>
      <c r="CX13" s="329">
        <v>0</v>
      </c>
      <c r="CY13" s="329">
        <v>0</v>
      </c>
      <c r="CZ13" s="329">
        <v>0</v>
      </c>
      <c r="DA13" s="326">
        <f>CP13+CQ13+CR13+CS13+CT13+CU13+CV13+CW13+CX13+CY13+CZ13</f>
        <v>0</v>
      </c>
      <c r="DB13" s="329">
        <v>0</v>
      </c>
      <c r="DC13" s="329">
        <v>0</v>
      </c>
      <c r="DD13" s="329">
        <v>0</v>
      </c>
      <c r="DE13" s="329">
        <v>0</v>
      </c>
      <c r="DF13" s="329">
        <v>0</v>
      </c>
      <c r="DG13" s="329">
        <v>0</v>
      </c>
      <c r="DH13" s="329">
        <v>0</v>
      </c>
      <c r="DI13" s="329">
        <v>0</v>
      </c>
      <c r="DJ13" s="329">
        <v>0</v>
      </c>
      <c r="DK13" s="329">
        <v>0</v>
      </c>
      <c r="DL13" s="329">
        <v>0</v>
      </c>
      <c r="DM13" s="326">
        <f>DB13+DC13+DD13+DE13+DF13+DG13+DH13+DI13+DJ13+DK13+DL13</f>
        <v>0</v>
      </c>
      <c r="DN13" s="329">
        <v>0</v>
      </c>
      <c r="DO13" s="329">
        <v>0</v>
      </c>
      <c r="DP13" s="329">
        <v>0</v>
      </c>
      <c r="DQ13" s="329">
        <v>0</v>
      </c>
      <c r="DR13" s="329">
        <v>0</v>
      </c>
      <c r="DS13" s="329">
        <v>0</v>
      </c>
      <c r="DT13" s="329">
        <v>0</v>
      </c>
      <c r="DU13" s="329">
        <v>0</v>
      </c>
      <c r="DV13" s="329">
        <v>0</v>
      </c>
      <c r="DW13" s="329">
        <v>0</v>
      </c>
      <c r="DX13" s="329">
        <v>0</v>
      </c>
      <c r="DY13" s="326">
        <f>DN13+DO13+DP13+DQ13+DR13+DS13+DT13+DU13+DV13+DW13+DX13</f>
        <v>0</v>
      </c>
      <c r="DZ13" s="329">
        <v>0</v>
      </c>
      <c r="EA13" s="329">
        <v>0</v>
      </c>
      <c r="EB13" s="329">
        <v>0</v>
      </c>
      <c r="EC13" s="329">
        <v>0</v>
      </c>
      <c r="ED13" s="329">
        <v>0</v>
      </c>
      <c r="EE13" s="329">
        <v>0</v>
      </c>
      <c r="EF13" s="329">
        <v>0</v>
      </c>
      <c r="EG13" s="329">
        <v>0</v>
      </c>
      <c r="EH13" s="329">
        <v>0</v>
      </c>
      <c r="EI13" s="329">
        <v>0</v>
      </c>
      <c r="EJ13" s="329">
        <v>0</v>
      </c>
      <c r="EK13" s="341">
        <f>DZ13+EA13+EB13+EC13+ED13+EE13+EF13+EG13+EH13+EI13+EJ13</f>
        <v>0</v>
      </c>
    </row>
    <row r="14" spans="1:141" ht="45" x14ac:dyDescent="0.25">
      <c r="A14" s="384"/>
      <c r="B14" s="380"/>
      <c r="C14" s="380"/>
      <c r="D14" s="380"/>
      <c r="E14" s="380" t="s">
        <v>1377</v>
      </c>
      <c r="F14" s="381" t="s">
        <v>1177</v>
      </c>
      <c r="G14" s="382"/>
      <c r="H14" s="382"/>
      <c r="I14" s="380" t="s">
        <v>1175</v>
      </c>
      <c r="J14" s="326">
        <f>U14+AG14+AS14+BE14+BQ14+CC14+CO14+DA14+DM14+DY14+EK14</f>
        <v>2900000</v>
      </c>
      <c r="K14" s="326">
        <v>0</v>
      </c>
      <c r="L14" s="326">
        <v>0</v>
      </c>
      <c r="M14" s="326">
        <v>0</v>
      </c>
      <c r="N14" s="326">
        <v>0</v>
      </c>
      <c r="O14" s="326">
        <v>0</v>
      </c>
      <c r="P14" s="326">
        <v>0</v>
      </c>
      <c r="Q14" s="326">
        <v>0</v>
      </c>
      <c r="R14" s="326">
        <v>0</v>
      </c>
      <c r="S14" s="326">
        <v>0</v>
      </c>
      <c r="T14" s="326">
        <v>105000</v>
      </c>
      <c r="U14" s="326">
        <f>K14+L14+M14+N14+O14+P14+Q14+R14+S14+T14</f>
        <v>105000</v>
      </c>
      <c r="V14" s="326">
        <v>2691000</v>
      </c>
      <c r="W14" s="326">
        <v>0</v>
      </c>
      <c r="X14" s="326">
        <v>0</v>
      </c>
      <c r="Y14" s="326">
        <v>0</v>
      </c>
      <c r="Z14" s="326">
        <v>0</v>
      </c>
      <c r="AA14" s="326">
        <v>0</v>
      </c>
      <c r="AB14" s="326">
        <v>0</v>
      </c>
      <c r="AC14" s="326">
        <v>0</v>
      </c>
      <c r="AD14" s="326">
        <v>0</v>
      </c>
      <c r="AE14" s="326">
        <v>0</v>
      </c>
      <c r="AF14" s="326">
        <v>8000</v>
      </c>
      <c r="AG14" s="326">
        <f>V14+W14+X14+Y14+Z14+AA14+AB14+AC14+AD14+AE14+AF14</f>
        <v>2699000</v>
      </c>
      <c r="AH14" s="326">
        <v>0</v>
      </c>
      <c r="AI14" s="326">
        <v>0</v>
      </c>
      <c r="AJ14" s="326">
        <v>0</v>
      </c>
      <c r="AK14" s="326">
        <v>0</v>
      </c>
      <c r="AL14" s="326">
        <v>0</v>
      </c>
      <c r="AM14" s="326">
        <v>0</v>
      </c>
      <c r="AN14" s="326">
        <v>0</v>
      </c>
      <c r="AO14" s="326">
        <v>0</v>
      </c>
      <c r="AP14" s="326">
        <v>0</v>
      </c>
      <c r="AQ14" s="326">
        <v>0</v>
      </c>
      <c r="AR14" s="326">
        <v>96000</v>
      </c>
      <c r="AS14" s="326">
        <f>AH14+AI14+AJ14+AK14+AL14+AM14+AN14+AO14+AP14+AQ14+AR14</f>
        <v>96000</v>
      </c>
      <c r="AT14" s="326">
        <v>0</v>
      </c>
      <c r="AU14" s="326">
        <v>0</v>
      </c>
      <c r="AV14" s="326">
        <v>0</v>
      </c>
      <c r="AW14" s="326">
        <v>0</v>
      </c>
      <c r="AX14" s="326">
        <v>0</v>
      </c>
      <c r="AY14" s="326">
        <v>0</v>
      </c>
      <c r="AZ14" s="326">
        <v>0</v>
      </c>
      <c r="BA14" s="326">
        <v>0</v>
      </c>
      <c r="BB14" s="326">
        <v>0</v>
      </c>
      <c r="BC14" s="326">
        <v>0</v>
      </c>
      <c r="BD14" s="326">
        <v>0</v>
      </c>
      <c r="BE14" s="326">
        <f>AT14+AU14+AV14+AW14+AX14+AY14+AZ14+BA14+BB14+BC14+BD14</f>
        <v>0</v>
      </c>
      <c r="BF14" s="326">
        <v>0</v>
      </c>
      <c r="BG14" s="326">
        <v>0</v>
      </c>
      <c r="BH14" s="326">
        <v>0</v>
      </c>
      <c r="BI14" s="326">
        <v>0</v>
      </c>
      <c r="BJ14" s="326">
        <v>0</v>
      </c>
      <c r="BK14" s="326">
        <v>0</v>
      </c>
      <c r="BL14" s="326">
        <v>0</v>
      </c>
      <c r="BM14" s="326">
        <v>0</v>
      </c>
      <c r="BN14" s="326">
        <v>0</v>
      </c>
      <c r="BO14" s="326">
        <v>0</v>
      </c>
      <c r="BP14" s="326">
        <v>0</v>
      </c>
      <c r="BQ14" s="326">
        <f>BF14+BG14+BH14+BI14+BJ14+BK14+BL14+BM14+BN14+BO14+BP14</f>
        <v>0</v>
      </c>
      <c r="BR14" s="326">
        <v>0</v>
      </c>
      <c r="BS14" s="326">
        <v>0</v>
      </c>
      <c r="BT14" s="326">
        <v>0</v>
      </c>
      <c r="BU14" s="326">
        <v>0</v>
      </c>
      <c r="BV14" s="326">
        <v>0</v>
      </c>
      <c r="BW14" s="326">
        <v>0</v>
      </c>
      <c r="BX14" s="326">
        <v>0</v>
      </c>
      <c r="BY14" s="326">
        <v>0</v>
      </c>
      <c r="BZ14" s="326">
        <v>0</v>
      </c>
      <c r="CA14" s="326">
        <v>0</v>
      </c>
      <c r="CB14" s="326">
        <v>0</v>
      </c>
      <c r="CC14" s="326">
        <f>BR14+BS14+BT14+BU14+BV14+BW14+BX14+BY14+BZ14+CA14+CB14</f>
        <v>0</v>
      </c>
      <c r="CD14" s="329">
        <v>0</v>
      </c>
      <c r="CE14" s="329">
        <v>0</v>
      </c>
      <c r="CF14" s="329">
        <v>0</v>
      </c>
      <c r="CG14" s="329">
        <v>0</v>
      </c>
      <c r="CH14" s="329">
        <v>0</v>
      </c>
      <c r="CI14" s="329">
        <v>0</v>
      </c>
      <c r="CJ14" s="329">
        <v>0</v>
      </c>
      <c r="CK14" s="329">
        <v>0</v>
      </c>
      <c r="CL14" s="329">
        <v>0</v>
      </c>
      <c r="CM14" s="329">
        <v>0</v>
      </c>
      <c r="CN14" s="329">
        <v>0</v>
      </c>
      <c r="CO14" s="326">
        <f>CD14+CE14+CF14+CG14+CH14+CI14+CJ14+CK14+CL14+CM14+CN14</f>
        <v>0</v>
      </c>
      <c r="CP14" s="329">
        <v>0</v>
      </c>
      <c r="CQ14" s="329">
        <v>0</v>
      </c>
      <c r="CR14" s="329">
        <v>0</v>
      </c>
      <c r="CS14" s="329">
        <v>0</v>
      </c>
      <c r="CT14" s="329">
        <v>0</v>
      </c>
      <c r="CU14" s="329">
        <v>0</v>
      </c>
      <c r="CV14" s="329">
        <v>0</v>
      </c>
      <c r="CW14" s="329">
        <v>0</v>
      </c>
      <c r="CX14" s="329">
        <v>0</v>
      </c>
      <c r="CY14" s="329">
        <v>0</v>
      </c>
      <c r="CZ14" s="329">
        <v>0</v>
      </c>
      <c r="DA14" s="326">
        <f>CP14+CQ14+CR14+CS14+CT14+CU14+CV14+CW14+CX14+CY14+CZ14</f>
        <v>0</v>
      </c>
      <c r="DB14" s="329">
        <v>0</v>
      </c>
      <c r="DC14" s="329">
        <v>0</v>
      </c>
      <c r="DD14" s="329">
        <v>0</v>
      </c>
      <c r="DE14" s="329">
        <v>0</v>
      </c>
      <c r="DF14" s="329">
        <v>0</v>
      </c>
      <c r="DG14" s="329">
        <v>0</v>
      </c>
      <c r="DH14" s="329">
        <v>0</v>
      </c>
      <c r="DI14" s="329">
        <v>0</v>
      </c>
      <c r="DJ14" s="329">
        <v>0</v>
      </c>
      <c r="DK14" s="329">
        <v>0</v>
      </c>
      <c r="DL14" s="329">
        <v>0</v>
      </c>
      <c r="DM14" s="326">
        <f>DB14+DC14+DD14+DE14+DF14+DG14+DH14+DI14+DJ14+DK14+DL14</f>
        <v>0</v>
      </c>
      <c r="DN14" s="329">
        <v>0</v>
      </c>
      <c r="DO14" s="329">
        <v>0</v>
      </c>
      <c r="DP14" s="329">
        <v>0</v>
      </c>
      <c r="DQ14" s="329">
        <v>0</v>
      </c>
      <c r="DR14" s="329">
        <v>0</v>
      </c>
      <c r="DS14" s="329">
        <v>0</v>
      </c>
      <c r="DT14" s="329">
        <v>0</v>
      </c>
      <c r="DU14" s="329">
        <v>0</v>
      </c>
      <c r="DV14" s="329">
        <v>0</v>
      </c>
      <c r="DW14" s="329">
        <v>0</v>
      </c>
      <c r="DX14" s="329">
        <v>0</v>
      </c>
      <c r="DY14" s="326">
        <f>DN14+DO14+DP14+DQ14+DR14+DS14+DT14+DU14+DV14+DW14+DX14</f>
        <v>0</v>
      </c>
      <c r="DZ14" s="329">
        <v>0</v>
      </c>
      <c r="EA14" s="329">
        <v>0</v>
      </c>
      <c r="EB14" s="329">
        <v>0</v>
      </c>
      <c r="EC14" s="329">
        <v>0</v>
      </c>
      <c r="ED14" s="329">
        <v>0</v>
      </c>
      <c r="EE14" s="329">
        <v>0</v>
      </c>
      <c r="EF14" s="329">
        <v>0</v>
      </c>
      <c r="EG14" s="329">
        <v>0</v>
      </c>
      <c r="EH14" s="329">
        <v>0</v>
      </c>
      <c r="EI14" s="329">
        <v>0</v>
      </c>
      <c r="EJ14" s="329">
        <v>0</v>
      </c>
      <c r="EK14" s="341">
        <f>DZ14+EA14+EB14+EC14+ED14+EE14+EF14+EG14+EH14+EI14+EJ14</f>
        <v>0</v>
      </c>
    </row>
    <row r="15" spans="1:141" ht="45.75" thickBot="1" x14ac:dyDescent="0.3">
      <c r="A15" s="384"/>
      <c r="B15" s="380"/>
      <c r="C15" s="380"/>
      <c r="D15" s="380"/>
      <c r="E15" s="380" t="s">
        <v>1378</v>
      </c>
      <c r="F15" s="381" t="s">
        <v>1176</v>
      </c>
      <c r="G15" s="382"/>
      <c r="H15" s="382"/>
      <c r="I15" s="380" t="s">
        <v>1175</v>
      </c>
      <c r="J15" s="326">
        <f>U15+AG15+AS15+BE15+BQ15+CC15+CO15+DA15+DM15+DY15+EK15</f>
        <v>2030859.5</v>
      </c>
      <c r="K15" s="326">
        <v>0</v>
      </c>
      <c r="L15" s="326">
        <v>0</v>
      </c>
      <c r="M15" s="326">
        <v>0</v>
      </c>
      <c r="N15" s="326">
        <v>0</v>
      </c>
      <c r="O15" s="326">
        <v>0</v>
      </c>
      <c r="P15" s="326">
        <v>0</v>
      </c>
      <c r="Q15" s="326">
        <v>0</v>
      </c>
      <c r="R15" s="326">
        <v>0</v>
      </c>
      <c r="S15" s="326">
        <v>0</v>
      </c>
      <c r="T15" s="326">
        <v>98500</v>
      </c>
      <c r="U15" s="326">
        <f>K15+L15+M15+N15+O15+P15+Q15+R15+S15+T15</f>
        <v>98500</v>
      </c>
      <c r="V15" s="326">
        <v>1907359.5</v>
      </c>
      <c r="W15" s="326">
        <v>0</v>
      </c>
      <c r="X15" s="326">
        <v>0</v>
      </c>
      <c r="Y15" s="326">
        <v>0</v>
      </c>
      <c r="Z15" s="326">
        <v>0</v>
      </c>
      <c r="AA15" s="326">
        <v>0</v>
      </c>
      <c r="AB15" s="326">
        <v>0</v>
      </c>
      <c r="AC15" s="326">
        <v>0</v>
      </c>
      <c r="AD15" s="326">
        <v>0</v>
      </c>
      <c r="AE15" s="326">
        <v>0</v>
      </c>
      <c r="AF15" s="326">
        <v>25000</v>
      </c>
      <c r="AG15" s="326">
        <f>V15+W15+X15+Y15+Z15+AA15+AB15+AC15+AD15+AE15+AF15</f>
        <v>1932359.5</v>
      </c>
      <c r="AH15" s="326">
        <v>0</v>
      </c>
      <c r="AI15" s="326">
        <v>0</v>
      </c>
      <c r="AJ15" s="326">
        <v>0</v>
      </c>
      <c r="AK15" s="326">
        <v>0</v>
      </c>
      <c r="AL15" s="326">
        <v>0</v>
      </c>
      <c r="AM15" s="326">
        <v>0</v>
      </c>
      <c r="AN15" s="326">
        <v>0</v>
      </c>
      <c r="AO15" s="326">
        <v>0</v>
      </c>
      <c r="AP15" s="326">
        <v>0</v>
      </c>
      <c r="AQ15" s="326">
        <v>0</v>
      </c>
      <c r="AR15" s="326">
        <v>0</v>
      </c>
      <c r="AS15" s="326">
        <f>AH15+AI15+AJ15+AK15+AL15+AM15+AN15+AO15+AP15+AQ15+AR15</f>
        <v>0</v>
      </c>
      <c r="AT15" s="326">
        <v>0</v>
      </c>
      <c r="AU15" s="326">
        <v>0</v>
      </c>
      <c r="AV15" s="326">
        <v>0</v>
      </c>
      <c r="AW15" s="326">
        <v>0</v>
      </c>
      <c r="AX15" s="326">
        <v>0</v>
      </c>
      <c r="AY15" s="326">
        <v>0</v>
      </c>
      <c r="AZ15" s="326">
        <v>0</v>
      </c>
      <c r="BA15" s="326">
        <v>0</v>
      </c>
      <c r="BB15" s="326">
        <v>0</v>
      </c>
      <c r="BC15" s="326">
        <v>0</v>
      </c>
      <c r="BD15" s="326">
        <v>0</v>
      </c>
      <c r="BE15" s="326">
        <f>AT15+AU15+AV15+AW15+AX15+AY15+AZ15+BA15+BB15+BC15+BD15</f>
        <v>0</v>
      </c>
      <c r="BF15" s="326">
        <v>0</v>
      </c>
      <c r="BG15" s="326">
        <v>0</v>
      </c>
      <c r="BH15" s="326">
        <v>0</v>
      </c>
      <c r="BI15" s="326">
        <v>0</v>
      </c>
      <c r="BJ15" s="326">
        <v>0</v>
      </c>
      <c r="BK15" s="326">
        <v>0</v>
      </c>
      <c r="BL15" s="326">
        <v>0</v>
      </c>
      <c r="BM15" s="326">
        <v>0</v>
      </c>
      <c r="BN15" s="326">
        <v>0</v>
      </c>
      <c r="BO15" s="326">
        <v>0</v>
      </c>
      <c r="BP15" s="326">
        <v>0</v>
      </c>
      <c r="BQ15" s="326">
        <f>BF15+BG15+BH15+BI15+BJ15+BK15+BL15+BM15+BN15+BO15+BP15</f>
        <v>0</v>
      </c>
      <c r="BR15" s="326">
        <v>0</v>
      </c>
      <c r="BS15" s="326">
        <v>0</v>
      </c>
      <c r="BT15" s="326">
        <v>0</v>
      </c>
      <c r="BU15" s="326">
        <v>0</v>
      </c>
      <c r="BV15" s="326">
        <v>0</v>
      </c>
      <c r="BW15" s="326">
        <v>0</v>
      </c>
      <c r="BX15" s="326">
        <v>0</v>
      </c>
      <c r="BY15" s="326">
        <v>0</v>
      </c>
      <c r="BZ15" s="326">
        <v>0</v>
      </c>
      <c r="CA15" s="326">
        <v>0</v>
      </c>
      <c r="CB15" s="326">
        <v>0</v>
      </c>
      <c r="CC15" s="326">
        <f>BR15+BS15+BT15+BU15+BV15+BW15+BX15+BY15+BZ15+CA15+CB15</f>
        <v>0</v>
      </c>
      <c r="CD15" s="329">
        <v>0</v>
      </c>
      <c r="CE15" s="329">
        <v>0</v>
      </c>
      <c r="CF15" s="329">
        <v>0</v>
      </c>
      <c r="CG15" s="329">
        <v>0</v>
      </c>
      <c r="CH15" s="329">
        <v>0</v>
      </c>
      <c r="CI15" s="329">
        <v>0</v>
      </c>
      <c r="CJ15" s="329">
        <v>0</v>
      </c>
      <c r="CK15" s="329">
        <v>0</v>
      </c>
      <c r="CL15" s="329">
        <v>0</v>
      </c>
      <c r="CM15" s="329">
        <v>0</v>
      </c>
      <c r="CN15" s="329">
        <v>0</v>
      </c>
      <c r="CO15" s="326">
        <f>CD15+CE15+CF15+CG15+CH15+CI15+CJ15+CK15+CL15+CM15+CN15</f>
        <v>0</v>
      </c>
      <c r="CP15" s="329">
        <v>0</v>
      </c>
      <c r="CQ15" s="329">
        <v>0</v>
      </c>
      <c r="CR15" s="329">
        <v>0</v>
      </c>
      <c r="CS15" s="329">
        <v>0</v>
      </c>
      <c r="CT15" s="329">
        <v>0</v>
      </c>
      <c r="CU15" s="329">
        <v>0</v>
      </c>
      <c r="CV15" s="329">
        <v>0</v>
      </c>
      <c r="CW15" s="329">
        <v>0</v>
      </c>
      <c r="CX15" s="329">
        <v>0</v>
      </c>
      <c r="CY15" s="329">
        <v>0</v>
      </c>
      <c r="CZ15" s="329">
        <v>0</v>
      </c>
      <c r="DA15" s="326">
        <f>CP15+CQ15+CR15+CS15+CT15+CU15+CV15+CW15+CX15+CY15+CZ15</f>
        <v>0</v>
      </c>
      <c r="DB15" s="329">
        <v>0</v>
      </c>
      <c r="DC15" s="329">
        <v>0</v>
      </c>
      <c r="DD15" s="329">
        <v>0</v>
      </c>
      <c r="DE15" s="329">
        <v>0</v>
      </c>
      <c r="DF15" s="329">
        <v>0</v>
      </c>
      <c r="DG15" s="329">
        <v>0</v>
      </c>
      <c r="DH15" s="329">
        <v>0</v>
      </c>
      <c r="DI15" s="329">
        <v>0</v>
      </c>
      <c r="DJ15" s="329">
        <v>0</v>
      </c>
      <c r="DK15" s="329">
        <v>0</v>
      </c>
      <c r="DL15" s="329">
        <v>0</v>
      </c>
      <c r="DM15" s="326">
        <f>DB15+DC15+DD15+DE15+DF15+DG15+DH15+DI15+DJ15+DK15+DL15</f>
        <v>0</v>
      </c>
      <c r="DN15" s="329">
        <v>0</v>
      </c>
      <c r="DO15" s="329">
        <v>0</v>
      </c>
      <c r="DP15" s="329">
        <v>0</v>
      </c>
      <c r="DQ15" s="329">
        <v>0</v>
      </c>
      <c r="DR15" s="329">
        <v>0</v>
      </c>
      <c r="DS15" s="329">
        <v>0</v>
      </c>
      <c r="DT15" s="329">
        <v>0</v>
      </c>
      <c r="DU15" s="329">
        <v>0</v>
      </c>
      <c r="DV15" s="329">
        <v>0</v>
      </c>
      <c r="DW15" s="329">
        <v>0</v>
      </c>
      <c r="DX15" s="329">
        <v>0</v>
      </c>
      <c r="DY15" s="326">
        <f>DN15+DO15+DP15+DQ15+DR15+DS15+DT15+DU15+DV15+DW15+DX15</f>
        <v>0</v>
      </c>
      <c r="DZ15" s="329">
        <v>0</v>
      </c>
      <c r="EA15" s="329">
        <v>0</v>
      </c>
      <c r="EB15" s="329">
        <v>0</v>
      </c>
      <c r="EC15" s="329">
        <v>0</v>
      </c>
      <c r="ED15" s="329">
        <v>0</v>
      </c>
      <c r="EE15" s="329">
        <v>0</v>
      </c>
      <c r="EF15" s="329">
        <v>0</v>
      </c>
      <c r="EG15" s="329">
        <v>0</v>
      </c>
      <c r="EH15" s="329">
        <v>0</v>
      </c>
      <c r="EI15" s="329">
        <v>0</v>
      </c>
      <c r="EJ15" s="329">
        <v>0</v>
      </c>
      <c r="EK15" s="341">
        <f>DZ15+EA15+EB15+EC15+ED15+EE15+EF15+EG15+EH15+EI15+EJ15</f>
        <v>0</v>
      </c>
    </row>
    <row r="16" spans="1:141" ht="15.75" thickBot="1" x14ac:dyDescent="0.3">
      <c r="A16" s="497" t="s">
        <v>1108</v>
      </c>
      <c r="B16" s="498"/>
      <c r="C16" s="498"/>
      <c r="D16" s="498"/>
      <c r="E16" s="498"/>
      <c r="F16" s="498"/>
      <c r="G16" s="498"/>
      <c r="H16" s="498"/>
      <c r="I16" s="498"/>
      <c r="J16" s="388">
        <f>SUM(J3:J15)</f>
        <v>11895993.359999999</v>
      </c>
      <c r="K16" s="389">
        <f t="shared" ref="K16:BV16" si="12">SUM(K3:K15)</f>
        <v>994970.99</v>
      </c>
      <c r="L16" s="389">
        <f t="shared" si="12"/>
        <v>0</v>
      </c>
      <c r="M16" s="389">
        <f t="shared" si="12"/>
        <v>0</v>
      </c>
      <c r="N16" s="389">
        <f t="shared" si="12"/>
        <v>0</v>
      </c>
      <c r="O16" s="389">
        <f t="shared" si="12"/>
        <v>0</v>
      </c>
      <c r="P16" s="389">
        <f t="shared" si="12"/>
        <v>0</v>
      </c>
      <c r="Q16" s="389">
        <f t="shared" si="12"/>
        <v>0</v>
      </c>
      <c r="R16" s="389">
        <f t="shared" si="12"/>
        <v>0</v>
      </c>
      <c r="S16" s="389">
        <f t="shared" si="12"/>
        <v>0</v>
      </c>
      <c r="T16" s="389">
        <f t="shared" si="12"/>
        <v>1292107.5799999998</v>
      </c>
      <c r="U16" s="389">
        <f t="shared" si="12"/>
        <v>2287078.5700000003</v>
      </c>
      <c r="V16" s="389">
        <f t="shared" si="12"/>
        <v>6569164.6999999993</v>
      </c>
      <c r="W16" s="389">
        <f t="shared" si="12"/>
        <v>0</v>
      </c>
      <c r="X16" s="389">
        <f t="shared" si="12"/>
        <v>0</v>
      </c>
      <c r="Y16" s="389">
        <f t="shared" si="12"/>
        <v>0</v>
      </c>
      <c r="Z16" s="389">
        <f t="shared" si="12"/>
        <v>0</v>
      </c>
      <c r="AA16" s="389">
        <f t="shared" si="12"/>
        <v>0</v>
      </c>
      <c r="AB16" s="389">
        <f t="shared" si="12"/>
        <v>0</v>
      </c>
      <c r="AC16" s="389">
        <f t="shared" si="12"/>
        <v>0</v>
      </c>
      <c r="AD16" s="389">
        <f t="shared" si="12"/>
        <v>0</v>
      </c>
      <c r="AE16" s="389">
        <f t="shared" si="12"/>
        <v>0</v>
      </c>
      <c r="AF16" s="389">
        <f t="shared" si="12"/>
        <v>603282.01</v>
      </c>
      <c r="AG16" s="389">
        <f t="shared" si="12"/>
        <v>7172446.71</v>
      </c>
      <c r="AH16" s="389">
        <f t="shared" si="12"/>
        <v>180917.34</v>
      </c>
      <c r="AI16" s="389">
        <f t="shared" si="12"/>
        <v>0</v>
      </c>
      <c r="AJ16" s="389">
        <f t="shared" si="12"/>
        <v>0</v>
      </c>
      <c r="AK16" s="389">
        <f t="shared" si="12"/>
        <v>0</v>
      </c>
      <c r="AL16" s="389">
        <f t="shared" si="12"/>
        <v>0</v>
      </c>
      <c r="AM16" s="389">
        <f t="shared" si="12"/>
        <v>0</v>
      </c>
      <c r="AN16" s="389">
        <f t="shared" si="12"/>
        <v>0</v>
      </c>
      <c r="AO16" s="389">
        <f t="shared" si="12"/>
        <v>0</v>
      </c>
      <c r="AP16" s="389">
        <f t="shared" si="12"/>
        <v>0</v>
      </c>
      <c r="AQ16" s="389">
        <f t="shared" si="12"/>
        <v>0</v>
      </c>
      <c r="AR16" s="389">
        <f t="shared" si="12"/>
        <v>2255550.7400000002</v>
      </c>
      <c r="AS16" s="389">
        <f t="shared" si="12"/>
        <v>2436468.08</v>
      </c>
      <c r="AT16" s="389">
        <f t="shared" si="12"/>
        <v>0</v>
      </c>
      <c r="AU16" s="389">
        <f t="shared" si="12"/>
        <v>0</v>
      </c>
      <c r="AV16" s="389">
        <f t="shared" si="12"/>
        <v>0</v>
      </c>
      <c r="AW16" s="389">
        <f t="shared" si="12"/>
        <v>0</v>
      </c>
      <c r="AX16" s="389">
        <f t="shared" si="12"/>
        <v>0</v>
      </c>
      <c r="AY16" s="389">
        <f t="shared" si="12"/>
        <v>0</v>
      </c>
      <c r="AZ16" s="389">
        <f t="shared" si="12"/>
        <v>0</v>
      </c>
      <c r="BA16" s="389">
        <f t="shared" si="12"/>
        <v>0</v>
      </c>
      <c r="BB16" s="389">
        <f t="shared" si="12"/>
        <v>0</v>
      </c>
      <c r="BC16" s="389">
        <f t="shared" si="12"/>
        <v>0</v>
      </c>
      <c r="BD16" s="389">
        <f t="shared" si="12"/>
        <v>0</v>
      </c>
      <c r="BE16" s="389">
        <f t="shared" si="12"/>
        <v>0</v>
      </c>
      <c r="BF16" s="389">
        <f t="shared" si="12"/>
        <v>0</v>
      </c>
      <c r="BG16" s="389">
        <f t="shared" si="12"/>
        <v>0</v>
      </c>
      <c r="BH16" s="389">
        <f t="shared" si="12"/>
        <v>0</v>
      </c>
      <c r="BI16" s="389">
        <f t="shared" si="12"/>
        <v>0</v>
      </c>
      <c r="BJ16" s="389">
        <f t="shared" si="12"/>
        <v>0</v>
      </c>
      <c r="BK16" s="389">
        <f t="shared" si="12"/>
        <v>0</v>
      </c>
      <c r="BL16" s="389">
        <f t="shared" si="12"/>
        <v>0</v>
      </c>
      <c r="BM16" s="389">
        <f t="shared" si="12"/>
        <v>0</v>
      </c>
      <c r="BN16" s="389">
        <f t="shared" si="12"/>
        <v>0</v>
      </c>
      <c r="BO16" s="389">
        <f t="shared" si="12"/>
        <v>0</v>
      </c>
      <c r="BP16" s="389">
        <f t="shared" si="12"/>
        <v>0</v>
      </c>
      <c r="BQ16" s="389">
        <f t="shared" si="12"/>
        <v>0</v>
      </c>
      <c r="BR16" s="389">
        <f t="shared" si="12"/>
        <v>0</v>
      </c>
      <c r="BS16" s="389">
        <f t="shared" si="12"/>
        <v>0</v>
      </c>
      <c r="BT16" s="389">
        <f t="shared" si="12"/>
        <v>0</v>
      </c>
      <c r="BU16" s="389">
        <f t="shared" si="12"/>
        <v>0</v>
      </c>
      <c r="BV16" s="389">
        <f t="shared" si="12"/>
        <v>0</v>
      </c>
      <c r="BW16" s="389">
        <f t="shared" ref="BW16:EH16" si="13">SUM(BW3:BW15)</f>
        <v>0</v>
      </c>
      <c r="BX16" s="389">
        <f t="shared" si="13"/>
        <v>0</v>
      </c>
      <c r="BY16" s="389">
        <f t="shared" si="13"/>
        <v>0</v>
      </c>
      <c r="BZ16" s="389">
        <f t="shared" si="13"/>
        <v>0</v>
      </c>
      <c r="CA16" s="389">
        <f t="shared" si="13"/>
        <v>0</v>
      </c>
      <c r="CB16" s="389">
        <f t="shared" si="13"/>
        <v>0</v>
      </c>
      <c r="CC16" s="389">
        <f t="shared" si="13"/>
        <v>0</v>
      </c>
      <c r="CD16" s="389">
        <f t="shared" si="13"/>
        <v>0</v>
      </c>
      <c r="CE16" s="389">
        <f t="shared" si="13"/>
        <v>0</v>
      </c>
      <c r="CF16" s="389">
        <f t="shared" si="13"/>
        <v>0</v>
      </c>
      <c r="CG16" s="389">
        <f t="shared" si="13"/>
        <v>0</v>
      </c>
      <c r="CH16" s="389">
        <f t="shared" si="13"/>
        <v>0</v>
      </c>
      <c r="CI16" s="389">
        <f t="shared" si="13"/>
        <v>0</v>
      </c>
      <c r="CJ16" s="389">
        <f t="shared" si="13"/>
        <v>0</v>
      </c>
      <c r="CK16" s="389">
        <f t="shared" si="13"/>
        <v>0</v>
      </c>
      <c r="CL16" s="389">
        <f t="shared" si="13"/>
        <v>0</v>
      </c>
      <c r="CM16" s="389">
        <f t="shared" si="13"/>
        <v>0</v>
      </c>
      <c r="CN16" s="389">
        <f t="shared" si="13"/>
        <v>0</v>
      </c>
      <c r="CO16" s="389">
        <f t="shared" si="13"/>
        <v>0</v>
      </c>
      <c r="CP16" s="389">
        <f t="shared" si="13"/>
        <v>0</v>
      </c>
      <c r="CQ16" s="389">
        <f t="shared" si="13"/>
        <v>0</v>
      </c>
      <c r="CR16" s="389">
        <f t="shared" si="13"/>
        <v>0</v>
      </c>
      <c r="CS16" s="389">
        <f t="shared" si="13"/>
        <v>0</v>
      </c>
      <c r="CT16" s="389">
        <f t="shared" si="13"/>
        <v>0</v>
      </c>
      <c r="CU16" s="389">
        <f t="shared" si="13"/>
        <v>0</v>
      </c>
      <c r="CV16" s="389">
        <f t="shared" si="13"/>
        <v>0</v>
      </c>
      <c r="CW16" s="389">
        <f t="shared" si="13"/>
        <v>0</v>
      </c>
      <c r="CX16" s="389">
        <f t="shared" si="13"/>
        <v>0</v>
      </c>
      <c r="CY16" s="389">
        <f t="shared" si="13"/>
        <v>0</v>
      </c>
      <c r="CZ16" s="389">
        <f t="shared" si="13"/>
        <v>0</v>
      </c>
      <c r="DA16" s="389">
        <f t="shared" si="13"/>
        <v>0</v>
      </c>
      <c r="DB16" s="389">
        <f t="shared" si="13"/>
        <v>0</v>
      </c>
      <c r="DC16" s="389">
        <f t="shared" si="13"/>
        <v>0</v>
      </c>
      <c r="DD16" s="389">
        <f t="shared" si="13"/>
        <v>0</v>
      </c>
      <c r="DE16" s="389">
        <f t="shared" si="13"/>
        <v>0</v>
      </c>
      <c r="DF16" s="389">
        <f t="shared" si="13"/>
        <v>0</v>
      </c>
      <c r="DG16" s="389">
        <f t="shared" si="13"/>
        <v>0</v>
      </c>
      <c r="DH16" s="389">
        <f t="shared" si="13"/>
        <v>0</v>
      </c>
      <c r="DI16" s="389">
        <f t="shared" si="13"/>
        <v>0</v>
      </c>
      <c r="DJ16" s="389">
        <f t="shared" si="13"/>
        <v>0</v>
      </c>
      <c r="DK16" s="389">
        <f t="shared" si="13"/>
        <v>0</v>
      </c>
      <c r="DL16" s="389">
        <f t="shared" si="13"/>
        <v>0</v>
      </c>
      <c r="DM16" s="389">
        <f t="shared" si="13"/>
        <v>0</v>
      </c>
      <c r="DN16" s="389">
        <f t="shared" si="13"/>
        <v>0</v>
      </c>
      <c r="DO16" s="389">
        <f t="shared" si="13"/>
        <v>0</v>
      </c>
      <c r="DP16" s="389">
        <f t="shared" si="13"/>
        <v>0</v>
      </c>
      <c r="DQ16" s="389">
        <f t="shared" si="13"/>
        <v>0</v>
      </c>
      <c r="DR16" s="389">
        <f t="shared" si="13"/>
        <v>0</v>
      </c>
      <c r="DS16" s="389">
        <f t="shared" si="13"/>
        <v>0</v>
      </c>
      <c r="DT16" s="389">
        <f t="shared" si="13"/>
        <v>0</v>
      </c>
      <c r="DU16" s="389">
        <f t="shared" si="13"/>
        <v>0</v>
      </c>
      <c r="DV16" s="389">
        <f t="shared" si="13"/>
        <v>0</v>
      </c>
      <c r="DW16" s="389">
        <f t="shared" si="13"/>
        <v>0</v>
      </c>
      <c r="DX16" s="389">
        <f t="shared" si="13"/>
        <v>0</v>
      </c>
      <c r="DY16" s="389">
        <f t="shared" si="13"/>
        <v>0</v>
      </c>
      <c r="DZ16" s="389">
        <f t="shared" si="13"/>
        <v>0</v>
      </c>
      <c r="EA16" s="389">
        <f t="shared" si="13"/>
        <v>0</v>
      </c>
      <c r="EB16" s="389">
        <f t="shared" si="13"/>
        <v>0</v>
      </c>
      <c r="EC16" s="389">
        <f t="shared" si="13"/>
        <v>0</v>
      </c>
      <c r="ED16" s="389">
        <f t="shared" si="13"/>
        <v>0</v>
      </c>
      <c r="EE16" s="389">
        <f t="shared" si="13"/>
        <v>0</v>
      </c>
      <c r="EF16" s="389">
        <f t="shared" si="13"/>
        <v>0</v>
      </c>
      <c r="EG16" s="389">
        <f t="shared" si="13"/>
        <v>0</v>
      </c>
      <c r="EH16" s="389">
        <f t="shared" si="13"/>
        <v>0</v>
      </c>
      <c r="EI16" s="389">
        <f>SUM(EI3:EI15)</f>
        <v>0</v>
      </c>
      <c r="EJ16" s="389">
        <f>SUM(EJ3:EJ15)</f>
        <v>0</v>
      </c>
      <c r="EK16" s="390">
        <f>SUM(EK3:EK15)</f>
        <v>0</v>
      </c>
    </row>
    <row r="19" spans="20:21" x14ac:dyDescent="0.25">
      <c r="T19" s="88"/>
      <c r="U19" s="88"/>
    </row>
  </sheetData>
  <sheetProtection algorithmName="SHA-512" hashValue="j6DgQIMqyNCVTrLT+270Hi/VyX9zS8slgmsdrTrmsmTUAf4VJXDhb1S7sujH1IMIERu0YNWtr6JS7tLoGFhLhA==" saltValue="SvaGGnEWRzRlnMgKJhh0dQ==" spinCount="100000" sheet="1" objects="1" scenarios="1"/>
  <autoFilter ref="B2:EK16"/>
  <mergeCells count="12">
    <mergeCell ref="CD1:CN1"/>
    <mergeCell ref="CP1:CZ1"/>
    <mergeCell ref="DB1:DL1"/>
    <mergeCell ref="DN1:DX1"/>
    <mergeCell ref="DZ1:EJ1"/>
    <mergeCell ref="A16:I16"/>
    <mergeCell ref="BR1:CB1"/>
    <mergeCell ref="K1:T1"/>
    <mergeCell ref="V1:AF1"/>
    <mergeCell ref="AH1:AR1"/>
    <mergeCell ref="AT1:BD1"/>
    <mergeCell ref="BF1:BP1"/>
  </mergeCells>
  <pageMargins left="0.25" right="0.25" top="0.75" bottom="0.75" header="0.3" footer="0.3"/>
  <pageSetup paperSize="8" scale="58" fitToWidth="4" orientation="landscape" r:id="rId1"/>
  <headerFooter>
    <oddFooter>&amp;LPríloha č. 1_Malé projekty vo výstavbe&amp;R&amp;P l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24"/>
  <sheetViews>
    <sheetView zoomScale="60" zoomScaleNormal="60" workbookViewId="0">
      <pane ySplit="2" topLeftCell="A3" activePane="bottomLeft" state="frozen"/>
      <selection pane="bottomLeft" activeCell="F33" sqref="F33"/>
    </sheetView>
  </sheetViews>
  <sheetFormatPr defaultRowHeight="15" x14ac:dyDescent="0.25"/>
  <cols>
    <col min="1" max="1" width="13" customWidth="1"/>
    <col min="2" max="2" width="11.85546875" style="108" customWidth="1"/>
    <col min="3" max="3" width="9.140625" style="108"/>
    <col min="4" max="4" width="10.140625" style="108" customWidth="1"/>
    <col min="5" max="5" width="8.7109375" style="108"/>
    <col min="6" max="6" width="65.140625" style="108" customWidth="1"/>
    <col min="7" max="9" width="9.140625" style="108"/>
    <col min="10" max="10" width="15.5703125" customWidth="1"/>
    <col min="11" max="11" width="14.28515625" customWidth="1"/>
    <col min="12" max="12" width="13.5703125" customWidth="1"/>
    <col min="13" max="13" width="12" customWidth="1"/>
    <col min="14" max="14" width="13" bestFit="1" customWidth="1"/>
    <col min="15" max="15" width="12" customWidth="1"/>
    <col min="16" max="16" width="11.140625" bestFit="1" customWidth="1"/>
    <col min="17" max="17" width="10.5703125" bestFit="1" customWidth="1"/>
    <col min="18" max="18" width="10.7109375" bestFit="1" customWidth="1"/>
    <col min="19" max="19" width="11.140625" bestFit="1" customWidth="1"/>
    <col min="20" max="20" width="12.42578125" bestFit="1" customWidth="1"/>
    <col min="21" max="21" width="13.5703125" bestFit="1" customWidth="1"/>
    <col min="22" max="23" width="12.42578125" bestFit="1" customWidth="1"/>
    <col min="24" max="25" width="10.5703125" bestFit="1" customWidth="1"/>
    <col min="26" max="26" width="10.140625" bestFit="1" customWidth="1"/>
    <col min="27" max="27" width="11.140625" bestFit="1" customWidth="1"/>
    <col min="28" max="28" width="13.7109375" customWidth="1"/>
    <col min="29" max="29" width="10.7109375" bestFit="1" customWidth="1"/>
    <col min="30" max="30" width="11.140625" bestFit="1" customWidth="1"/>
    <col min="31" max="31" width="8.140625" bestFit="1" customWidth="1"/>
    <col min="32" max="32" width="15" customWidth="1"/>
    <col min="33" max="33" width="15.140625" customWidth="1"/>
    <col min="34" max="34" width="12" bestFit="1" customWidth="1"/>
    <col min="35" max="35" width="11.42578125" bestFit="1" customWidth="1"/>
    <col min="36" max="37" width="10.5703125" bestFit="1" customWidth="1"/>
    <col min="38" max="38" width="10.140625" bestFit="1" customWidth="1"/>
    <col min="39" max="39" width="11.140625" bestFit="1" customWidth="1"/>
    <col min="40" max="40" width="12" bestFit="1" customWidth="1"/>
    <col min="41" max="41" width="10.7109375" bestFit="1" customWidth="1"/>
    <col min="42" max="42" width="11.140625" bestFit="1" customWidth="1"/>
    <col min="43" max="43" width="8.140625" bestFit="1" customWidth="1"/>
    <col min="44" max="44" width="7.28515625" bestFit="1" customWidth="1"/>
    <col min="45" max="45" width="13" bestFit="1" customWidth="1"/>
    <col min="46" max="46" width="12" bestFit="1" customWidth="1"/>
    <col min="47" max="47" width="11.42578125" bestFit="1" customWidth="1"/>
    <col min="48" max="49" width="10.5703125" bestFit="1" customWidth="1"/>
    <col min="50" max="50" width="10.140625" bestFit="1" customWidth="1"/>
    <col min="51" max="51" width="11.140625" bestFit="1" customWidth="1"/>
    <col min="52" max="52" width="10.5703125" bestFit="1" customWidth="1"/>
    <col min="53" max="53" width="10.7109375" bestFit="1" customWidth="1"/>
    <col min="54" max="54" width="11.140625" bestFit="1" customWidth="1"/>
    <col min="55" max="55" width="8.140625" bestFit="1" customWidth="1"/>
    <col min="56" max="56" width="7.28515625" bestFit="1" customWidth="1"/>
    <col min="57" max="58" width="12" bestFit="1" customWidth="1"/>
    <col min="59" max="59" width="11.42578125" bestFit="1" customWidth="1"/>
    <col min="60" max="60" width="9.5703125" bestFit="1" customWidth="1"/>
    <col min="61" max="61" width="7.140625" bestFit="1" customWidth="1"/>
    <col min="62" max="62" width="10.140625" bestFit="1" customWidth="1"/>
    <col min="63" max="63" width="11.140625" bestFit="1" customWidth="1"/>
    <col min="64" max="64" width="7.7109375" bestFit="1" customWidth="1"/>
    <col min="65" max="65" width="10.7109375" bestFit="1" customWidth="1"/>
    <col min="66" max="66" width="11.140625" bestFit="1" customWidth="1"/>
    <col min="67" max="67" width="8.140625" bestFit="1" customWidth="1"/>
    <col min="68" max="68" width="7.28515625" bestFit="1" customWidth="1"/>
    <col min="69" max="70" width="12" bestFit="1" customWidth="1"/>
    <col min="71" max="71" width="11.42578125" bestFit="1" customWidth="1"/>
    <col min="72" max="72" width="9.5703125" bestFit="1" customWidth="1"/>
    <col min="73" max="73" width="7.140625" bestFit="1" customWidth="1"/>
    <col min="74" max="74" width="10.140625" bestFit="1" customWidth="1"/>
    <col min="75" max="75" width="11.140625" bestFit="1" customWidth="1"/>
    <col min="76" max="76" width="7.7109375" bestFit="1" customWidth="1"/>
    <col min="77" max="77" width="10.7109375" bestFit="1" customWidth="1"/>
    <col min="78" max="78" width="11.140625" bestFit="1" customWidth="1"/>
    <col min="79" max="79" width="8.140625" bestFit="1" customWidth="1"/>
    <col min="80" max="81" width="12" bestFit="1" customWidth="1"/>
    <col min="82" max="82" width="6.85546875" bestFit="1" customWidth="1"/>
    <col min="83" max="83" width="11.42578125" bestFit="1" customWidth="1"/>
    <col min="84" max="84" width="9.5703125" bestFit="1" customWidth="1"/>
    <col min="85" max="85" width="7.140625" bestFit="1" customWidth="1"/>
    <col min="86" max="86" width="10.140625" bestFit="1" customWidth="1"/>
    <col min="87" max="87" width="11.140625" bestFit="1" customWidth="1"/>
    <col min="88" max="88" width="7.7109375" bestFit="1" customWidth="1"/>
    <col min="89" max="89" width="10.7109375" bestFit="1" customWidth="1"/>
    <col min="90" max="90" width="11.140625" bestFit="1" customWidth="1"/>
    <col min="91" max="91" width="8.140625" bestFit="1" customWidth="1"/>
    <col min="92" max="92" width="7.28515625" bestFit="1" customWidth="1"/>
    <col min="93" max="93" width="10.28515625" bestFit="1" customWidth="1"/>
    <col min="94" max="94" width="6.85546875" bestFit="1" customWidth="1"/>
    <col min="95" max="95" width="11.42578125" bestFit="1" customWidth="1"/>
    <col min="96" max="96" width="9.5703125" bestFit="1" customWidth="1"/>
    <col min="97" max="97" width="7.140625" bestFit="1" customWidth="1"/>
    <col min="98" max="98" width="10.140625" bestFit="1" customWidth="1"/>
    <col min="99" max="99" width="11.140625" bestFit="1" customWidth="1"/>
    <col min="100" max="100" width="7.7109375" bestFit="1" customWidth="1"/>
    <col min="101" max="101" width="10.7109375" bestFit="1" customWidth="1"/>
    <col min="102" max="102" width="11.140625" bestFit="1" customWidth="1"/>
    <col min="103" max="103" width="8.140625" bestFit="1" customWidth="1"/>
    <col min="104" max="104" width="7.28515625" bestFit="1" customWidth="1"/>
    <col min="105" max="105" width="10.28515625" bestFit="1" customWidth="1"/>
    <col min="106" max="106" width="6.85546875" bestFit="1" customWidth="1"/>
    <col min="107" max="107" width="11.42578125" bestFit="1" customWidth="1"/>
    <col min="108" max="108" width="9.5703125" bestFit="1" customWidth="1"/>
    <col min="109" max="109" width="7.140625" bestFit="1" customWidth="1"/>
    <col min="110" max="110" width="10.140625" bestFit="1" customWidth="1"/>
    <col min="111" max="111" width="11.140625" bestFit="1" customWidth="1"/>
    <col min="112" max="112" width="7.7109375" bestFit="1" customWidth="1"/>
    <col min="113" max="113" width="10.7109375" bestFit="1" customWidth="1"/>
    <col min="114" max="114" width="11.140625" bestFit="1" customWidth="1"/>
    <col min="115" max="115" width="8.140625" bestFit="1" customWidth="1"/>
    <col min="116" max="116" width="7.28515625" bestFit="1" customWidth="1"/>
    <col min="117" max="117" width="10.28515625" bestFit="1" customWidth="1"/>
    <col min="118" max="118" width="6.85546875" bestFit="1" customWidth="1"/>
    <col min="119" max="119" width="11.42578125" bestFit="1" customWidth="1"/>
    <col min="120" max="120" width="9.5703125" bestFit="1" customWidth="1"/>
    <col min="121" max="121" width="7.140625" bestFit="1" customWidth="1"/>
    <col min="122" max="122" width="10.140625" bestFit="1" customWidth="1"/>
    <col min="123" max="123" width="11.140625" bestFit="1" customWidth="1"/>
    <col min="124" max="124" width="7.7109375" bestFit="1" customWidth="1"/>
    <col min="125" max="125" width="10.7109375" bestFit="1" customWidth="1"/>
    <col min="126" max="126" width="11.140625" bestFit="1" customWidth="1"/>
    <col min="127" max="127" width="8.140625" bestFit="1" customWidth="1"/>
    <col min="128" max="128" width="7.28515625" bestFit="1" customWidth="1"/>
    <col min="129" max="129" width="10.28515625" bestFit="1" customWidth="1"/>
    <col min="130" max="130" width="6.85546875" bestFit="1" customWidth="1"/>
    <col min="131" max="131" width="11.42578125" bestFit="1" customWidth="1"/>
    <col min="132" max="132" width="9.5703125" bestFit="1" customWidth="1"/>
    <col min="133" max="133" width="7.140625" bestFit="1" customWidth="1"/>
    <col min="134" max="134" width="10.140625" bestFit="1" customWidth="1"/>
    <col min="135" max="135" width="11.140625" bestFit="1" customWidth="1"/>
    <col min="136" max="136" width="7.7109375" bestFit="1" customWidth="1"/>
    <col min="137" max="137" width="10.7109375" bestFit="1" customWidth="1"/>
    <col min="138" max="138" width="11.140625" bestFit="1" customWidth="1"/>
    <col min="139" max="139" width="8.140625" bestFit="1" customWidth="1"/>
    <col min="140" max="140" width="7.28515625" bestFit="1" customWidth="1"/>
    <col min="141" max="141" width="10.28515625" bestFit="1" customWidth="1"/>
  </cols>
  <sheetData>
    <row r="1" spans="1:141" s="14" customFormat="1" x14ac:dyDescent="0.25">
      <c r="A1" s="402"/>
      <c r="B1" s="403"/>
      <c r="C1" s="403"/>
      <c r="D1" s="403"/>
      <c r="E1" s="403"/>
      <c r="F1" s="113"/>
      <c r="G1" s="404"/>
      <c r="H1" s="405"/>
      <c r="I1" s="406"/>
      <c r="J1" s="407"/>
      <c r="K1" s="499" t="s">
        <v>1053</v>
      </c>
      <c r="L1" s="500"/>
      <c r="M1" s="500"/>
      <c r="N1" s="500"/>
      <c r="O1" s="500"/>
      <c r="P1" s="500"/>
      <c r="Q1" s="500"/>
      <c r="R1" s="500"/>
      <c r="S1" s="500"/>
      <c r="T1" s="501"/>
      <c r="U1" s="97" t="s">
        <v>1054</v>
      </c>
      <c r="V1" s="492" t="s">
        <v>1119</v>
      </c>
      <c r="W1" s="493"/>
      <c r="X1" s="493"/>
      <c r="Y1" s="493"/>
      <c r="Z1" s="493"/>
      <c r="AA1" s="493"/>
      <c r="AB1" s="493"/>
      <c r="AC1" s="493"/>
      <c r="AD1" s="493"/>
      <c r="AE1" s="493"/>
      <c r="AF1" s="494"/>
      <c r="AG1" s="98">
        <v>2021</v>
      </c>
      <c r="AH1" s="495" t="s">
        <v>1118</v>
      </c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99">
        <v>2022</v>
      </c>
      <c r="AT1" s="495" t="s">
        <v>1117</v>
      </c>
      <c r="AU1" s="495"/>
      <c r="AV1" s="495"/>
      <c r="AW1" s="495"/>
      <c r="AX1" s="495"/>
      <c r="AY1" s="495"/>
      <c r="AZ1" s="495"/>
      <c r="BA1" s="495"/>
      <c r="BB1" s="495"/>
      <c r="BC1" s="495"/>
      <c r="BD1" s="496"/>
      <c r="BE1" s="99">
        <v>2023</v>
      </c>
      <c r="BF1" s="495" t="s">
        <v>1116</v>
      </c>
      <c r="BG1" s="495"/>
      <c r="BH1" s="495"/>
      <c r="BI1" s="495"/>
      <c r="BJ1" s="495"/>
      <c r="BK1" s="495"/>
      <c r="BL1" s="495"/>
      <c r="BM1" s="495"/>
      <c r="BN1" s="495"/>
      <c r="BO1" s="495"/>
      <c r="BP1" s="496"/>
      <c r="BQ1" s="99">
        <v>2024</v>
      </c>
      <c r="BR1" s="495" t="s">
        <v>1120</v>
      </c>
      <c r="BS1" s="495"/>
      <c r="BT1" s="495"/>
      <c r="BU1" s="495"/>
      <c r="BV1" s="495"/>
      <c r="BW1" s="495"/>
      <c r="BX1" s="495"/>
      <c r="BY1" s="495"/>
      <c r="BZ1" s="495"/>
      <c r="CA1" s="495"/>
      <c r="CB1" s="496"/>
      <c r="CC1" s="100">
        <v>2025</v>
      </c>
      <c r="CD1" s="495" t="s">
        <v>1121</v>
      </c>
      <c r="CE1" s="495"/>
      <c r="CF1" s="495"/>
      <c r="CG1" s="495"/>
      <c r="CH1" s="495"/>
      <c r="CI1" s="495"/>
      <c r="CJ1" s="495"/>
      <c r="CK1" s="495"/>
      <c r="CL1" s="495"/>
      <c r="CM1" s="495"/>
      <c r="CN1" s="496"/>
      <c r="CO1" s="100">
        <v>2026</v>
      </c>
      <c r="CP1" s="495" t="s">
        <v>1122</v>
      </c>
      <c r="CQ1" s="495"/>
      <c r="CR1" s="495"/>
      <c r="CS1" s="495"/>
      <c r="CT1" s="495"/>
      <c r="CU1" s="495"/>
      <c r="CV1" s="495"/>
      <c r="CW1" s="495"/>
      <c r="CX1" s="495"/>
      <c r="CY1" s="495"/>
      <c r="CZ1" s="496"/>
      <c r="DA1" s="100">
        <v>2027</v>
      </c>
      <c r="DB1" s="495" t="s">
        <v>1123</v>
      </c>
      <c r="DC1" s="495"/>
      <c r="DD1" s="495"/>
      <c r="DE1" s="495"/>
      <c r="DF1" s="495"/>
      <c r="DG1" s="495"/>
      <c r="DH1" s="495"/>
      <c r="DI1" s="495"/>
      <c r="DJ1" s="495"/>
      <c r="DK1" s="495"/>
      <c r="DL1" s="496"/>
      <c r="DM1" s="100">
        <v>2028</v>
      </c>
      <c r="DN1" s="495" t="s">
        <v>1125</v>
      </c>
      <c r="DO1" s="495"/>
      <c r="DP1" s="495"/>
      <c r="DQ1" s="495"/>
      <c r="DR1" s="495"/>
      <c r="DS1" s="495"/>
      <c r="DT1" s="495"/>
      <c r="DU1" s="495"/>
      <c r="DV1" s="495"/>
      <c r="DW1" s="495"/>
      <c r="DX1" s="496"/>
      <c r="DY1" s="100">
        <v>2029</v>
      </c>
      <c r="DZ1" s="495" t="s">
        <v>1124</v>
      </c>
      <c r="EA1" s="495"/>
      <c r="EB1" s="495"/>
      <c r="EC1" s="495"/>
      <c r="ED1" s="495"/>
      <c r="EE1" s="495"/>
      <c r="EF1" s="495"/>
      <c r="EG1" s="495"/>
      <c r="EH1" s="495"/>
      <c r="EI1" s="495"/>
      <c r="EJ1" s="496"/>
      <c r="EK1" s="100">
        <v>2030</v>
      </c>
    </row>
    <row r="2" spans="1:141" s="14" customFormat="1" ht="45.75" thickBot="1" x14ac:dyDescent="0.3">
      <c r="A2" s="172"/>
      <c r="B2" s="119" t="s">
        <v>383</v>
      </c>
      <c r="C2" s="119" t="s">
        <v>335</v>
      </c>
      <c r="D2" s="119" t="s">
        <v>288</v>
      </c>
      <c r="E2" s="119" t="s">
        <v>1318</v>
      </c>
      <c r="F2" s="119" t="s">
        <v>337</v>
      </c>
      <c r="G2" s="155" t="s">
        <v>931</v>
      </c>
      <c r="H2" s="391" t="s">
        <v>310</v>
      </c>
      <c r="I2" s="392" t="s">
        <v>941</v>
      </c>
      <c r="J2" s="393" t="s">
        <v>939</v>
      </c>
      <c r="K2" s="385" t="s">
        <v>940</v>
      </c>
      <c r="L2" s="385" t="s">
        <v>1055</v>
      </c>
      <c r="M2" s="385" t="s">
        <v>1056</v>
      </c>
      <c r="N2" s="385" t="s">
        <v>1057</v>
      </c>
      <c r="O2" s="385" t="s">
        <v>1058</v>
      </c>
      <c r="P2" s="385" t="s">
        <v>1059</v>
      </c>
      <c r="Q2" s="385" t="s">
        <v>929</v>
      </c>
      <c r="R2" s="385" t="s">
        <v>1060</v>
      </c>
      <c r="S2" s="385" t="s">
        <v>1059</v>
      </c>
      <c r="T2" s="385" t="s">
        <v>1061</v>
      </c>
      <c r="U2" s="386" t="s">
        <v>1062</v>
      </c>
      <c r="V2" s="385" t="s">
        <v>940</v>
      </c>
      <c r="W2" s="385" t="s">
        <v>1055</v>
      </c>
      <c r="X2" s="385" t="s">
        <v>1056</v>
      </c>
      <c r="Y2" s="385" t="s">
        <v>1057</v>
      </c>
      <c r="Z2" s="385" t="s">
        <v>1058</v>
      </c>
      <c r="AA2" s="385" t="s">
        <v>1059</v>
      </c>
      <c r="AB2" s="385" t="s">
        <v>929</v>
      </c>
      <c r="AC2" s="385" t="s">
        <v>1060</v>
      </c>
      <c r="AD2" s="385" t="s">
        <v>1059</v>
      </c>
      <c r="AE2" s="385" t="s">
        <v>1063</v>
      </c>
      <c r="AF2" s="385" t="s">
        <v>1061</v>
      </c>
      <c r="AG2" s="386" t="s">
        <v>1062</v>
      </c>
      <c r="AH2" s="385" t="s">
        <v>940</v>
      </c>
      <c r="AI2" s="385" t="s">
        <v>1055</v>
      </c>
      <c r="AJ2" s="385" t="s">
        <v>1056</v>
      </c>
      <c r="AK2" s="385" t="s">
        <v>1057</v>
      </c>
      <c r="AL2" s="385" t="s">
        <v>1058</v>
      </c>
      <c r="AM2" s="385" t="s">
        <v>1059</v>
      </c>
      <c r="AN2" s="385" t="s">
        <v>929</v>
      </c>
      <c r="AO2" s="385" t="s">
        <v>1060</v>
      </c>
      <c r="AP2" s="385" t="s">
        <v>1059</v>
      </c>
      <c r="AQ2" s="385" t="s">
        <v>1063</v>
      </c>
      <c r="AR2" s="385" t="s">
        <v>1061</v>
      </c>
      <c r="AS2" s="386" t="s">
        <v>1062</v>
      </c>
      <c r="AT2" s="385" t="s">
        <v>940</v>
      </c>
      <c r="AU2" s="385" t="s">
        <v>1055</v>
      </c>
      <c r="AV2" s="385" t="s">
        <v>1056</v>
      </c>
      <c r="AW2" s="385" t="s">
        <v>1057</v>
      </c>
      <c r="AX2" s="385" t="s">
        <v>1058</v>
      </c>
      <c r="AY2" s="385" t="s">
        <v>1059</v>
      </c>
      <c r="AZ2" s="385" t="s">
        <v>929</v>
      </c>
      <c r="BA2" s="385" t="s">
        <v>1060</v>
      </c>
      <c r="BB2" s="385" t="s">
        <v>1059</v>
      </c>
      <c r="BC2" s="385" t="s">
        <v>1063</v>
      </c>
      <c r="BD2" s="385" t="s">
        <v>1061</v>
      </c>
      <c r="BE2" s="386" t="s">
        <v>1062</v>
      </c>
      <c r="BF2" s="385" t="s">
        <v>940</v>
      </c>
      <c r="BG2" s="385" t="s">
        <v>1055</v>
      </c>
      <c r="BH2" s="385" t="s">
        <v>1056</v>
      </c>
      <c r="BI2" s="385" t="s">
        <v>1057</v>
      </c>
      <c r="BJ2" s="385" t="s">
        <v>1058</v>
      </c>
      <c r="BK2" s="385" t="s">
        <v>1059</v>
      </c>
      <c r="BL2" s="385" t="s">
        <v>929</v>
      </c>
      <c r="BM2" s="385" t="s">
        <v>1060</v>
      </c>
      <c r="BN2" s="385" t="s">
        <v>1059</v>
      </c>
      <c r="BO2" s="385" t="s">
        <v>1063</v>
      </c>
      <c r="BP2" s="385" t="s">
        <v>1061</v>
      </c>
      <c r="BQ2" s="386" t="s">
        <v>1062</v>
      </c>
      <c r="BR2" s="385" t="s">
        <v>940</v>
      </c>
      <c r="BS2" s="385" t="s">
        <v>1055</v>
      </c>
      <c r="BT2" s="385" t="s">
        <v>1056</v>
      </c>
      <c r="BU2" s="385" t="s">
        <v>1057</v>
      </c>
      <c r="BV2" s="385" t="s">
        <v>1058</v>
      </c>
      <c r="BW2" s="385" t="s">
        <v>1059</v>
      </c>
      <c r="BX2" s="385" t="s">
        <v>929</v>
      </c>
      <c r="BY2" s="385" t="s">
        <v>1060</v>
      </c>
      <c r="BZ2" s="385" t="s">
        <v>1059</v>
      </c>
      <c r="CA2" s="385" t="s">
        <v>1063</v>
      </c>
      <c r="CB2" s="385" t="s">
        <v>1061</v>
      </c>
      <c r="CC2" s="387" t="s">
        <v>1062</v>
      </c>
      <c r="CD2" s="385" t="s">
        <v>940</v>
      </c>
      <c r="CE2" s="385" t="s">
        <v>1055</v>
      </c>
      <c r="CF2" s="385" t="s">
        <v>1056</v>
      </c>
      <c r="CG2" s="385" t="s">
        <v>1057</v>
      </c>
      <c r="CH2" s="385" t="s">
        <v>1058</v>
      </c>
      <c r="CI2" s="385" t="s">
        <v>1059</v>
      </c>
      <c r="CJ2" s="385" t="s">
        <v>929</v>
      </c>
      <c r="CK2" s="385" t="s">
        <v>1060</v>
      </c>
      <c r="CL2" s="385" t="s">
        <v>1059</v>
      </c>
      <c r="CM2" s="385" t="s">
        <v>1063</v>
      </c>
      <c r="CN2" s="385" t="s">
        <v>1061</v>
      </c>
      <c r="CO2" s="387" t="s">
        <v>1062</v>
      </c>
      <c r="CP2" s="385" t="s">
        <v>940</v>
      </c>
      <c r="CQ2" s="385" t="s">
        <v>1055</v>
      </c>
      <c r="CR2" s="385" t="s">
        <v>1056</v>
      </c>
      <c r="CS2" s="385" t="s">
        <v>1057</v>
      </c>
      <c r="CT2" s="385" t="s">
        <v>1058</v>
      </c>
      <c r="CU2" s="385" t="s">
        <v>1059</v>
      </c>
      <c r="CV2" s="385" t="s">
        <v>929</v>
      </c>
      <c r="CW2" s="385" t="s">
        <v>1060</v>
      </c>
      <c r="CX2" s="385" t="s">
        <v>1059</v>
      </c>
      <c r="CY2" s="385" t="s">
        <v>1063</v>
      </c>
      <c r="CZ2" s="385" t="s">
        <v>1061</v>
      </c>
      <c r="DA2" s="387" t="s">
        <v>1062</v>
      </c>
      <c r="DB2" s="385" t="s">
        <v>940</v>
      </c>
      <c r="DC2" s="385" t="s">
        <v>1055</v>
      </c>
      <c r="DD2" s="385" t="s">
        <v>1056</v>
      </c>
      <c r="DE2" s="385" t="s">
        <v>1057</v>
      </c>
      <c r="DF2" s="385" t="s">
        <v>1058</v>
      </c>
      <c r="DG2" s="385" t="s">
        <v>1059</v>
      </c>
      <c r="DH2" s="385" t="s">
        <v>929</v>
      </c>
      <c r="DI2" s="385" t="s">
        <v>1060</v>
      </c>
      <c r="DJ2" s="385" t="s">
        <v>1059</v>
      </c>
      <c r="DK2" s="385" t="s">
        <v>1063</v>
      </c>
      <c r="DL2" s="385" t="s">
        <v>1061</v>
      </c>
      <c r="DM2" s="387" t="s">
        <v>1062</v>
      </c>
      <c r="DN2" s="385" t="s">
        <v>940</v>
      </c>
      <c r="DO2" s="385" t="s">
        <v>1055</v>
      </c>
      <c r="DP2" s="385" t="s">
        <v>1056</v>
      </c>
      <c r="DQ2" s="385" t="s">
        <v>1057</v>
      </c>
      <c r="DR2" s="385" t="s">
        <v>1058</v>
      </c>
      <c r="DS2" s="385" t="s">
        <v>1059</v>
      </c>
      <c r="DT2" s="385" t="s">
        <v>929</v>
      </c>
      <c r="DU2" s="385" t="s">
        <v>1060</v>
      </c>
      <c r="DV2" s="385" t="s">
        <v>1059</v>
      </c>
      <c r="DW2" s="385" t="s">
        <v>1063</v>
      </c>
      <c r="DX2" s="385" t="s">
        <v>1061</v>
      </c>
      <c r="DY2" s="387" t="s">
        <v>1062</v>
      </c>
      <c r="DZ2" s="385" t="s">
        <v>940</v>
      </c>
      <c r="EA2" s="385" t="s">
        <v>1055</v>
      </c>
      <c r="EB2" s="385" t="s">
        <v>1056</v>
      </c>
      <c r="EC2" s="385" t="s">
        <v>1057</v>
      </c>
      <c r="ED2" s="385" t="s">
        <v>1058</v>
      </c>
      <c r="EE2" s="385" t="s">
        <v>1059</v>
      </c>
      <c r="EF2" s="385" t="s">
        <v>929</v>
      </c>
      <c r="EG2" s="385" t="s">
        <v>1060</v>
      </c>
      <c r="EH2" s="385" t="s">
        <v>1059</v>
      </c>
      <c r="EI2" s="385" t="s">
        <v>1063</v>
      </c>
      <c r="EJ2" s="385" t="s">
        <v>1061</v>
      </c>
      <c r="EK2" s="387" t="s">
        <v>1062</v>
      </c>
    </row>
    <row r="3" spans="1:141" ht="135" x14ac:dyDescent="0.25">
      <c r="A3" s="192" t="s">
        <v>1185</v>
      </c>
      <c r="B3" s="394" t="s">
        <v>1100</v>
      </c>
      <c r="C3" s="395" t="s">
        <v>1079</v>
      </c>
      <c r="D3" s="395" t="s">
        <v>1099</v>
      </c>
      <c r="E3" s="396" t="s">
        <v>1362</v>
      </c>
      <c r="F3" s="177" t="s">
        <v>991</v>
      </c>
      <c r="G3" s="410" t="s">
        <v>935</v>
      </c>
      <c r="H3" s="395"/>
      <c r="I3" s="395" t="s">
        <v>1101</v>
      </c>
      <c r="J3" s="361">
        <f t="shared" ref="J3:J22" si="0">SUM(U3,AG3,AS3,BE3,BQ3,CC3,CO3,DA3,DM3,DY3,EK3)</f>
        <v>6837747.4800000004</v>
      </c>
      <c r="K3" s="361">
        <v>0</v>
      </c>
      <c r="L3" s="361">
        <v>0</v>
      </c>
      <c r="M3" s="361">
        <v>0</v>
      </c>
      <c r="N3" s="361">
        <v>0</v>
      </c>
      <c r="O3" s="361">
        <v>0</v>
      </c>
      <c r="P3" s="361">
        <v>0</v>
      </c>
      <c r="Q3" s="361">
        <v>786250</v>
      </c>
      <c r="R3" s="361">
        <v>138750</v>
      </c>
      <c r="S3" s="361">
        <v>35182.89</v>
      </c>
      <c r="T3" s="361">
        <v>0</v>
      </c>
      <c r="U3" s="361">
        <f t="shared" ref="U3:U13" si="1">SUM(K3:T3)</f>
        <v>960182.89</v>
      </c>
      <c r="V3" s="361">
        <v>0</v>
      </c>
      <c r="W3" s="361">
        <v>0</v>
      </c>
      <c r="X3" s="361">
        <v>0</v>
      </c>
      <c r="Y3" s="361">
        <v>0</v>
      </c>
      <c r="Z3" s="361">
        <v>0</v>
      </c>
      <c r="AA3" s="361">
        <v>0</v>
      </c>
      <c r="AB3" s="361">
        <v>1275000</v>
      </c>
      <c r="AC3" s="361">
        <v>225000</v>
      </c>
      <c r="AD3" s="361">
        <v>0</v>
      </c>
      <c r="AE3" s="361">
        <v>0</v>
      </c>
      <c r="AF3" s="361">
        <v>3564.59</v>
      </c>
      <c r="AG3" s="361">
        <f t="shared" ref="AG3:AG13" si="2">SUM(V3:AF3)</f>
        <v>1503564.59</v>
      </c>
      <c r="AH3" s="361">
        <v>0</v>
      </c>
      <c r="AI3" s="361">
        <v>0</v>
      </c>
      <c r="AJ3" s="361">
        <v>0</v>
      </c>
      <c r="AK3" s="361">
        <v>0</v>
      </c>
      <c r="AL3" s="361">
        <v>0</v>
      </c>
      <c r="AM3" s="361">
        <v>0</v>
      </c>
      <c r="AN3" s="361">
        <v>1835150</v>
      </c>
      <c r="AO3" s="361">
        <v>323850</v>
      </c>
      <c r="AP3" s="361">
        <v>0</v>
      </c>
      <c r="AQ3" s="361">
        <v>0</v>
      </c>
      <c r="AR3" s="361">
        <v>0</v>
      </c>
      <c r="AS3" s="361">
        <f t="shared" ref="AS3:AS13" si="3">SUM(AH3:AR3)</f>
        <v>2159000</v>
      </c>
      <c r="AT3" s="361">
        <v>0</v>
      </c>
      <c r="AU3" s="361">
        <v>0</v>
      </c>
      <c r="AV3" s="361">
        <v>0</v>
      </c>
      <c r="AW3" s="361">
        <v>0</v>
      </c>
      <c r="AX3" s="361">
        <v>0</v>
      </c>
      <c r="AY3" s="361">
        <v>0</v>
      </c>
      <c r="AZ3" s="361">
        <v>769250</v>
      </c>
      <c r="BA3" s="361">
        <v>135750</v>
      </c>
      <c r="BB3" s="361">
        <v>0</v>
      </c>
      <c r="BC3" s="361">
        <v>0</v>
      </c>
      <c r="BD3" s="361">
        <v>0</v>
      </c>
      <c r="BE3" s="361">
        <f t="shared" ref="BE3:BE13" si="4">SUM(AT3:BD3)</f>
        <v>905000</v>
      </c>
      <c r="BF3" s="361">
        <v>0</v>
      </c>
      <c r="BG3" s="361">
        <v>0</v>
      </c>
      <c r="BH3" s="361">
        <v>0</v>
      </c>
      <c r="BI3" s="361">
        <v>0</v>
      </c>
      <c r="BJ3" s="361">
        <v>0</v>
      </c>
      <c r="BK3" s="361">
        <v>0</v>
      </c>
      <c r="BL3" s="361">
        <v>0</v>
      </c>
      <c r="BM3" s="361">
        <v>0</v>
      </c>
      <c r="BN3" s="361">
        <v>0</v>
      </c>
      <c r="BO3" s="361">
        <v>0</v>
      </c>
      <c r="BP3" s="361">
        <v>0</v>
      </c>
      <c r="BQ3" s="361">
        <f t="shared" ref="BQ3:BQ13" si="5">SUM(BF3:BP3)</f>
        <v>0</v>
      </c>
      <c r="BR3" s="361">
        <v>0</v>
      </c>
      <c r="BS3" s="361">
        <v>0</v>
      </c>
      <c r="BT3" s="361">
        <v>0</v>
      </c>
      <c r="BU3" s="361">
        <v>0</v>
      </c>
      <c r="BV3" s="361">
        <v>0</v>
      </c>
      <c r="BW3" s="361">
        <v>0</v>
      </c>
      <c r="BX3" s="361">
        <v>0</v>
      </c>
      <c r="BY3" s="361">
        <v>0</v>
      </c>
      <c r="BZ3" s="361">
        <v>0</v>
      </c>
      <c r="CA3" s="361">
        <v>0</v>
      </c>
      <c r="CB3" s="361">
        <v>1310000</v>
      </c>
      <c r="CC3" s="361">
        <f t="shared" ref="CC3:CC13" si="6">SUM(BR3:CB3)</f>
        <v>1310000</v>
      </c>
      <c r="CD3" s="361">
        <v>0</v>
      </c>
      <c r="CE3" s="361">
        <v>0</v>
      </c>
      <c r="CF3" s="361">
        <v>0</v>
      </c>
      <c r="CG3" s="361">
        <v>0</v>
      </c>
      <c r="CH3" s="361">
        <v>0</v>
      </c>
      <c r="CI3" s="361">
        <v>0</v>
      </c>
      <c r="CJ3" s="361">
        <v>0</v>
      </c>
      <c r="CK3" s="361">
        <v>0</v>
      </c>
      <c r="CL3" s="361">
        <v>0</v>
      </c>
      <c r="CM3" s="361">
        <v>0</v>
      </c>
      <c r="CN3" s="361">
        <v>0</v>
      </c>
      <c r="CO3" s="361">
        <f t="shared" ref="CO3:CO13" si="7">SUM(CD3:CN3)</f>
        <v>0</v>
      </c>
      <c r="CP3" s="361">
        <v>0</v>
      </c>
      <c r="CQ3" s="361">
        <v>0</v>
      </c>
      <c r="CR3" s="361">
        <v>0</v>
      </c>
      <c r="CS3" s="361">
        <v>0</v>
      </c>
      <c r="CT3" s="361">
        <v>0</v>
      </c>
      <c r="CU3" s="361">
        <v>0</v>
      </c>
      <c r="CV3" s="361">
        <v>0</v>
      </c>
      <c r="CW3" s="361">
        <v>0</v>
      </c>
      <c r="CX3" s="361">
        <v>0</v>
      </c>
      <c r="CY3" s="361">
        <v>0</v>
      </c>
      <c r="CZ3" s="361">
        <v>0</v>
      </c>
      <c r="DA3" s="361">
        <f t="shared" ref="DA3:DA13" si="8">SUM(CP3:CZ3)</f>
        <v>0</v>
      </c>
      <c r="DB3" s="361">
        <v>0</v>
      </c>
      <c r="DC3" s="361">
        <v>0</v>
      </c>
      <c r="DD3" s="361">
        <v>0</v>
      </c>
      <c r="DE3" s="361">
        <v>0</v>
      </c>
      <c r="DF3" s="361">
        <v>0</v>
      </c>
      <c r="DG3" s="361">
        <v>0</v>
      </c>
      <c r="DH3" s="361">
        <v>0</v>
      </c>
      <c r="DI3" s="361">
        <v>0</v>
      </c>
      <c r="DJ3" s="361">
        <v>0</v>
      </c>
      <c r="DK3" s="361">
        <v>0</v>
      </c>
      <c r="DL3" s="361">
        <v>0</v>
      </c>
      <c r="DM3" s="361">
        <f t="shared" ref="DM3:DM13" si="9">SUM(DB3:DL3)</f>
        <v>0</v>
      </c>
      <c r="DN3" s="361">
        <v>0</v>
      </c>
      <c r="DO3" s="361">
        <v>0</v>
      </c>
      <c r="DP3" s="361">
        <v>0</v>
      </c>
      <c r="DQ3" s="361">
        <v>0</v>
      </c>
      <c r="DR3" s="361">
        <v>0</v>
      </c>
      <c r="DS3" s="361">
        <v>0</v>
      </c>
      <c r="DT3" s="361">
        <v>0</v>
      </c>
      <c r="DU3" s="361">
        <v>0</v>
      </c>
      <c r="DV3" s="361">
        <v>0</v>
      </c>
      <c r="DW3" s="361">
        <v>0</v>
      </c>
      <c r="DX3" s="361">
        <v>0</v>
      </c>
      <c r="DY3" s="361">
        <f>SUM(DN3:DX3)</f>
        <v>0</v>
      </c>
      <c r="DZ3" s="361">
        <v>0</v>
      </c>
      <c r="EA3" s="361">
        <v>0</v>
      </c>
      <c r="EB3" s="361">
        <v>0</v>
      </c>
      <c r="EC3" s="361">
        <v>0</v>
      </c>
      <c r="ED3" s="361">
        <v>0</v>
      </c>
      <c r="EE3" s="361">
        <v>0</v>
      </c>
      <c r="EF3" s="361">
        <v>0</v>
      </c>
      <c r="EG3" s="361">
        <v>0</v>
      </c>
      <c r="EH3" s="361">
        <v>0</v>
      </c>
      <c r="EI3" s="361">
        <v>0</v>
      </c>
      <c r="EJ3" s="361">
        <v>0</v>
      </c>
      <c r="EK3" s="408">
        <f>SUM(DZ3:EJ3)</f>
        <v>0</v>
      </c>
    </row>
    <row r="4" spans="1:141" ht="75" x14ac:dyDescent="0.25">
      <c r="A4" s="401"/>
      <c r="B4" s="396" t="s">
        <v>1081</v>
      </c>
      <c r="C4" s="396" t="s">
        <v>198</v>
      </c>
      <c r="D4" s="396" t="s">
        <v>1080</v>
      </c>
      <c r="E4" s="396" t="s">
        <v>1324</v>
      </c>
      <c r="F4" s="177" t="s">
        <v>985</v>
      </c>
      <c r="G4" s="396"/>
      <c r="H4" s="396"/>
      <c r="I4" s="396" t="s">
        <v>1050</v>
      </c>
      <c r="J4" s="329">
        <f t="shared" si="0"/>
        <v>17914473.815000001</v>
      </c>
      <c r="K4" s="329">
        <v>13477069.59</v>
      </c>
      <c r="L4" s="329">
        <v>0</v>
      </c>
      <c r="M4" s="329">
        <v>0</v>
      </c>
      <c r="N4" s="329">
        <v>3115093.37</v>
      </c>
      <c r="O4" s="329">
        <v>549722.37</v>
      </c>
      <c r="P4" s="329">
        <v>0</v>
      </c>
      <c r="Q4" s="329">
        <v>0</v>
      </c>
      <c r="R4" s="329">
        <v>0</v>
      </c>
      <c r="S4" s="329">
        <v>0</v>
      </c>
      <c r="T4" s="329">
        <v>135460.07500000001</v>
      </c>
      <c r="U4" s="329">
        <f t="shared" si="1"/>
        <v>17277345.405000001</v>
      </c>
      <c r="V4" s="329">
        <v>134475.95000000001</v>
      </c>
      <c r="W4" s="329">
        <v>0</v>
      </c>
      <c r="X4" s="329">
        <v>0</v>
      </c>
      <c r="Y4" s="329">
        <v>0</v>
      </c>
      <c r="Z4" s="329">
        <v>0</v>
      </c>
      <c r="AA4" s="329">
        <v>0</v>
      </c>
      <c r="AB4" s="329">
        <v>0</v>
      </c>
      <c r="AC4" s="329">
        <v>0</v>
      </c>
      <c r="AD4" s="329">
        <v>0</v>
      </c>
      <c r="AE4" s="329">
        <v>0</v>
      </c>
      <c r="AF4" s="329">
        <v>2652.46</v>
      </c>
      <c r="AG4" s="329">
        <f t="shared" si="2"/>
        <v>137128.41</v>
      </c>
      <c r="AH4" s="329">
        <v>500000</v>
      </c>
      <c r="AI4" s="329">
        <v>0</v>
      </c>
      <c r="AJ4" s="329">
        <v>0</v>
      </c>
      <c r="AK4" s="329">
        <v>0</v>
      </c>
      <c r="AL4" s="329">
        <v>0</v>
      </c>
      <c r="AM4" s="329">
        <v>0</v>
      </c>
      <c r="AN4" s="329">
        <v>0</v>
      </c>
      <c r="AO4" s="329">
        <v>0</v>
      </c>
      <c r="AP4" s="329">
        <v>0</v>
      </c>
      <c r="AQ4" s="329">
        <v>0</v>
      </c>
      <c r="AR4" s="329">
        <v>0</v>
      </c>
      <c r="AS4" s="329">
        <f t="shared" si="3"/>
        <v>500000</v>
      </c>
      <c r="AT4" s="329">
        <v>0</v>
      </c>
      <c r="AU4" s="329">
        <v>0</v>
      </c>
      <c r="AV4" s="329">
        <v>0</v>
      </c>
      <c r="AW4" s="329">
        <v>0</v>
      </c>
      <c r="AX4" s="329">
        <v>0</v>
      </c>
      <c r="AY4" s="329">
        <v>0</v>
      </c>
      <c r="AZ4" s="329">
        <v>0</v>
      </c>
      <c r="BA4" s="329">
        <v>0</v>
      </c>
      <c r="BB4" s="329">
        <v>0</v>
      </c>
      <c r="BC4" s="329">
        <v>0</v>
      </c>
      <c r="BD4" s="329">
        <v>0</v>
      </c>
      <c r="BE4" s="329">
        <f t="shared" si="4"/>
        <v>0</v>
      </c>
      <c r="BF4" s="329">
        <v>0</v>
      </c>
      <c r="BG4" s="329">
        <v>0</v>
      </c>
      <c r="BH4" s="329">
        <v>0</v>
      </c>
      <c r="BI4" s="329">
        <v>0</v>
      </c>
      <c r="BJ4" s="329">
        <v>0</v>
      </c>
      <c r="BK4" s="329">
        <v>0</v>
      </c>
      <c r="BL4" s="329">
        <v>0</v>
      </c>
      <c r="BM4" s="329">
        <v>0</v>
      </c>
      <c r="BN4" s="329">
        <v>0</v>
      </c>
      <c r="BO4" s="329">
        <v>0</v>
      </c>
      <c r="BP4" s="329">
        <v>0</v>
      </c>
      <c r="BQ4" s="329">
        <f t="shared" si="5"/>
        <v>0</v>
      </c>
      <c r="BR4" s="329">
        <v>0</v>
      </c>
      <c r="BS4" s="329">
        <v>0</v>
      </c>
      <c r="BT4" s="329">
        <v>0</v>
      </c>
      <c r="BU4" s="329">
        <v>0</v>
      </c>
      <c r="BV4" s="329">
        <v>0</v>
      </c>
      <c r="BW4" s="329">
        <v>0</v>
      </c>
      <c r="BX4" s="329">
        <v>0</v>
      </c>
      <c r="BY4" s="329">
        <v>0</v>
      </c>
      <c r="BZ4" s="329">
        <v>0</v>
      </c>
      <c r="CA4" s="329">
        <v>0</v>
      </c>
      <c r="CB4" s="329">
        <v>0</v>
      </c>
      <c r="CC4" s="329">
        <f t="shared" si="6"/>
        <v>0</v>
      </c>
      <c r="CD4" s="329">
        <v>0</v>
      </c>
      <c r="CE4" s="329">
        <v>0</v>
      </c>
      <c r="CF4" s="329">
        <v>0</v>
      </c>
      <c r="CG4" s="329">
        <v>0</v>
      </c>
      <c r="CH4" s="329">
        <v>0</v>
      </c>
      <c r="CI4" s="329">
        <v>0</v>
      </c>
      <c r="CJ4" s="329">
        <v>0</v>
      </c>
      <c r="CK4" s="329">
        <v>0</v>
      </c>
      <c r="CL4" s="329">
        <v>0</v>
      </c>
      <c r="CM4" s="329">
        <v>0</v>
      </c>
      <c r="CN4" s="329">
        <v>0</v>
      </c>
      <c r="CO4" s="329">
        <f t="shared" si="7"/>
        <v>0</v>
      </c>
      <c r="CP4" s="329">
        <v>0</v>
      </c>
      <c r="CQ4" s="329">
        <v>0</v>
      </c>
      <c r="CR4" s="329">
        <v>0</v>
      </c>
      <c r="CS4" s="329">
        <v>0</v>
      </c>
      <c r="CT4" s="329">
        <v>0</v>
      </c>
      <c r="CU4" s="329">
        <v>0</v>
      </c>
      <c r="CV4" s="329">
        <v>0</v>
      </c>
      <c r="CW4" s="329">
        <v>0</v>
      </c>
      <c r="CX4" s="329">
        <v>0</v>
      </c>
      <c r="CY4" s="329">
        <v>0</v>
      </c>
      <c r="CZ4" s="329">
        <v>0</v>
      </c>
      <c r="DA4" s="329">
        <f t="shared" si="8"/>
        <v>0</v>
      </c>
      <c r="DB4" s="329">
        <v>0</v>
      </c>
      <c r="DC4" s="329">
        <v>0</v>
      </c>
      <c r="DD4" s="329">
        <v>0</v>
      </c>
      <c r="DE4" s="329">
        <v>0</v>
      </c>
      <c r="DF4" s="329">
        <v>0</v>
      </c>
      <c r="DG4" s="329">
        <v>0</v>
      </c>
      <c r="DH4" s="329">
        <v>0</v>
      </c>
      <c r="DI4" s="329">
        <v>0</v>
      </c>
      <c r="DJ4" s="329">
        <v>0</v>
      </c>
      <c r="DK4" s="329">
        <v>0</v>
      </c>
      <c r="DL4" s="329">
        <v>0</v>
      </c>
      <c r="DM4" s="329">
        <f t="shared" si="9"/>
        <v>0</v>
      </c>
      <c r="DN4" s="329">
        <v>0</v>
      </c>
      <c r="DO4" s="329">
        <v>0</v>
      </c>
      <c r="DP4" s="329">
        <v>0</v>
      </c>
      <c r="DQ4" s="329">
        <v>0</v>
      </c>
      <c r="DR4" s="329">
        <v>0</v>
      </c>
      <c r="DS4" s="329">
        <v>0</v>
      </c>
      <c r="DT4" s="329">
        <v>0</v>
      </c>
      <c r="DU4" s="329">
        <v>0</v>
      </c>
      <c r="DV4" s="329">
        <v>0</v>
      </c>
      <c r="DW4" s="329">
        <v>0</v>
      </c>
      <c r="DX4" s="329">
        <v>0</v>
      </c>
      <c r="DY4" s="329"/>
      <c r="DZ4" s="329">
        <v>0</v>
      </c>
      <c r="EA4" s="329">
        <v>0</v>
      </c>
      <c r="EB4" s="329">
        <v>0</v>
      </c>
      <c r="EC4" s="329">
        <v>0</v>
      </c>
      <c r="ED4" s="329">
        <v>0</v>
      </c>
      <c r="EE4" s="329">
        <v>0</v>
      </c>
      <c r="EF4" s="329">
        <v>0</v>
      </c>
      <c r="EG4" s="329">
        <v>0</v>
      </c>
      <c r="EH4" s="329">
        <v>0</v>
      </c>
      <c r="EI4" s="329">
        <v>0</v>
      </c>
      <c r="EJ4" s="329">
        <v>0</v>
      </c>
      <c r="EK4" s="341"/>
    </row>
    <row r="5" spans="1:141" ht="75" x14ac:dyDescent="0.25">
      <c r="A5" s="401"/>
      <c r="B5" s="56" t="s">
        <v>1077</v>
      </c>
      <c r="C5" s="56" t="s">
        <v>1078</v>
      </c>
      <c r="D5" s="56" t="s">
        <v>1076</v>
      </c>
      <c r="E5" s="397" t="s">
        <v>1364</v>
      </c>
      <c r="F5" s="183" t="s">
        <v>994</v>
      </c>
      <c r="G5" s="411" t="s">
        <v>926</v>
      </c>
      <c r="H5" s="412"/>
      <c r="I5" s="56" t="s">
        <v>1104</v>
      </c>
      <c r="J5" s="329">
        <f t="shared" si="0"/>
        <v>3433871.0999999996</v>
      </c>
      <c r="K5" s="326">
        <v>0</v>
      </c>
      <c r="L5" s="326">
        <v>205251.38</v>
      </c>
      <c r="M5" s="326">
        <v>180087</v>
      </c>
      <c r="N5" s="326">
        <v>2007706.81</v>
      </c>
      <c r="O5" s="326">
        <v>354301.19</v>
      </c>
      <c r="P5" s="326">
        <v>274712.65000000002</v>
      </c>
      <c r="Q5" s="326">
        <v>0</v>
      </c>
      <c r="R5" s="326">
        <v>0</v>
      </c>
      <c r="S5" s="326">
        <v>0</v>
      </c>
      <c r="T5" s="326">
        <f>244160.59+21345+9207.06</f>
        <v>274712.64999999997</v>
      </c>
      <c r="U5" s="326">
        <f t="shared" si="1"/>
        <v>3296771.6799999997</v>
      </c>
      <c r="V5" s="329">
        <v>0</v>
      </c>
      <c r="W5" s="329">
        <v>37035.670000000006</v>
      </c>
      <c r="X5" s="329">
        <v>0</v>
      </c>
      <c r="Y5" s="329">
        <v>0</v>
      </c>
      <c r="Z5" s="326">
        <v>0</v>
      </c>
      <c r="AA5" s="326">
        <v>0</v>
      </c>
      <c r="AB5" s="326">
        <v>0</v>
      </c>
      <c r="AC5" s="326">
        <v>0</v>
      </c>
      <c r="AD5" s="326">
        <v>0</v>
      </c>
      <c r="AE5" s="326">
        <v>0</v>
      </c>
      <c r="AF5" s="326">
        <v>63.75</v>
      </c>
      <c r="AG5" s="326">
        <f t="shared" si="2"/>
        <v>37099.420000000006</v>
      </c>
      <c r="AH5" s="326">
        <v>0</v>
      </c>
      <c r="AI5" s="326">
        <v>100000</v>
      </c>
      <c r="AJ5" s="326">
        <v>0</v>
      </c>
      <c r="AK5" s="326">
        <v>0</v>
      </c>
      <c r="AL5" s="326">
        <v>0</v>
      </c>
      <c r="AM5" s="326">
        <v>0</v>
      </c>
      <c r="AN5" s="326">
        <v>0</v>
      </c>
      <c r="AO5" s="326">
        <v>0</v>
      </c>
      <c r="AP5" s="326">
        <v>0</v>
      </c>
      <c r="AQ5" s="326">
        <v>0</v>
      </c>
      <c r="AR5" s="326">
        <v>0</v>
      </c>
      <c r="AS5" s="326">
        <f t="shared" si="3"/>
        <v>100000</v>
      </c>
      <c r="AT5" s="326">
        <v>0</v>
      </c>
      <c r="AU5" s="326">
        <v>0</v>
      </c>
      <c r="AV5" s="326">
        <v>0</v>
      </c>
      <c r="AW5" s="326">
        <v>0</v>
      </c>
      <c r="AX5" s="326">
        <v>0</v>
      </c>
      <c r="AY5" s="326">
        <v>0</v>
      </c>
      <c r="AZ5" s="326">
        <v>0</v>
      </c>
      <c r="BA5" s="326">
        <v>0</v>
      </c>
      <c r="BB5" s="326">
        <v>0</v>
      </c>
      <c r="BC5" s="326">
        <v>0</v>
      </c>
      <c r="BD5" s="326">
        <v>0</v>
      </c>
      <c r="BE5" s="326">
        <f t="shared" si="4"/>
        <v>0</v>
      </c>
      <c r="BF5" s="326">
        <v>0</v>
      </c>
      <c r="BG5" s="326">
        <v>0</v>
      </c>
      <c r="BH5" s="326">
        <v>0</v>
      </c>
      <c r="BI5" s="326">
        <v>0</v>
      </c>
      <c r="BJ5" s="326">
        <v>0</v>
      </c>
      <c r="BK5" s="326">
        <v>0</v>
      </c>
      <c r="BL5" s="326">
        <v>0</v>
      </c>
      <c r="BM5" s="326">
        <v>0</v>
      </c>
      <c r="BN5" s="326">
        <v>0</v>
      </c>
      <c r="BO5" s="326">
        <v>0</v>
      </c>
      <c r="BP5" s="326">
        <v>0</v>
      </c>
      <c r="BQ5" s="326">
        <f t="shared" si="5"/>
        <v>0</v>
      </c>
      <c r="BR5" s="326">
        <v>0</v>
      </c>
      <c r="BS5" s="326">
        <v>0</v>
      </c>
      <c r="BT5" s="326">
        <v>0</v>
      </c>
      <c r="BU5" s="326">
        <v>0</v>
      </c>
      <c r="BV5" s="326">
        <v>0</v>
      </c>
      <c r="BW5" s="326">
        <v>0</v>
      </c>
      <c r="BX5" s="326">
        <v>0</v>
      </c>
      <c r="BY5" s="326">
        <v>0</v>
      </c>
      <c r="BZ5" s="326">
        <v>0</v>
      </c>
      <c r="CA5" s="326">
        <v>0</v>
      </c>
      <c r="CB5" s="326">
        <v>0</v>
      </c>
      <c r="CC5" s="326">
        <f t="shared" si="6"/>
        <v>0</v>
      </c>
      <c r="CD5" s="329">
        <v>0</v>
      </c>
      <c r="CE5" s="329">
        <v>0</v>
      </c>
      <c r="CF5" s="329">
        <v>0</v>
      </c>
      <c r="CG5" s="329">
        <v>0</v>
      </c>
      <c r="CH5" s="329">
        <v>0</v>
      </c>
      <c r="CI5" s="329">
        <v>0</v>
      </c>
      <c r="CJ5" s="329">
        <v>0</v>
      </c>
      <c r="CK5" s="329">
        <v>0</v>
      </c>
      <c r="CL5" s="329">
        <v>0</v>
      </c>
      <c r="CM5" s="329">
        <v>0</v>
      </c>
      <c r="CN5" s="329">
        <v>0</v>
      </c>
      <c r="CO5" s="326">
        <f t="shared" si="7"/>
        <v>0</v>
      </c>
      <c r="CP5" s="329">
        <v>0</v>
      </c>
      <c r="CQ5" s="329">
        <v>0</v>
      </c>
      <c r="CR5" s="329">
        <v>0</v>
      </c>
      <c r="CS5" s="329">
        <v>0</v>
      </c>
      <c r="CT5" s="329">
        <v>0</v>
      </c>
      <c r="CU5" s="329">
        <v>0</v>
      </c>
      <c r="CV5" s="329">
        <v>0</v>
      </c>
      <c r="CW5" s="329">
        <v>0</v>
      </c>
      <c r="CX5" s="329">
        <v>0</v>
      </c>
      <c r="CY5" s="329">
        <v>0</v>
      </c>
      <c r="CZ5" s="329">
        <v>0</v>
      </c>
      <c r="DA5" s="326">
        <f t="shared" si="8"/>
        <v>0</v>
      </c>
      <c r="DB5" s="329">
        <v>0</v>
      </c>
      <c r="DC5" s="329">
        <v>0</v>
      </c>
      <c r="DD5" s="329">
        <v>0</v>
      </c>
      <c r="DE5" s="329">
        <v>0</v>
      </c>
      <c r="DF5" s="329">
        <v>0</v>
      </c>
      <c r="DG5" s="329">
        <v>0</v>
      </c>
      <c r="DH5" s="329">
        <v>0</v>
      </c>
      <c r="DI5" s="329">
        <v>0</v>
      </c>
      <c r="DJ5" s="329">
        <v>0</v>
      </c>
      <c r="DK5" s="329">
        <v>0</v>
      </c>
      <c r="DL5" s="329">
        <v>0</v>
      </c>
      <c r="DM5" s="326">
        <f t="shared" si="9"/>
        <v>0</v>
      </c>
      <c r="DN5" s="329">
        <v>0</v>
      </c>
      <c r="DO5" s="329">
        <v>0</v>
      </c>
      <c r="DP5" s="329">
        <v>0</v>
      </c>
      <c r="DQ5" s="329">
        <v>0</v>
      </c>
      <c r="DR5" s="329">
        <v>0</v>
      </c>
      <c r="DS5" s="329">
        <v>0</v>
      </c>
      <c r="DT5" s="329">
        <v>0</v>
      </c>
      <c r="DU5" s="329">
        <v>0</v>
      </c>
      <c r="DV5" s="329">
        <v>0</v>
      </c>
      <c r="DW5" s="329">
        <v>0</v>
      </c>
      <c r="DX5" s="329">
        <v>0</v>
      </c>
      <c r="DY5" s="326">
        <f>SUM(DN5:DX5)</f>
        <v>0</v>
      </c>
      <c r="DZ5" s="329">
        <v>0</v>
      </c>
      <c r="EA5" s="329">
        <v>0</v>
      </c>
      <c r="EB5" s="329">
        <v>0</v>
      </c>
      <c r="EC5" s="329">
        <v>0</v>
      </c>
      <c r="ED5" s="329">
        <v>0</v>
      </c>
      <c r="EE5" s="329">
        <v>0</v>
      </c>
      <c r="EF5" s="329">
        <v>0</v>
      </c>
      <c r="EG5" s="329">
        <v>0</v>
      </c>
      <c r="EH5" s="329">
        <v>0</v>
      </c>
      <c r="EI5" s="329">
        <v>0</v>
      </c>
      <c r="EJ5" s="329">
        <v>0</v>
      </c>
      <c r="EK5" s="341">
        <f>SUM(DZ5:EJ5)</f>
        <v>0</v>
      </c>
    </row>
    <row r="6" spans="1:141" ht="45" x14ac:dyDescent="0.25">
      <c r="A6" s="401"/>
      <c r="B6" s="396" t="s">
        <v>1066</v>
      </c>
      <c r="C6" s="61" t="s">
        <v>284</v>
      </c>
      <c r="D6" s="56" t="s">
        <v>1067</v>
      </c>
      <c r="E6" s="397" t="s">
        <v>1322</v>
      </c>
      <c r="F6" s="177" t="s">
        <v>987</v>
      </c>
      <c r="G6" s="56"/>
      <c r="H6" s="56"/>
      <c r="I6" s="56" t="s">
        <v>1005</v>
      </c>
      <c r="J6" s="329">
        <f t="shared" si="0"/>
        <v>18143021.84</v>
      </c>
      <c r="K6" s="326">
        <v>0</v>
      </c>
      <c r="L6" s="326">
        <v>8725222.4499999993</v>
      </c>
      <c r="M6" s="326">
        <v>957454.39</v>
      </c>
      <c r="N6" s="326">
        <v>5418279.9100000001</v>
      </c>
      <c r="O6" s="326">
        <v>912733.44</v>
      </c>
      <c r="P6" s="326">
        <v>699055.09</v>
      </c>
      <c r="Q6" s="326">
        <v>0</v>
      </c>
      <c r="R6" s="326">
        <v>0</v>
      </c>
      <c r="S6" s="326">
        <v>0</v>
      </c>
      <c r="T6" s="326">
        <v>0</v>
      </c>
      <c r="U6" s="326">
        <f t="shared" si="1"/>
        <v>16712745.279999999</v>
      </c>
      <c r="V6" s="329">
        <v>0</v>
      </c>
      <c r="W6" s="329">
        <v>1059165.72</v>
      </c>
      <c r="X6" s="329">
        <v>0</v>
      </c>
      <c r="Y6" s="329">
        <v>315444.21999999997</v>
      </c>
      <c r="Z6" s="326">
        <v>55666.62</v>
      </c>
      <c r="AA6" s="326">
        <v>0</v>
      </c>
      <c r="AB6" s="326">
        <v>0</v>
      </c>
      <c r="AC6" s="326">
        <v>0</v>
      </c>
      <c r="AD6" s="326">
        <v>0</v>
      </c>
      <c r="AE6" s="326">
        <v>0</v>
      </c>
      <c r="AF6" s="326">
        <v>0</v>
      </c>
      <c r="AG6" s="326">
        <f t="shared" si="2"/>
        <v>1430276.56</v>
      </c>
      <c r="AH6" s="326">
        <v>0</v>
      </c>
      <c r="AI6" s="326">
        <v>0</v>
      </c>
      <c r="AJ6" s="326">
        <v>0</v>
      </c>
      <c r="AK6" s="326">
        <v>0</v>
      </c>
      <c r="AL6" s="326">
        <v>0</v>
      </c>
      <c r="AM6" s="326">
        <v>0</v>
      </c>
      <c r="AN6" s="326">
        <v>0</v>
      </c>
      <c r="AO6" s="326">
        <v>0</v>
      </c>
      <c r="AP6" s="326">
        <v>0</v>
      </c>
      <c r="AQ6" s="326">
        <v>0</v>
      </c>
      <c r="AR6" s="326">
        <v>0</v>
      </c>
      <c r="AS6" s="326">
        <f t="shared" si="3"/>
        <v>0</v>
      </c>
      <c r="AT6" s="326">
        <v>0</v>
      </c>
      <c r="AU6" s="326">
        <v>0</v>
      </c>
      <c r="AV6" s="326">
        <v>0</v>
      </c>
      <c r="AW6" s="326">
        <v>0</v>
      </c>
      <c r="AX6" s="326">
        <v>0</v>
      </c>
      <c r="AY6" s="326">
        <v>0</v>
      </c>
      <c r="AZ6" s="326">
        <v>0</v>
      </c>
      <c r="BA6" s="326">
        <v>0</v>
      </c>
      <c r="BB6" s="326">
        <v>0</v>
      </c>
      <c r="BC6" s="326">
        <v>0</v>
      </c>
      <c r="BD6" s="326">
        <v>0</v>
      </c>
      <c r="BE6" s="326">
        <f t="shared" si="4"/>
        <v>0</v>
      </c>
      <c r="BF6" s="326">
        <v>0</v>
      </c>
      <c r="BG6" s="326">
        <v>0</v>
      </c>
      <c r="BH6" s="326">
        <v>0</v>
      </c>
      <c r="BI6" s="326">
        <v>0</v>
      </c>
      <c r="BJ6" s="326">
        <v>0</v>
      </c>
      <c r="BK6" s="326">
        <v>0</v>
      </c>
      <c r="BL6" s="326">
        <v>0</v>
      </c>
      <c r="BM6" s="326">
        <v>0</v>
      </c>
      <c r="BN6" s="326">
        <v>0</v>
      </c>
      <c r="BO6" s="326">
        <v>0</v>
      </c>
      <c r="BP6" s="326">
        <v>0</v>
      </c>
      <c r="BQ6" s="326">
        <f t="shared" si="5"/>
        <v>0</v>
      </c>
      <c r="BR6" s="326">
        <v>0</v>
      </c>
      <c r="BS6" s="326">
        <v>0</v>
      </c>
      <c r="BT6" s="326">
        <v>0</v>
      </c>
      <c r="BU6" s="326">
        <v>0</v>
      </c>
      <c r="BV6" s="326">
        <v>0</v>
      </c>
      <c r="BW6" s="326">
        <v>0</v>
      </c>
      <c r="BX6" s="326">
        <v>0</v>
      </c>
      <c r="BY6" s="326">
        <v>0</v>
      </c>
      <c r="BZ6" s="326">
        <v>0</v>
      </c>
      <c r="CA6" s="326">
        <v>0</v>
      </c>
      <c r="CB6" s="326">
        <v>0</v>
      </c>
      <c r="CC6" s="326">
        <f t="shared" si="6"/>
        <v>0</v>
      </c>
      <c r="CD6" s="326">
        <v>0</v>
      </c>
      <c r="CE6" s="326">
        <v>0</v>
      </c>
      <c r="CF6" s="326">
        <v>0</v>
      </c>
      <c r="CG6" s="326">
        <v>0</v>
      </c>
      <c r="CH6" s="326">
        <v>0</v>
      </c>
      <c r="CI6" s="326">
        <v>0</v>
      </c>
      <c r="CJ6" s="326">
        <v>0</v>
      </c>
      <c r="CK6" s="326">
        <v>0</v>
      </c>
      <c r="CL6" s="326">
        <v>0</v>
      </c>
      <c r="CM6" s="326">
        <v>0</v>
      </c>
      <c r="CN6" s="326">
        <v>0</v>
      </c>
      <c r="CO6" s="326">
        <f t="shared" si="7"/>
        <v>0</v>
      </c>
      <c r="CP6" s="326">
        <v>0</v>
      </c>
      <c r="CQ6" s="326">
        <v>0</v>
      </c>
      <c r="CR6" s="326">
        <v>0</v>
      </c>
      <c r="CS6" s="326">
        <v>0</v>
      </c>
      <c r="CT6" s="326">
        <v>0</v>
      </c>
      <c r="CU6" s="326">
        <v>0</v>
      </c>
      <c r="CV6" s="326">
        <v>0</v>
      </c>
      <c r="CW6" s="326">
        <v>0</v>
      </c>
      <c r="CX6" s="326">
        <v>0</v>
      </c>
      <c r="CY6" s="326">
        <v>0</v>
      </c>
      <c r="CZ6" s="326">
        <v>0</v>
      </c>
      <c r="DA6" s="326">
        <f t="shared" si="8"/>
        <v>0</v>
      </c>
      <c r="DB6" s="326">
        <v>0</v>
      </c>
      <c r="DC6" s="326">
        <v>0</v>
      </c>
      <c r="DD6" s="326">
        <v>0</v>
      </c>
      <c r="DE6" s="326">
        <v>0</v>
      </c>
      <c r="DF6" s="326">
        <v>0</v>
      </c>
      <c r="DG6" s="326">
        <v>0</v>
      </c>
      <c r="DH6" s="326">
        <v>0</v>
      </c>
      <c r="DI6" s="326">
        <v>0</v>
      </c>
      <c r="DJ6" s="326">
        <v>0</v>
      </c>
      <c r="DK6" s="326">
        <v>0</v>
      </c>
      <c r="DL6" s="326">
        <v>0</v>
      </c>
      <c r="DM6" s="326">
        <f t="shared" si="9"/>
        <v>0</v>
      </c>
      <c r="DN6" s="326">
        <v>0</v>
      </c>
      <c r="DO6" s="326">
        <v>0</v>
      </c>
      <c r="DP6" s="326">
        <v>0</v>
      </c>
      <c r="DQ6" s="326">
        <v>0</v>
      </c>
      <c r="DR6" s="326">
        <v>0</v>
      </c>
      <c r="DS6" s="326">
        <v>0</v>
      </c>
      <c r="DT6" s="326">
        <v>0</v>
      </c>
      <c r="DU6" s="326">
        <v>0</v>
      </c>
      <c r="DV6" s="326">
        <v>0</v>
      </c>
      <c r="DW6" s="326">
        <v>0</v>
      </c>
      <c r="DX6" s="326">
        <v>0</v>
      </c>
      <c r="DY6" s="326"/>
      <c r="DZ6" s="326">
        <v>0</v>
      </c>
      <c r="EA6" s="326">
        <v>0</v>
      </c>
      <c r="EB6" s="326">
        <v>0</v>
      </c>
      <c r="EC6" s="326">
        <v>0</v>
      </c>
      <c r="ED6" s="326">
        <v>0</v>
      </c>
      <c r="EE6" s="326">
        <v>0</v>
      </c>
      <c r="EF6" s="326">
        <v>0</v>
      </c>
      <c r="EG6" s="326">
        <v>0</v>
      </c>
      <c r="EH6" s="326">
        <v>0</v>
      </c>
      <c r="EI6" s="326">
        <v>0</v>
      </c>
      <c r="EJ6" s="326">
        <v>0</v>
      </c>
      <c r="EK6" s="341"/>
    </row>
    <row r="7" spans="1:141" ht="135" x14ac:dyDescent="0.25">
      <c r="A7" s="401"/>
      <c r="B7" s="56" t="s">
        <v>1083</v>
      </c>
      <c r="C7" s="56" t="s">
        <v>208</v>
      </c>
      <c r="D7" s="56" t="s">
        <v>1089</v>
      </c>
      <c r="E7" s="56" t="s">
        <v>1379</v>
      </c>
      <c r="F7" s="177" t="s">
        <v>990</v>
      </c>
      <c r="G7" s="56"/>
      <c r="H7" s="56"/>
      <c r="I7" s="56" t="s">
        <v>1006</v>
      </c>
      <c r="J7" s="329">
        <f t="shared" si="0"/>
        <v>4635704.1099999994</v>
      </c>
      <c r="K7" s="326">
        <v>143928</v>
      </c>
      <c r="L7" s="326">
        <v>0</v>
      </c>
      <c r="M7" s="326">
        <v>0</v>
      </c>
      <c r="N7" s="326">
        <v>2168750.38</v>
      </c>
      <c r="O7" s="326">
        <v>774897.88</v>
      </c>
      <c r="P7" s="326">
        <v>0</v>
      </c>
      <c r="Q7" s="326">
        <v>0</v>
      </c>
      <c r="R7" s="326">
        <v>0</v>
      </c>
      <c r="S7" s="326">
        <v>0</v>
      </c>
      <c r="T7" s="326">
        <v>48127.849999999984</v>
      </c>
      <c r="U7" s="326">
        <f t="shared" si="1"/>
        <v>3135704.11</v>
      </c>
      <c r="V7" s="329">
        <v>0</v>
      </c>
      <c r="W7" s="329">
        <v>0</v>
      </c>
      <c r="X7" s="329">
        <v>0</v>
      </c>
      <c r="Y7" s="329">
        <v>0</v>
      </c>
      <c r="Z7" s="326">
        <v>0</v>
      </c>
      <c r="AA7" s="326">
        <v>0</v>
      </c>
      <c r="AB7" s="326">
        <v>0</v>
      </c>
      <c r="AC7" s="326">
        <v>0</v>
      </c>
      <c r="AD7" s="326">
        <v>0</v>
      </c>
      <c r="AE7" s="326">
        <v>0</v>
      </c>
      <c r="AF7" s="326">
        <v>0</v>
      </c>
      <c r="AG7" s="326">
        <f t="shared" si="2"/>
        <v>0</v>
      </c>
      <c r="AH7" s="326">
        <v>1500000</v>
      </c>
      <c r="AI7" s="326">
        <v>0</v>
      </c>
      <c r="AJ7" s="326">
        <v>0</v>
      </c>
      <c r="AK7" s="326">
        <v>0</v>
      </c>
      <c r="AL7" s="326">
        <v>0</v>
      </c>
      <c r="AM7" s="326">
        <v>0</v>
      </c>
      <c r="AN7" s="326">
        <v>0</v>
      </c>
      <c r="AO7" s="326">
        <v>0</v>
      </c>
      <c r="AP7" s="326">
        <v>0</v>
      </c>
      <c r="AQ7" s="326">
        <v>0</v>
      </c>
      <c r="AR7" s="326">
        <v>0</v>
      </c>
      <c r="AS7" s="326">
        <f t="shared" si="3"/>
        <v>1500000</v>
      </c>
      <c r="AT7" s="326">
        <v>0</v>
      </c>
      <c r="AU7" s="326">
        <v>0</v>
      </c>
      <c r="AV7" s="326">
        <v>0</v>
      </c>
      <c r="AW7" s="326">
        <v>0</v>
      </c>
      <c r="AX7" s="326">
        <v>0</v>
      </c>
      <c r="AY7" s="326">
        <v>0</v>
      </c>
      <c r="AZ7" s="326">
        <v>0</v>
      </c>
      <c r="BA7" s="326">
        <v>0</v>
      </c>
      <c r="BB7" s="326">
        <v>0</v>
      </c>
      <c r="BC7" s="326">
        <v>0</v>
      </c>
      <c r="BD7" s="326">
        <v>0</v>
      </c>
      <c r="BE7" s="326">
        <f t="shared" si="4"/>
        <v>0</v>
      </c>
      <c r="BF7" s="326">
        <v>0</v>
      </c>
      <c r="BG7" s="326">
        <v>0</v>
      </c>
      <c r="BH7" s="326">
        <v>0</v>
      </c>
      <c r="BI7" s="326">
        <v>0</v>
      </c>
      <c r="BJ7" s="326">
        <v>0</v>
      </c>
      <c r="BK7" s="326">
        <v>0</v>
      </c>
      <c r="BL7" s="326">
        <v>0</v>
      </c>
      <c r="BM7" s="326">
        <v>0</v>
      </c>
      <c r="BN7" s="326">
        <v>0</v>
      </c>
      <c r="BO7" s="326">
        <v>0</v>
      </c>
      <c r="BP7" s="326">
        <v>0</v>
      </c>
      <c r="BQ7" s="326">
        <f t="shared" si="5"/>
        <v>0</v>
      </c>
      <c r="BR7" s="326">
        <v>0</v>
      </c>
      <c r="BS7" s="326">
        <v>0</v>
      </c>
      <c r="BT7" s="326">
        <v>0</v>
      </c>
      <c r="BU7" s="326">
        <v>0</v>
      </c>
      <c r="BV7" s="326">
        <v>0</v>
      </c>
      <c r="BW7" s="326">
        <v>0</v>
      </c>
      <c r="BX7" s="326">
        <v>0</v>
      </c>
      <c r="BY7" s="326">
        <v>0</v>
      </c>
      <c r="BZ7" s="326">
        <v>0</v>
      </c>
      <c r="CA7" s="326">
        <v>0</v>
      </c>
      <c r="CB7" s="326">
        <v>0</v>
      </c>
      <c r="CC7" s="326">
        <f t="shared" si="6"/>
        <v>0</v>
      </c>
      <c r="CD7" s="326">
        <v>0</v>
      </c>
      <c r="CE7" s="326">
        <v>0</v>
      </c>
      <c r="CF7" s="326">
        <v>0</v>
      </c>
      <c r="CG7" s="326">
        <v>0</v>
      </c>
      <c r="CH7" s="326">
        <v>0</v>
      </c>
      <c r="CI7" s="326">
        <v>0</v>
      </c>
      <c r="CJ7" s="326">
        <v>0</v>
      </c>
      <c r="CK7" s="326">
        <v>0</v>
      </c>
      <c r="CL7" s="326">
        <v>0</v>
      </c>
      <c r="CM7" s="326">
        <v>0</v>
      </c>
      <c r="CN7" s="326">
        <v>0</v>
      </c>
      <c r="CO7" s="326">
        <f t="shared" si="7"/>
        <v>0</v>
      </c>
      <c r="CP7" s="326">
        <v>0</v>
      </c>
      <c r="CQ7" s="326">
        <v>0</v>
      </c>
      <c r="CR7" s="326">
        <v>0</v>
      </c>
      <c r="CS7" s="326">
        <v>0</v>
      </c>
      <c r="CT7" s="326">
        <v>0</v>
      </c>
      <c r="CU7" s="326">
        <v>0</v>
      </c>
      <c r="CV7" s="326">
        <v>0</v>
      </c>
      <c r="CW7" s="326">
        <v>0</v>
      </c>
      <c r="CX7" s="326">
        <v>0</v>
      </c>
      <c r="CY7" s="326">
        <v>0</v>
      </c>
      <c r="CZ7" s="326">
        <v>0</v>
      </c>
      <c r="DA7" s="326">
        <f t="shared" si="8"/>
        <v>0</v>
      </c>
      <c r="DB7" s="326">
        <v>0</v>
      </c>
      <c r="DC7" s="326">
        <v>0</v>
      </c>
      <c r="DD7" s="326">
        <v>0</v>
      </c>
      <c r="DE7" s="326">
        <v>0</v>
      </c>
      <c r="DF7" s="326">
        <v>0</v>
      </c>
      <c r="DG7" s="326">
        <v>0</v>
      </c>
      <c r="DH7" s="326">
        <v>0</v>
      </c>
      <c r="DI7" s="326">
        <v>0</v>
      </c>
      <c r="DJ7" s="326">
        <v>0</v>
      </c>
      <c r="DK7" s="326">
        <v>0</v>
      </c>
      <c r="DL7" s="326">
        <v>0</v>
      </c>
      <c r="DM7" s="326">
        <f t="shared" si="9"/>
        <v>0</v>
      </c>
      <c r="DN7" s="326">
        <v>0</v>
      </c>
      <c r="DO7" s="326">
        <v>0</v>
      </c>
      <c r="DP7" s="326">
        <v>0</v>
      </c>
      <c r="DQ7" s="326">
        <v>0</v>
      </c>
      <c r="DR7" s="326">
        <v>0</v>
      </c>
      <c r="DS7" s="326">
        <v>0</v>
      </c>
      <c r="DT7" s="326">
        <v>0</v>
      </c>
      <c r="DU7" s="326">
        <v>0</v>
      </c>
      <c r="DV7" s="326">
        <v>0</v>
      </c>
      <c r="DW7" s="326">
        <v>0</v>
      </c>
      <c r="DX7" s="326">
        <v>0</v>
      </c>
      <c r="DY7" s="326">
        <f t="shared" ref="DY7:DY13" si="10">SUM(DN7:DX7)</f>
        <v>0</v>
      </c>
      <c r="DZ7" s="326">
        <v>0</v>
      </c>
      <c r="EA7" s="326">
        <v>0</v>
      </c>
      <c r="EB7" s="326">
        <v>0</v>
      </c>
      <c r="EC7" s="326">
        <v>0</v>
      </c>
      <c r="ED7" s="326">
        <v>0</v>
      </c>
      <c r="EE7" s="326">
        <v>0</v>
      </c>
      <c r="EF7" s="326">
        <v>0</v>
      </c>
      <c r="EG7" s="326">
        <v>0</v>
      </c>
      <c r="EH7" s="326">
        <v>0</v>
      </c>
      <c r="EI7" s="326">
        <v>0</v>
      </c>
      <c r="EJ7" s="326">
        <v>0</v>
      </c>
      <c r="EK7" s="341">
        <f t="shared" ref="EK7:EK13" si="11">SUM(DZ7:EJ7)</f>
        <v>0</v>
      </c>
    </row>
    <row r="8" spans="1:141" ht="30" x14ac:dyDescent="0.25">
      <c r="A8" s="401"/>
      <c r="B8" s="56" t="s">
        <v>866</v>
      </c>
      <c r="C8" s="56" t="s">
        <v>210</v>
      </c>
      <c r="D8" s="56" t="s">
        <v>1082</v>
      </c>
      <c r="E8" s="56" t="s">
        <v>1380</v>
      </c>
      <c r="F8" s="177" t="s">
        <v>993</v>
      </c>
      <c r="G8" s="56"/>
      <c r="H8" s="56"/>
      <c r="I8" s="56" t="s">
        <v>1050</v>
      </c>
      <c r="J8" s="329">
        <f t="shared" si="0"/>
        <v>6141944.29</v>
      </c>
      <c r="K8" s="326">
        <v>1193850.5299999998</v>
      </c>
      <c r="L8" s="326">
        <v>0</v>
      </c>
      <c r="M8" s="326">
        <v>0</v>
      </c>
      <c r="N8" s="326">
        <v>2204400.9300000002</v>
      </c>
      <c r="O8" s="326">
        <v>734800.31</v>
      </c>
      <c r="P8" s="326">
        <v>0</v>
      </c>
      <c r="Q8" s="326">
        <v>0</v>
      </c>
      <c r="R8" s="326">
        <v>0</v>
      </c>
      <c r="S8" s="326">
        <v>0</v>
      </c>
      <c r="T8" s="326">
        <v>300457.5199999999</v>
      </c>
      <c r="U8" s="326">
        <f t="shared" si="1"/>
        <v>4433509.29</v>
      </c>
      <c r="V8" s="329">
        <v>208435</v>
      </c>
      <c r="W8" s="329">
        <v>0</v>
      </c>
      <c r="X8" s="329">
        <v>0</v>
      </c>
      <c r="Y8" s="329">
        <v>0</v>
      </c>
      <c r="Z8" s="326">
        <v>0</v>
      </c>
      <c r="AA8" s="326">
        <v>0</v>
      </c>
      <c r="AB8" s="326">
        <v>0</v>
      </c>
      <c r="AC8" s="326">
        <v>0</v>
      </c>
      <c r="AD8" s="326">
        <v>0</v>
      </c>
      <c r="AE8" s="326">
        <v>0</v>
      </c>
      <c r="AF8" s="326">
        <v>0</v>
      </c>
      <c r="AG8" s="326">
        <f t="shared" si="2"/>
        <v>208435</v>
      </c>
      <c r="AH8" s="326">
        <v>1500000</v>
      </c>
      <c r="AI8" s="326">
        <v>0</v>
      </c>
      <c r="AJ8" s="326">
        <v>0</v>
      </c>
      <c r="AK8" s="326">
        <v>0</v>
      </c>
      <c r="AL8" s="326">
        <v>0</v>
      </c>
      <c r="AM8" s="326">
        <v>0</v>
      </c>
      <c r="AN8" s="326">
        <v>0</v>
      </c>
      <c r="AO8" s="326">
        <v>0</v>
      </c>
      <c r="AP8" s="326">
        <v>0</v>
      </c>
      <c r="AQ8" s="326">
        <v>0</v>
      </c>
      <c r="AR8" s="326">
        <v>0</v>
      </c>
      <c r="AS8" s="326">
        <f t="shared" si="3"/>
        <v>1500000</v>
      </c>
      <c r="AT8" s="326">
        <v>0</v>
      </c>
      <c r="AU8" s="326">
        <v>0</v>
      </c>
      <c r="AV8" s="326">
        <v>0</v>
      </c>
      <c r="AW8" s="326">
        <v>0</v>
      </c>
      <c r="AX8" s="326">
        <v>0</v>
      </c>
      <c r="AY8" s="326">
        <v>0</v>
      </c>
      <c r="AZ8" s="326">
        <v>0</v>
      </c>
      <c r="BA8" s="326">
        <v>0</v>
      </c>
      <c r="BB8" s="326">
        <v>0</v>
      </c>
      <c r="BC8" s="326">
        <v>0</v>
      </c>
      <c r="BD8" s="326">
        <v>0</v>
      </c>
      <c r="BE8" s="326">
        <f t="shared" si="4"/>
        <v>0</v>
      </c>
      <c r="BF8" s="326">
        <v>0</v>
      </c>
      <c r="BG8" s="326">
        <v>0</v>
      </c>
      <c r="BH8" s="326">
        <v>0</v>
      </c>
      <c r="BI8" s="326">
        <v>0</v>
      </c>
      <c r="BJ8" s="326">
        <v>0</v>
      </c>
      <c r="BK8" s="326">
        <v>0</v>
      </c>
      <c r="BL8" s="326">
        <v>0</v>
      </c>
      <c r="BM8" s="326">
        <v>0</v>
      </c>
      <c r="BN8" s="326">
        <v>0</v>
      </c>
      <c r="BO8" s="326">
        <v>0</v>
      </c>
      <c r="BP8" s="326">
        <v>0</v>
      </c>
      <c r="BQ8" s="326">
        <f t="shared" si="5"/>
        <v>0</v>
      </c>
      <c r="BR8" s="326">
        <v>0</v>
      </c>
      <c r="BS8" s="326">
        <v>0</v>
      </c>
      <c r="BT8" s="326">
        <v>0</v>
      </c>
      <c r="BU8" s="326">
        <v>0</v>
      </c>
      <c r="BV8" s="326">
        <v>0</v>
      </c>
      <c r="BW8" s="326">
        <v>0</v>
      </c>
      <c r="BX8" s="326">
        <v>0</v>
      </c>
      <c r="BY8" s="326">
        <v>0</v>
      </c>
      <c r="BZ8" s="326">
        <v>0</v>
      </c>
      <c r="CA8" s="326">
        <v>0</v>
      </c>
      <c r="CB8" s="326">
        <v>0</v>
      </c>
      <c r="CC8" s="326">
        <f t="shared" si="6"/>
        <v>0</v>
      </c>
      <c r="CD8" s="326">
        <v>0</v>
      </c>
      <c r="CE8" s="326">
        <v>0</v>
      </c>
      <c r="CF8" s="326">
        <v>0</v>
      </c>
      <c r="CG8" s="326">
        <v>0</v>
      </c>
      <c r="CH8" s="326">
        <v>0</v>
      </c>
      <c r="CI8" s="326">
        <v>0</v>
      </c>
      <c r="CJ8" s="326">
        <v>0</v>
      </c>
      <c r="CK8" s="326">
        <v>0</v>
      </c>
      <c r="CL8" s="326">
        <v>0</v>
      </c>
      <c r="CM8" s="326">
        <v>0</v>
      </c>
      <c r="CN8" s="326">
        <v>0</v>
      </c>
      <c r="CO8" s="326">
        <f t="shared" si="7"/>
        <v>0</v>
      </c>
      <c r="CP8" s="326">
        <v>0</v>
      </c>
      <c r="CQ8" s="326">
        <v>0</v>
      </c>
      <c r="CR8" s="326">
        <v>0</v>
      </c>
      <c r="CS8" s="326">
        <v>0</v>
      </c>
      <c r="CT8" s="326">
        <v>0</v>
      </c>
      <c r="CU8" s="326">
        <v>0</v>
      </c>
      <c r="CV8" s="326">
        <v>0</v>
      </c>
      <c r="CW8" s="326">
        <v>0</v>
      </c>
      <c r="CX8" s="326">
        <v>0</v>
      </c>
      <c r="CY8" s="326">
        <v>0</v>
      </c>
      <c r="CZ8" s="326">
        <v>0</v>
      </c>
      <c r="DA8" s="326">
        <f t="shared" si="8"/>
        <v>0</v>
      </c>
      <c r="DB8" s="326">
        <v>0</v>
      </c>
      <c r="DC8" s="326">
        <v>0</v>
      </c>
      <c r="DD8" s="326">
        <v>0</v>
      </c>
      <c r="DE8" s="326">
        <v>0</v>
      </c>
      <c r="DF8" s="326">
        <v>0</v>
      </c>
      <c r="DG8" s="326">
        <v>0</v>
      </c>
      <c r="DH8" s="326">
        <v>0</v>
      </c>
      <c r="DI8" s="326">
        <v>0</v>
      </c>
      <c r="DJ8" s="326">
        <v>0</v>
      </c>
      <c r="DK8" s="326">
        <v>0</v>
      </c>
      <c r="DL8" s="326">
        <v>0</v>
      </c>
      <c r="DM8" s="326">
        <f t="shared" si="9"/>
        <v>0</v>
      </c>
      <c r="DN8" s="326">
        <v>0</v>
      </c>
      <c r="DO8" s="326">
        <v>0</v>
      </c>
      <c r="DP8" s="326">
        <v>0</v>
      </c>
      <c r="DQ8" s="326">
        <v>0</v>
      </c>
      <c r="DR8" s="326">
        <v>0</v>
      </c>
      <c r="DS8" s="326">
        <v>0</v>
      </c>
      <c r="DT8" s="326">
        <v>0</v>
      </c>
      <c r="DU8" s="326">
        <v>0</v>
      </c>
      <c r="DV8" s="326">
        <v>0</v>
      </c>
      <c r="DW8" s="326">
        <v>0</v>
      </c>
      <c r="DX8" s="326">
        <v>0</v>
      </c>
      <c r="DY8" s="326">
        <f t="shared" si="10"/>
        <v>0</v>
      </c>
      <c r="DZ8" s="326">
        <v>0</v>
      </c>
      <c r="EA8" s="326">
        <v>0</v>
      </c>
      <c r="EB8" s="326">
        <v>0</v>
      </c>
      <c r="EC8" s="326">
        <v>0</v>
      </c>
      <c r="ED8" s="326">
        <v>0</v>
      </c>
      <c r="EE8" s="326">
        <v>0</v>
      </c>
      <c r="EF8" s="326">
        <v>0</v>
      </c>
      <c r="EG8" s="326">
        <v>0</v>
      </c>
      <c r="EH8" s="326">
        <v>0</v>
      </c>
      <c r="EI8" s="326">
        <v>0</v>
      </c>
      <c r="EJ8" s="326">
        <v>0</v>
      </c>
      <c r="EK8" s="341">
        <f t="shared" si="11"/>
        <v>0</v>
      </c>
    </row>
    <row r="9" spans="1:141" ht="180" x14ac:dyDescent="0.25">
      <c r="A9" s="401"/>
      <c r="B9" s="56" t="s">
        <v>1086</v>
      </c>
      <c r="C9" s="56" t="s">
        <v>1088</v>
      </c>
      <c r="D9" s="56" t="s">
        <v>1087</v>
      </c>
      <c r="E9" s="56"/>
      <c r="F9" s="233" t="s">
        <v>995</v>
      </c>
      <c r="G9" s="56"/>
      <c r="H9" s="56"/>
      <c r="I9" s="56" t="s">
        <v>1005</v>
      </c>
      <c r="J9" s="329">
        <f t="shared" si="0"/>
        <v>1814777.18</v>
      </c>
      <c r="K9" s="326">
        <v>0</v>
      </c>
      <c r="L9" s="326">
        <v>0</v>
      </c>
      <c r="M9" s="326">
        <v>0</v>
      </c>
      <c r="N9" s="326">
        <v>1048845.6000000001</v>
      </c>
      <c r="O9" s="326">
        <v>185090.4</v>
      </c>
      <c r="P9" s="326">
        <v>0</v>
      </c>
      <c r="Q9" s="326">
        <v>0</v>
      </c>
      <c r="R9" s="326">
        <v>0</v>
      </c>
      <c r="S9" s="326">
        <v>0</v>
      </c>
      <c r="T9" s="326">
        <v>375185.18</v>
      </c>
      <c r="U9" s="326">
        <f t="shared" si="1"/>
        <v>1609121.18</v>
      </c>
      <c r="V9" s="329">
        <v>0</v>
      </c>
      <c r="W9" s="329">
        <v>0</v>
      </c>
      <c r="X9" s="329">
        <v>0</v>
      </c>
      <c r="Y9" s="329">
        <v>0</v>
      </c>
      <c r="Z9" s="326">
        <v>0</v>
      </c>
      <c r="AA9" s="326">
        <v>0</v>
      </c>
      <c r="AB9" s="326">
        <v>0</v>
      </c>
      <c r="AC9" s="326">
        <v>0</v>
      </c>
      <c r="AD9" s="326">
        <v>0</v>
      </c>
      <c r="AE9" s="326">
        <v>0</v>
      </c>
      <c r="AF9" s="326">
        <v>0</v>
      </c>
      <c r="AG9" s="326">
        <f t="shared" si="2"/>
        <v>0</v>
      </c>
      <c r="AH9" s="326">
        <v>0</v>
      </c>
      <c r="AI9" s="326">
        <v>0</v>
      </c>
      <c r="AJ9" s="326">
        <v>102828</v>
      </c>
      <c r="AK9" s="326">
        <v>0</v>
      </c>
      <c r="AL9" s="326">
        <v>0</v>
      </c>
      <c r="AM9" s="326">
        <v>0</v>
      </c>
      <c r="AN9" s="326">
        <v>0</v>
      </c>
      <c r="AO9" s="326">
        <v>0</v>
      </c>
      <c r="AP9" s="326">
        <v>0</v>
      </c>
      <c r="AQ9" s="326">
        <v>0</v>
      </c>
      <c r="AR9" s="326">
        <v>0</v>
      </c>
      <c r="AS9" s="326">
        <f t="shared" si="3"/>
        <v>102828</v>
      </c>
      <c r="AT9" s="326">
        <v>0</v>
      </c>
      <c r="AU9" s="326">
        <v>0</v>
      </c>
      <c r="AV9" s="326">
        <v>102828</v>
      </c>
      <c r="AW9" s="326">
        <v>0</v>
      </c>
      <c r="AX9" s="326">
        <v>0</v>
      </c>
      <c r="AY9" s="326">
        <v>0</v>
      </c>
      <c r="AZ9" s="326">
        <v>0</v>
      </c>
      <c r="BA9" s="326">
        <v>0</v>
      </c>
      <c r="BB9" s="326">
        <v>0</v>
      </c>
      <c r="BC9" s="326">
        <v>0</v>
      </c>
      <c r="BD9" s="326">
        <v>0</v>
      </c>
      <c r="BE9" s="326">
        <f t="shared" si="4"/>
        <v>102828</v>
      </c>
      <c r="BF9" s="326">
        <v>0</v>
      </c>
      <c r="BG9" s="326">
        <v>0</v>
      </c>
      <c r="BH9" s="326">
        <v>0</v>
      </c>
      <c r="BI9" s="326">
        <v>0</v>
      </c>
      <c r="BJ9" s="326">
        <v>0</v>
      </c>
      <c r="BK9" s="326">
        <v>0</v>
      </c>
      <c r="BL9" s="326">
        <v>0</v>
      </c>
      <c r="BM9" s="326">
        <v>0</v>
      </c>
      <c r="BN9" s="326">
        <v>0</v>
      </c>
      <c r="BO9" s="326">
        <v>0</v>
      </c>
      <c r="BP9" s="326">
        <v>0</v>
      </c>
      <c r="BQ9" s="326">
        <f t="shared" si="5"/>
        <v>0</v>
      </c>
      <c r="BR9" s="326">
        <v>0</v>
      </c>
      <c r="BS9" s="326">
        <v>0</v>
      </c>
      <c r="BT9" s="326">
        <v>0</v>
      </c>
      <c r="BU9" s="326">
        <v>0</v>
      </c>
      <c r="BV9" s="326">
        <v>0</v>
      </c>
      <c r="BW9" s="326">
        <v>0</v>
      </c>
      <c r="BX9" s="326">
        <v>0</v>
      </c>
      <c r="BY9" s="326">
        <v>0</v>
      </c>
      <c r="BZ9" s="326">
        <v>0</v>
      </c>
      <c r="CA9" s="326">
        <v>0</v>
      </c>
      <c r="CB9" s="326">
        <v>0</v>
      </c>
      <c r="CC9" s="326">
        <f t="shared" si="6"/>
        <v>0</v>
      </c>
      <c r="CD9" s="326">
        <v>0</v>
      </c>
      <c r="CE9" s="326">
        <v>0</v>
      </c>
      <c r="CF9" s="326">
        <v>0</v>
      </c>
      <c r="CG9" s="326">
        <v>0</v>
      </c>
      <c r="CH9" s="326">
        <v>0</v>
      </c>
      <c r="CI9" s="326">
        <v>0</v>
      </c>
      <c r="CJ9" s="326">
        <v>0</v>
      </c>
      <c r="CK9" s="326">
        <v>0</v>
      </c>
      <c r="CL9" s="326">
        <v>0</v>
      </c>
      <c r="CM9" s="326">
        <v>0</v>
      </c>
      <c r="CN9" s="326">
        <v>0</v>
      </c>
      <c r="CO9" s="326">
        <f t="shared" si="7"/>
        <v>0</v>
      </c>
      <c r="CP9" s="326">
        <v>0</v>
      </c>
      <c r="CQ9" s="326">
        <v>0</v>
      </c>
      <c r="CR9" s="326">
        <v>0</v>
      </c>
      <c r="CS9" s="326">
        <v>0</v>
      </c>
      <c r="CT9" s="326">
        <v>0</v>
      </c>
      <c r="CU9" s="326">
        <v>0</v>
      </c>
      <c r="CV9" s="326">
        <v>0</v>
      </c>
      <c r="CW9" s="326">
        <v>0</v>
      </c>
      <c r="CX9" s="326">
        <v>0</v>
      </c>
      <c r="CY9" s="326">
        <v>0</v>
      </c>
      <c r="CZ9" s="326">
        <v>0</v>
      </c>
      <c r="DA9" s="326">
        <f t="shared" si="8"/>
        <v>0</v>
      </c>
      <c r="DB9" s="326">
        <v>0</v>
      </c>
      <c r="DC9" s="326">
        <v>0</v>
      </c>
      <c r="DD9" s="326">
        <v>0</v>
      </c>
      <c r="DE9" s="326">
        <v>0</v>
      </c>
      <c r="DF9" s="326">
        <v>0</v>
      </c>
      <c r="DG9" s="326">
        <v>0</v>
      </c>
      <c r="DH9" s="326">
        <v>0</v>
      </c>
      <c r="DI9" s="326">
        <v>0</v>
      </c>
      <c r="DJ9" s="326">
        <v>0</v>
      </c>
      <c r="DK9" s="326">
        <v>0</v>
      </c>
      <c r="DL9" s="326">
        <v>0</v>
      </c>
      <c r="DM9" s="326">
        <f t="shared" si="9"/>
        <v>0</v>
      </c>
      <c r="DN9" s="326">
        <v>0</v>
      </c>
      <c r="DO9" s="326">
        <v>0</v>
      </c>
      <c r="DP9" s="326">
        <v>0</v>
      </c>
      <c r="DQ9" s="326">
        <v>0</v>
      </c>
      <c r="DR9" s="326">
        <v>0</v>
      </c>
      <c r="DS9" s="326">
        <v>0</v>
      </c>
      <c r="DT9" s="326">
        <v>0</v>
      </c>
      <c r="DU9" s="326">
        <v>0</v>
      </c>
      <c r="DV9" s="326">
        <v>0</v>
      </c>
      <c r="DW9" s="326">
        <v>0</v>
      </c>
      <c r="DX9" s="326">
        <v>0</v>
      </c>
      <c r="DY9" s="326">
        <f t="shared" si="10"/>
        <v>0</v>
      </c>
      <c r="DZ9" s="326">
        <v>0</v>
      </c>
      <c r="EA9" s="326">
        <v>0</v>
      </c>
      <c r="EB9" s="326">
        <v>0</v>
      </c>
      <c r="EC9" s="326">
        <v>0</v>
      </c>
      <c r="ED9" s="326">
        <v>0</v>
      </c>
      <c r="EE9" s="326">
        <v>0</v>
      </c>
      <c r="EF9" s="326">
        <v>0</v>
      </c>
      <c r="EG9" s="326">
        <v>0</v>
      </c>
      <c r="EH9" s="326">
        <v>0</v>
      </c>
      <c r="EI9" s="326">
        <v>0</v>
      </c>
      <c r="EJ9" s="326">
        <v>0</v>
      </c>
      <c r="EK9" s="341">
        <f t="shared" si="11"/>
        <v>0</v>
      </c>
    </row>
    <row r="10" spans="1:141" ht="60" x14ac:dyDescent="0.25">
      <c r="A10" s="401"/>
      <c r="B10" s="56"/>
      <c r="C10" s="56"/>
      <c r="D10" s="56"/>
      <c r="E10" s="56" t="s">
        <v>1381</v>
      </c>
      <c r="F10" s="233" t="s">
        <v>996</v>
      </c>
      <c r="G10" s="56"/>
      <c r="H10" s="56"/>
      <c r="I10" s="56" t="s">
        <v>1007</v>
      </c>
      <c r="J10" s="329">
        <f t="shared" si="0"/>
        <v>35173.910000000003</v>
      </c>
      <c r="K10" s="326">
        <v>35173.910000000003</v>
      </c>
      <c r="L10" s="326">
        <v>0</v>
      </c>
      <c r="M10" s="326">
        <v>0</v>
      </c>
      <c r="N10" s="326">
        <v>0</v>
      </c>
      <c r="O10" s="326">
        <v>0</v>
      </c>
      <c r="P10" s="326">
        <v>0</v>
      </c>
      <c r="Q10" s="326">
        <v>0</v>
      </c>
      <c r="R10" s="326">
        <v>0</v>
      </c>
      <c r="S10" s="326">
        <v>0</v>
      </c>
      <c r="T10" s="326">
        <v>0</v>
      </c>
      <c r="U10" s="326">
        <f t="shared" si="1"/>
        <v>35173.910000000003</v>
      </c>
      <c r="V10" s="329">
        <v>0</v>
      </c>
      <c r="W10" s="329">
        <v>0</v>
      </c>
      <c r="X10" s="329">
        <v>0</v>
      </c>
      <c r="Y10" s="329">
        <v>0</v>
      </c>
      <c r="Z10" s="326">
        <v>0</v>
      </c>
      <c r="AA10" s="326">
        <v>0</v>
      </c>
      <c r="AB10" s="326">
        <v>0</v>
      </c>
      <c r="AC10" s="326">
        <v>0</v>
      </c>
      <c r="AD10" s="326">
        <v>0</v>
      </c>
      <c r="AE10" s="326">
        <v>0</v>
      </c>
      <c r="AF10" s="326">
        <v>0</v>
      </c>
      <c r="AG10" s="326">
        <f t="shared" si="2"/>
        <v>0</v>
      </c>
      <c r="AH10" s="326">
        <v>0</v>
      </c>
      <c r="AI10" s="326">
        <v>0</v>
      </c>
      <c r="AJ10" s="326">
        <v>0</v>
      </c>
      <c r="AK10" s="326">
        <v>0</v>
      </c>
      <c r="AL10" s="326">
        <v>0</v>
      </c>
      <c r="AM10" s="326">
        <v>0</v>
      </c>
      <c r="AN10" s="326">
        <v>0</v>
      </c>
      <c r="AO10" s="326">
        <v>0</v>
      </c>
      <c r="AP10" s="326">
        <v>0</v>
      </c>
      <c r="AQ10" s="326">
        <v>0</v>
      </c>
      <c r="AR10" s="326">
        <v>0</v>
      </c>
      <c r="AS10" s="326">
        <f t="shared" si="3"/>
        <v>0</v>
      </c>
      <c r="AT10" s="326">
        <v>0</v>
      </c>
      <c r="AU10" s="326">
        <v>0</v>
      </c>
      <c r="AV10" s="326">
        <v>0</v>
      </c>
      <c r="AW10" s="326">
        <v>0</v>
      </c>
      <c r="AX10" s="326">
        <v>0</v>
      </c>
      <c r="AY10" s="326">
        <v>0</v>
      </c>
      <c r="AZ10" s="326">
        <v>0</v>
      </c>
      <c r="BA10" s="326">
        <v>0</v>
      </c>
      <c r="BB10" s="326">
        <v>0</v>
      </c>
      <c r="BC10" s="326">
        <v>0</v>
      </c>
      <c r="BD10" s="326">
        <v>0</v>
      </c>
      <c r="BE10" s="326">
        <f t="shared" si="4"/>
        <v>0</v>
      </c>
      <c r="BF10" s="326">
        <v>0</v>
      </c>
      <c r="BG10" s="326">
        <v>0</v>
      </c>
      <c r="BH10" s="326">
        <v>0</v>
      </c>
      <c r="BI10" s="326">
        <v>0</v>
      </c>
      <c r="BJ10" s="326">
        <v>0</v>
      </c>
      <c r="BK10" s="326">
        <v>0</v>
      </c>
      <c r="BL10" s="326">
        <v>0</v>
      </c>
      <c r="BM10" s="326">
        <v>0</v>
      </c>
      <c r="BN10" s="326">
        <v>0</v>
      </c>
      <c r="BO10" s="326">
        <v>0</v>
      </c>
      <c r="BP10" s="326">
        <v>0</v>
      </c>
      <c r="BQ10" s="326">
        <f t="shared" si="5"/>
        <v>0</v>
      </c>
      <c r="BR10" s="326">
        <v>0</v>
      </c>
      <c r="BS10" s="326">
        <v>0</v>
      </c>
      <c r="BT10" s="326">
        <v>0</v>
      </c>
      <c r="BU10" s="326">
        <v>0</v>
      </c>
      <c r="BV10" s="326">
        <v>0</v>
      </c>
      <c r="BW10" s="326">
        <v>0</v>
      </c>
      <c r="BX10" s="326">
        <v>0</v>
      </c>
      <c r="BY10" s="326">
        <v>0</v>
      </c>
      <c r="BZ10" s="326">
        <v>0</v>
      </c>
      <c r="CA10" s="326">
        <v>0</v>
      </c>
      <c r="CB10" s="326">
        <v>0</v>
      </c>
      <c r="CC10" s="326">
        <f t="shared" si="6"/>
        <v>0</v>
      </c>
      <c r="CD10" s="326">
        <v>0</v>
      </c>
      <c r="CE10" s="326">
        <v>0</v>
      </c>
      <c r="CF10" s="326">
        <v>0</v>
      </c>
      <c r="CG10" s="326">
        <v>0</v>
      </c>
      <c r="CH10" s="326">
        <v>0</v>
      </c>
      <c r="CI10" s="326">
        <v>0</v>
      </c>
      <c r="CJ10" s="326">
        <v>0</v>
      </c>
      <c r="CK10" s="326">
        <v>0</v>
      </c>
      <c r="CL10" s="326">
        <v>0</v>
      </c>
      <c r="CM10" s="326">
        <v>0</v>
      </c>
      <c r="CN10" s="326">
        <v>0</v>
      </c>
      <c r="CO10" s="326">
        <f t="shared" si="7"/>
        <v>0</v>
      </c>
      <c r="CP10" s="326">
        <v>0</v>
      </c>
      <c r="CQ10" s="326">
        <v>0</v>
      </c>
      <c r="CR10" s="326">
        <v>0</v>
      </c>
      <c r="CS10" s="326">
        <v>0</v>
      </c>
      <c r="CT10" s="326">
        <v>0</v>
      </c>
      <c r="CU10" s="326">
        <v>0</v>
      </c>
      <c r="CV10" s="326">
        <v>0</v>
      </c>
      <c r="CW10" s="326">
        <v>0</v>
      </c>
      <c r="CX10" s="326">
        <v>0</v>
      </c>
      <c r="CY10" s="326">
        <v>0</v>
      </c>
      <c r="CZ10" s="326">
        <v>0</v>
      </c>
      <c r="DA10" s="326">
        <f t="shared" si="8"/>
        <v>0</v>
      </c>
      <c r="DB10" s="326">
        <v>0</v>
      </c>
      <c r="DC10" s="326">
        <v>0</v>
      </c>
      <c r="DD10" s="326">
        <v>0</v>
      </c>
      <c r="DE10" s="326">
        <v>0</v>
      </c>
      <c r="DF10" s="326">
        <v>0</v>
      </c>
      <c r="DG10" s="326">
        <v>0</v>
      </c>
      <c r="DH10" s="326">
        <v>0</v>
      </c>
      <c r="DI10" s="326">
        <v>0</v>
      </c>
      <c r="DJ10" s="326">
        <v>0</v>
      </c>
      <c r="DK10" s="326">
        <v>0</v>
      </c>
      <c r="DL10" s="326">
        <v>0</v>
      </c>
      <c r="DM10" s="326">
        <f t="shared" si="9"/>
        <v>0</v>
      </c>
      <c r="DN10" s="326">
        <v>0</v>
      </c>
      <c r="DO10" s="326">
        <v>0</v>
      </c>
      <c r="DP10" s="326">
        <v>0</v>
      </c>
      <c r="DQ10" s="326">
        <v>0</v>
      </c>
      <c r="DR10" s="326">
        <v>0</v>
      </c>
      <c r="DS10" s="326">
        <v>0</v>
      </c>
      <c r="DT10" s="326">
        <v>0</v>
      </c>
      <c r="DU10" s="326">
        <v>0</v>
      </c>
      <c r="DV10" s="326">
        <v>0</v>
      </c>
      <c r="DW10" s="326">
        <v>0</v>
      </c>
      <c r="DX10" s="326">
        <v>0</v>
      </c>
      <c r="DY10" s="326">
        <f t="shared" si="10"/>
        <v>0</v>
      </c>
      <c r="DZ10" s="326">
        <v>0</v>
      </c>
      <c r="EA10" s="326">
        <v>0</v>
      </c>
      <c r="EB10" s="326">
        <v>0</v>
      </c>
      <c r="EC10" s="326">
        <v>0</v>
      </c>
      <c r="ED10" s="326">
        <v>0</v>
      </c>
      <c r="EE10" s="326">
        <v>0</v>
      </c>
      <c r="EF10" s="326">
        <v>0</v>
      </c>
      <c r="EG10" s="326">
        <v>0</v>
      </c>
      <c r="EH10" s="326">
        <v>0</v>
      </c>
      <c r="EI10" s="326">
        <v>0</v>
      </c>
      <c r="EJ10" s="326">
        <v>0</v>
      </c>
      <c r="EK10" s="341">
        <f t="shared" si="11"/>
        <v>0</v>
      </c>
    </row>
    <row r="11" spans="1:141" ht="75" x14ac:dyDescent="0.25">
      <c r="A11" s="401"/>
      <c r="B11" s="56"/>
      <c r="C11" s="56"/>
      <c r="D11" s="397" t="s">
        <v>1458</v>
      </c>
      <c r="E11" s="397" t="s">
        <v>1382</v>
      </c>
      <c r="F11" s="233" t="s">
        <v>1064</v>
      </c>
      <c r="G11" s="56"/>
      <c r="H11" s="56"/>
      <c r="I11" s="56" t="s">
        <v>1005</v>
      </c>
      <c r="J11" s="329">
        <f t="shared" si="0"/>
        <v>400188.57</v>
      </c>
      <c r="K11" s="326">
        <v>0</v>
      </c>
      <c r="L11" s="326">
        <v>0</v>
      </c>
      <c r="M11" s="326">
        <v>0</v>
      </c>
      <c r="N11" s="326">
        <f>31551.15+12168.6</f>
        <v>43719.75</v>
      </c>
      <c r="O11" s="326">
        <f>2147.4+5567.85</f>
        <v>7715.25</v>
      </c>
      <c r="P11" s="326">
        <v>0</v>
      </c>
      <c r="Q11" s="326">
        <v>0</v>
      </c>
      <c r="R11" s="326">
        <v>0</v>
      </c>
      <c r="S11" s="326">
        <f>287.17+146.4</f>
        <v>433.57000000000005</v>
      </c>
      <c r="T11" s="326">
        <v>0</v>
      </c>
      <c r="U11" s="326">
        <f t="shared" si="1"/>
        <v>51868.57</v>
      </c>
      <c r="V11" s="329">
        <v>22540</v>
      </c>
      <c r="W11" s="329">
        <v>0</v>
      </c>
      <c r="X11" s="329">
        <v>0</v>
      </c>
      <c r="Y11" s="329">
        <v>2737</v>
      </c>
      <c r="Z11" s="326">
        <v>483</v>
      </c>
      <c r="AA11" s="326">
        <v>0</v>
      </c>
      <c r="AB11" s="326">
        <v>0</v>
      </c>
      <c r="AC11" s="326">
        <v>0</v>
      </c>
      <c r="AD11" s="326">
        <v>0</v>
      </c>
      <c r="AE11" s="326">
        <v>0</v>
      </c>
      <c r="AF11" s="326">
        <v>0</v>
      </c>
      <c r="AG11" s="326">
        <f t="shared" si="2"/>
        <v>25760</v>
      </c>
      <c r="AH11" s="326">
        <v>0</v>
      </c>
      <c r="AI11" s="326">
        <v>113666</v>
      </c>
      <c r="AJ11" s="326">
        <v>0</v>
      </c>
      <c r="AK11" s="326">
        <v>0</v>
      </c>
      <c r="AL11" s="326">
        <v>0</v>
      </c>
      <c r="AM11" s="326">
        <v>0</v>
      </c>
      <c r="AN11" s="326">
        <v>0</v>
      </c>
      <c r="AO11" s="326">
        <v>0</v>
      </c>
      <c r="AP11" s="326">
        <v>0</v>
      </c>
      <c r="AQ11" s="326">
        <v>0</v>
      </c>
      <c r="AR11" s="326">
        <v>0</v>
      </c>
      <c r="AS11" s="326">
        <f t="shared" si="3"/>
        <v>113666</v>
      </c>
      <c r="AT11" s="326">
        <v>0</v>
      </c>
      <c r="AU11" s="326">
        <v>18914</v>
      </c>
      <c r="AV11" s="326">
        <v>0</v>
      </c>
      <c r="AW11" s="326">
        <v>161483</v>
      </c>
      <c r="AX11" s="326">
        <v>28497</v>
      </c>
      <c r="AY11" s="326">
        <v>0</v>
      </c>
      <c r="AZ11" s="326">
        <v>0</v>
      </c>
      <c r="BA11" s="326">
        <v>0</v>
      </c>
      <c r="BB11" s="326">
        <v>0</v>
      </c>
      <c r="BC11" s="326">
        <v>0</v>
      </c>
      <c r="BD11" s="326">
        <v>0</v>
      </c>
      <c r="BE11" s="326">
        <f t="shared" si="4"/>
        <v>208894</v>
      </c>
      <c r="BF11" s="326">
        <v>0</v>
      </c>
      <c r="BG11" s="326">
        <v>0</v>
      </c>
      <c r="BH11" s="326">
        <v>0</v>
      </c>
      <c r="BI11" s="326">
        <v>0</v>
      </c>
      <c r="BJ11" s="326">
        <v>0</v>
      </c>
      <c r="BK11" s="326">
        <v>0</v>
      </c>
      <c r="BL11" s="326">
        <v>0</v>
      </c>
      <c r="BM11" s="326">
        <v>0</v>
      </c>
      <c r="BN11" s="326">
        <v>0</v>
      </c>
      <c r="BO11" s="326">
        <v>0</v>
      </c>
      <c r="BP11" s="326">
        <v>0</v>
      </c>
      <c r="BQ11" s="326">
        <f t="shared" si="5"/>
        <v>0</v>
      </c>
      <c r="BR11" s="326">
        <v>0</v>
      </c>
      <c r="BS11" s="326">
        <v>0</v>
      </c>
      <c r="BT11" s="326">
        <v>0</v>
      </c>
      <c r="BU11" s="326">
        <v>0</v>
      </c>
      <c r="BV11" s="326">
        <v>0</v>
      </c>
      <c r="BW11" s="326">
        <v>0</v>
      </c>
      <c r="BX11" s="326">
        <v>0</v>
      </c>
      <c r="BY11" s="326">
        <v>0</v>
      </c>
      <c r="BZ11" s="326">
        <v>0</v>
      </c>
      <c r="CA11" s="326">
        <v>0</v>
      </c>
      <c r="CB11" s="326">
        <v>0</v>
      </c>
      <c r="CC11" s="326">
        <f t="shared" si="6"/>
        <v>0</v>
      </c>
      <c r="CD11" s="326">
        <v>0</v>
      </c>
      <c r="CE11" s="326">
        <v>0</v>
      </c>
      <c r="CF11" s="326">
        <v>0</v>
      </c>
      <c r="CG11" s="326">
        <v>0</v>
      </c>
      <c r="CH11" s="326">
        <v>0</v>
      </c>
      <c r="CI11" s="326">
        <v>0</v>
      </c>
      <c r="CJ11" s="326">
        <v>0</v>
      </c>
      <c r="CK11" s="326">
        <v>0</v>
      </c>
      <c r="CL11" s="326">
        <v>0</v>
      </c>
      <c r="CM11" s="326">
        <v>0</v>
      </c>
      <c r="CN11" s="326">
        <v>0</v>
      </c>
      <c r="CO11" s="326">
        <f t="shared" si="7"/>
        <v>0</v>
      </c>
      <c r="CP11" s="326">
        <v>0</v>
      </c>
      <c r="CQ11" s="326">
        <v>0</v>
      </c>
      <c r="CR11" s="326">
        <v>0</v>
      </c>
      <c r="CS11" s="326">
        <v>0</v>
      </c>
      <c r="CT11" s="326">
        <v>0</v>
      </c>
      <c r="CU11" s="326">
        <v>0</v>
      </c>
      <c r="CV11" s="326">
        <v>0</v>
      </c>
      <c r="CW11" s="326">
        <v>0</v>
      </c>
      <c r="CX11" s="326">
        <v>0</v>
      </c>
      <c r="CY11" s="326">
        <v>0</v>
      </c>
      <c r="CZ11" s="326">
        <v>0</v>
      </c>
      <c r="DA11" s="326">
        <f t="shared" si="8"/>
        <v>0</v>
      </c>
      <c r="DB11" s="326">
        <v>0</v>
      </c>
      <c r="DC11" s="326">
        <v>0</v>
      </c>
      <c r="DD11" s="326">
        <v>0</v>
      </c>
      <c r="DE11" s="326">
        <v>0</v>
      </c>
      <c r="DF11" s="326">
        <v>0</v>
      </c>
      <c r="DG11" s="326">
        <v>0</v>
      </c>
      <c r="DH11" s="326">
        <v>0</v>
      </c>
      <c r="DI11" s="326">
        <v>0</v>
      </c>
      <c r="DJ11" s="326">
        <v>0</v>
      </c>
      <c r="DK11" s="326">
        <v>0</v>
      </c>
      <c r="DL11" s="326">
        <v>0</v>
      </c>
      <c r="DM11" s="326">
        <f t="shared" si="9"/>
        <v>0</v>
      </c>
      <c r="DN11" s="326">
        <v>0</v>
      </c>
      <c r="DO11" s="326">
        <v>0</v>
      </c>
      <c r="DP11" s="326">
        <v>0</v>
      </c>
      <c r="DQ11" s="326">
        <v>0</v>
      </c>
      <c r="DR11" s="326">
        <v>0</v>
      </c>
      <c r="DS11" s="326">
        <v>0</v>
      </c>
      <c r="DT11" s="326">
        <v>0</v>
      </c>
      <c r="DU11" s="326">
        <v>0</v>
      </c>
      <c r="DV11" s="326">
        <v>0</v>
      </c>
      <c r="DW11" s="326">
        <v>0</v>
      </c>
      <c r="DX11" s="326">
        <v>0</v>
      </c>
      <c r="DY11" s="326">
        <f t="shared" si="10"/>
        <v>0</v>
      </c>
      <c r="DZ11" s="326">
        <v>0</v>
      </c>
      <c r="EA11" s="326">
        <v>0</v>
      </c>
      <c r="EB11" s="326">
        <v>0</v>
      </c>
      <c r="EC11" s="326">
        <v>0</v>
      </c>
      <c r="ED11" s="326">
        <v>0</v>
      </c>
      <c r="EE11" s="326">
        <v>0</v>
      </c>
      <c r="EF11" s="326">
        <v>0</v>
      </c>
      <c r="EG11" s="326">
        <v>0</v>
      </c>
      <c r="EH11" s="326">
        <v>0</v>
      </c>
      <c r="EI11" s="326">
        <v>0</v>
      </c>
      <c r="EJ11" s="326">
        <v>0</v>
      </c>
      <c r="EK11" s="341">
        <f t="shared" si="11"/>
        <v>0</v>
      </c>
    </row>
    <row r="12" spans="1:141" ht="75" x14ac:dyDescent="0.25">
      <c r="A12" s="401"/>
      <c r="B12" s="56"/>
      <c r="C12" s="56"/>
      <c r="D12" s="397" t="s">
        <v>1458</v>
      </c>
      <c r="E12" s="397" t="s">
        <v>1382</v>
      </c>
      <c r="F12" s="233" t="s">
        <v>1065</v>
      </c>
      <c r="G12" s="56"/>
      <c r="H12" s="56"/>
      <c r="I12" s="56" t="s">
        <v>1005</v>
      </c>
      <c r="J12" s="329">
        <f t="shared" si="0"/>
        <v>312800</v>
      </c>
      <c r="K12" s="326">
        <v>0</v>
      </c>
      <c r="L12" s="326">
        <v>0</v>
      </c>
      <c r="M12" s="326">
        <v>0</v>
      </c>
      <c r="N12" s="326">
        <v>0</v>
      </c>
      <c r="O12" s="326">
        <v>0</v>
      </c>
      <c r="P12" s="326">
        <v>0</v>
      </c>
      <c r="Q12" s="326">
        <v>0</v>
      </c>
      <c r="R12" s="326">
        <v>0</v>
      </c>
      <c r="S12" s="326">
        <v>0</v>
      </c>
      <c r="T12" s="326">
        <v>0</v>
      </c>
      <c r="U12" s="326">
        <f t="shared" si="1"/>
        <v>0</v>
      </c>
      <c r="V12" s="329">
        <v>0</v>
      </c>
      <c r="W12" s="326">
        <v>0</v>
      </c>
      <c r="X12" s="326">
        <v>0</v>
      </c>
      <c r="Y12" s="326">
        <v>97750</v>
      </c>
      <c r="Z12" s="326">
        <v>17250</v>
      </c>
      <c r="AA12" s="326">
        <v>0</v>
      </c>
      <c r="AB12" s="326">
        <v>0</v>
      </c>
      <c r="AC12" s="326">
        <v>0</v>
      </c>
      <c r="AD12" s="326">
        <v>0</v>
      </c>
      <c r="AE12" s="326">
        <v>0</v>
      </c>
      <c r="AF12" s="326">
        <v>0</v>
      </c>
      <c r="AG12" s="326">
        <f t="shared" si="2"/>
        <v>115000</v>
      </c>
      <c r="AH12" s="326">
        <v>0</v>
      </c>
      <c r="AI12" s="326">
        <v>0</v>
      </c>
      <c r="AJ12" s="326">
        <v>0</v>
      </c>
      <c r="AK12" s="326">
        <v>112030</v>
      </c>
      <c r="AL12" s="326">
        <v>19770</v>
      </c>
      <c r="AM12" s="326">
        <v>0</v>
      </c>
      <c r="AN12" s="326">
        <v>0</v>
      </c>
      <c r="AO12" s="326">
        <v>0</v>
      </c>
      <c r="AP12" s="326">
        <v>0</v>
      </c>
      <c r="AQ12" s="326">
        <v>0</v>
      </c>
      <c r="AR12" s="326">
        <v>0</v>
      </c>
      <c r="AS12" s="326">
        <f t="shared" si="3"/>
        <v>131800</v>
      </c>
      <c r="AT12" s="326">
        <v>0</v>
      </c>
      <c r="AU12" s="326">
        <v>13000</v>
      </c>
      <c r="AV12" s="326">
        <v>0</v>
      </c>
      <c r="AW12" s="326">
        <v>45050</v>
      </c>
      <c r="AX12" s="326">
        <v>7950</v>
      </c>
      <c r="AY12" s="326">
        <v>0</v>
      </c>
      <c r="AZ12" s="326">
        <v>0</v>
      </c>
      <c r="BA12" s="326">
        <v>0</v>
      </c>
      <c r="BB12" s="326">
        <v>0</v>
      </c>
      <c r="BC12" s="326">
        <v>0</v>
      </c>
      <c r="BD12" s="326">
        <v>0</v>
      </c>
      <c r="BE12" s="326">
        <f t="shared" si="4"/>
        <v>66000</v>
      </c>
      <c r="BF12" s="326">
        <v>0</v>
      </c>
      <c r="BG12" s="326">
        <v>0</v>
      </c>
      <c r="BH12" s="326">
        <v>0</v>
      </c>
      <c r="BI12" s="326">
        <v>0</v>
      </c>
      <c r="BJ12" s="326">
        <v>0</v>
      </c>
      <c r="BK12" s="326">
        <v>0</v>
      </c>
      <c r="BL12" s="326">
        <v>0</v>
      </c>
      <c r="BM12" s="326">
        <v>0</v>
      </c>
      <c r="BN12" s="326">
        <v>0</v>
      </c>
      <c r="BO12" s="326">
        <v>0</v>
      </c>
      <c r="BP12" s="326">
        <v>0</v>
      </c>
      <c r="BQ12" s="326">
        <f t="shared" si="5"/>
        <v>0</v>
      </c>
      <c r="BR12" s="326">
        <v>0</v>
      </c>
      <c r="BS12" s="326">
        <v>0</v>
      </c>
      <c r="BT12" s="326">
        <v>0</v>
      </c>
      <c r="BU12" s="326">
        <v>0</v>
      </c>
      <c r="BV12" s="326">
        <v>0</v>
      </c>
      <c r="BW12" s="326">
        <v>0</v>
      </c>
      <c r="BX12" s="326">
        <v>0</v>
      </c>
      <c r="BY12" s="326">
        <v>0</v>
      </c>
      <c r="BZ12" s="326">
        <v>0</v>
      </c>
      <c r="CA12" s="326">
        <v>0</v>
      </c>
      <c r="CB12" s="326">
        <v>0</v>
      </c>
      <c r="CC12" s="326">
        <f t="shared" si="6"/>
        <v>0</v>
      </c>
      <c r="CD12" s="326">
        <v>0</v>
      </c>
      <c r="CE12" s="326">
        <v>0</v>
      </c>
      <c r="CF12" s="326">
        <v>0</v>
      </c>
      <c r="CG12" s="326">
        <v>0</v>
      </c>
      <c r="CH12" s="326">
        <v>0</v>
      </c>
      <c r="CI12" s="326">
        <v>0</v>
      </c>
      <c r="CJ12" s="326">
        <v>0</v>
      </c>
      <c r="CK12" s="326">
        <v>0</v>
      </c>
      <c r="CL12" s="326">
        <v>0</v>
      </c>
      <c r="CM12" s="326">
        <v>0</v>
      </c>
      <c r="CN12" s="326">
        <v>0</v>
      </c>
      <c r="CO12" s="326">
        <f t="shared" si="7"/>
        <v>0</v>
      </c>
      <c r="CP12" s="326">
        <v>0</v>
      </c>
      <c r="CQ12" s="326">
        <v>0</v>
      </c>
      <c r="CR12" s="326">
        <v>0</v>
      </c>
      <c r="CS12" s="326">
        <v>0</v>
      </c>
      <c r="CT12" s="326">
        <v>0</v>
      </c>
      <c r="CU12" s="326">
        <v>0</v>
      </c>
      <c r="CV12" s="326">
        <v>0</v>
      </c>
      <c r="CW12" s="326">
        <v>0</v>
      </c>
      <c r="CX12" s="326">
        <v>0</v>
      </c>
      <c r="CY12" s="326">
        <v>0</v>
      </c>
      <c r="CZ12" s="326">
        <v>0</v>
      </c>
      <c r="DA12" s="326">
        <f t="shared" si="8"/>
        <v>0</v>
      </c>
      <c r="DB12" s="326">
        <v>0</v>
      </c>
      <c r="DC12" s="326">
        <v>0</v>
      </c>
      <c r="DD12" s="326">
        <v>0</v>
      </c>
      <c r="DE12" s="326">
        <v>0</v>
      </c>
      <c r="DF12" s="326">
        <v>0</v>
      </c>
      <c r="DG12" s="326">
        <v>0</v>
      </c>
      <c r="DH12" s="326">
        <v>0</v>
      </c>
      <c r="DI12" s="326">
        <v>0</v>
      </c>
      <c r="DJ12" s="326">
        <v>0</v>
      </c>
      <c r="DK12" s="326">
        <v>0</v>
      </c>
      <c r="DL12" s="326">
        <v>0</v>
      </c>
      <c r="DM12" s="326">
        <f t="shared" si="9"/>
        <v>0</v>
      </c>
      <c r="DN12" s="326">
        <v>0</v>
      </c>
      <c r="DO12" s="326">
        <v>0</v>
      </c>
      <c r="DP12" s="326">
        <v>0</v>
      </c>
      <c r="DQ12" s="326">
        <v>0</v>
      </c>
      <c r="DR12" s="326">
        <v>0</v>
      </c>
      <c r="DS12" s="326">
        <v>0</v>
      </c>
      <c r="DT12" s="326">
        <v>0</v>
      </c>
      <c r="DU12" s="326">
        <v>0</v>
      </c>
      <c r="DV12" s="326">
        <v>0</v>
      </c>
      <c r="DW12" s="326">
        <v>0</v>
      </c>
      <c r="DX12" s="326">
        <v>0</v>
      </c>
      <c r="DY12" s="326">
        <f t="shared" si="10"/>
        <v>0</v>
      </c>
      <c r="DZ12" s="326">
        <v>0</v>
      </c>
      <c r="EA12" s="326">
        <v>0</v>
      </c>
      <c r="EB12" s="326">
        <v>0</v>
      </c>
      <c r="EC12" s="326">
        <v>0</v>
      </c>
      <c r="ED12" s="326">
        <v>0</v>
      </c>
      <c r="EE12" s="326">
        <v>0</v>
      </c>
      <c r="EF12" s="326">
        <v>0</v>
      </c>
      <c r="EG12" s="326">
        <v>0</v>
      </c>
      <c r="EH12" s="326">
        <v>0</v>
      </c>
      <c r="EI12" s="326">
        <v>0</v>
      </c>
      <c r="EJ12" s="326">
        <v>0</v>
      </c>
      <c r="EK12" s="341">
        <f t="shared" si="11"/>
        <v>0</v>
      </c>
    </row>
    <row r="13" spans="1:141" ht="60.75" thickBot="1" x14ac:dyDescent="0.3">
      <c r="A13" s="401"/>
      <c r="B13" s="396" t="s">
        <v>1075</v>
      </c>
      <c r="C13" s="396" t="s">
        <v>204</v>
      </c>
      <c r="D13" s="396" t="s">
        <v>1074</v>
      </c>
      <c r="E13" s="396" t="s">
        <v>1363</v>
      </c>
      <c r="F13" s="183" t="s">
        <v>984</v>
      </c>
      <c r="G13" s="396"/>
      <c r="H13" s="396"/>
      <c r="I13" s="56" t="s">
        <v>1164</v>
      </c>
      <c r="J13" s="329">
        <f t="shared" si="0"/>
        <v>21183304.080000002</v>
      </c>
      <c r="K13" s="329">
        <v>5781731.0700000003</v>
      </c>
      <c r="L13" s="329">
        <v>0</v>
      </c>
      <c r="M13" s="329">
        <v>0</v>
      </c>
      <c r="N13" s="329">
        <v>4228504.8899999997</v>
      </c>
      <c r="O13" s="329">
        <v>1460043.99</v>
      </c>
      <c r="P13" s="329">
        <v>0</v>
      </c>
      <c r="Q13" s="329">
        <v>0</v>
      </c>
      <c r="R13" s="329">
        <v>0</v>
      </c>
      <c r="S13" s="329">
        <v>0</v>
      </c>
      <c r="T13" s="329">
        <v>1090950.2400000002</v>
      </c>
      <c r="U13" s="329">
        <f t="shared" si="1"/>
        <v>12561230.190000001</v>
      </c>
      <c r="V13" s="329">
        <f>194293.96+568163.84</f>
        <v>762457.79999999993</v>
      </c>
      <c r="W13" s="329">
        <v>0</v>
      </c>
      <c r="X13" s="329">
        <v>0</v>
      </c>
      <c r="Y13" s="329">
        <v>0</v>
      </c>
      <c r="Z13" s="329">
        <v>0</v>
      </c>
      <c r="AA13" s="329">
        <v>0</v>
      </c>
      <c r="AB13" s="329">
        <v>0</v>
      </c>
      <c r="AC13" s="329">
        <v>0</v>
      </c>
      <c r="AD13" s="329">
        <v>0</v>
      </c>
      <c r="AE13" s="329">
        <v>0</v>
      </c>
      <c r="AF13" s="329">
        <v>-540383.91</v>
      </c>
      <c r="AG13" s="329">
        <f t="shared" si="2"/>
        <v>222073.8899999999</v>
      </c>
      <c r="AH13" s="329">
        <v>2000000</v>
      </c>
      <c r="AI13" s="329">
        <v>0</v>
      </c>
      <c r="AJ13" s="329">
        <v>0</v>
      </c>
      <c r="AK13" s="329">
        <v>0</v>
      </c>
      <c r="AL13" s="329">
        <v>0</v>
      </c>
      <c r="AM13" s="329">
        <v>0</v>
      </c>
      <c r="AN13" s="329">
        <v>0</v>
      </c>
      <c r="AO13" s="329">
        <v>0</v>
      </c>
      <c r="AP13" s="329">
        <v>0</v>
      </c>
      <c r="AQ13" s="329">
        <v>0</v>
      </c>
      <c r="AR13" s="329">
        <v>0</v>
      </c>
      <c r="AS13" s="329">
        <f t="shared" si="3"/>
        <v>2000000</v>
      </c>
      <c r="AT13" s="329">
        <v>2000000</v>
      </c>
      <c r="AU13" s="329">
        <v>0</v>
      </c>
      <c r="AV13" s="329">
        <v>0</v>
      </c>
      <c r="AW13" s="329">
        <v>0</v>
      </c>
      <c r="AX13" s="329">
        <v>0</v>
      </c>
      <c r="AY13" s="329">
        <v>0</v>
      </c>
      <c r="AZ13" s="329">
        <v>0</v>
      </c>
      <c r="BA13" s="329">
        <v>0</v>
      </c>
      <c r="BB13" s="329">
        <v>0</v>
      </c>
      <c r="BC13" s="329">
        <v>0</v>
      </c>
      <c r="BD13" s="329">
        <v>0</v>
      </c>
      <c r="BE13" s="329">
        <f t="shared" si="4"/>
        <v>2000000</v>
      </c>
      <c r="BF13" s="329">
        <v>2000000</v>
      </c>
      <c r="BG13" s="329">
        <v>0</v>
      </c>
      <c r="BH13" s="329">
        <v>0</v>
      </c>
      <c r="BI13" s="329">
        <v>0</v>
      </c>
      <c r="BJ13" s="329">
        <v>0</v>
      </c>
      <c r="BK13" s="329">
        <v>0</v>
      </c>
      <c r="BL13" s="329">
        <v>0</v>
      </c>
      <c r="BM13" s="329">
        <v>0</v>
      </c>
      <c r="BN13" s="329">
        <v>0</v>
      </c>
      <c r="BO13" s="329">
        <v>0</v>
      </c>
      <c r="BP13" s="329">
        <v>0</v>
      </c>
      <c r="BQ13" s="329">
        <f t="shared" si="5"/>
        <v>2000000</v>
      </c>
      <c r="BR13" s="329">
        <v>2400000</v>
      </c>
      <c r="BS13" s="329">
        <v>0</v>
      </c>
      <c r="BT13" s="329">
        <v>0</v>
      </c>
      <c r="BU13" s="329">
        <v>0</v>
      </c>
      <c r="BV13" s="329">
        <v>0</v>
      </c>
      <c r="BW13" s="329">
        <v>0</v>
      </c>
      <c r="BX13" s="329">
        <v>0</v>
      </c>
      <c r="BY13" s="329">
        <v>0</v>
      </c>
      <c r="BZ13" s="329">
        <v>0</v>
      </c>
      <c r="CA13" s="329">
        <v>0</v>
      </c>
      <c r="CB13" s="329">
        <v>0</v>
      </c>
      <c r="CC13" s="329">
        <f t="shared" si="6"/>
        <v>2400000</v>
      </c>
      <c r="CD13" s="326">
        <v>0</v>
      </c>
      <c r="CE13" s="326">
        <v>0</v>
      </c>
      <c r="CF13" s="326">
        <v>0</v>
      </c>
      <c r="CG13" s="326">
        <v>0</v>
      </c>
      <c r="CH13" s="326">
        <v>0</v>
      </c>
      <c r="CI13" s="326">
        <v>0</v>
      </c>
      <c r="CJ13" s="326">
        <v>0</v>
      </c>
      <c r="CK13" s="326">
        <v>0</v>
      </c>
      <c r="CL13" s="326">
        <v>0</v>
      </c>
      <c r="CM13" s="326">
        <v>0</v>
      </c>
      <c r="CN13" s="326">
        <v>0</v>
      </c>
      <c r="CO13" s="329">
        <f t="shared" si="7"/>
        <v>0</v>
      </c>
      <c r="CP13" s="326">
        <v>0</v>
      </c>
      <c r="CQ13" s="326">
        <v>0</v>
      </c>
      <c r="CR13" s="326">
        <v>0</v>
      </c>
      <c r="CS13" s="326">
        <v>0</v>
      </c>
      <c r="CT13" s="326">
        <v>0</v>
      </c>
      <c r="CU13" s="326">
        <v>0</v>
      </c>
      <c r="CV13" s="326">
        <v>0</v>
      </c>
      <c r="CW13" s="326">
        <v>0</v>
      </c>
      <c r="CX13" s="326">
        <v>0</v>
      </c>
      <c r="CY13" s="326">
        <v>0</v>
      </c>
      <c r="CZ13" s="326">
        <v>0</v>
      </c>
      <c r="DA13" s="329">
        <f t="shared" si="8"/>
        <v>0</v>
      </c>
      <c r="DB13" s="326">
        <v>0</v>
      </c>
      <c r="DC13" s="326">
        <v>0</v>
      </c>
      <c r="DD13" s="326">
        <v>0</v>
      </c>
      <c r="DE13" s="326">
        <v>0</v>
      </c>
      <c r="DF13" s="326">
        <v>0</v>
      </c>
      <c r="DG13" s="326">
        <v>0</v>
      </c>
      <c r="DH13" s="326">
        <v>0</v>
      </c>
      <c r="DI13" s="326">
        <v>0</v>
      </c>
      <c r="DJ13" s="326">
        <v>0</v>
      </c>
      <c r="DK13" s="326">
        <v>0</v>
      </c>
      <c r="DL13" s="326">
        <v>0</v>
      </c>
      <c r="DM13" s="329">
        <f t="shared" si="9"/>
        <v>0</v>
      </c>
      <c r="DN13" s="326">
        <v>0</v>
      </c>
      <c r="DO13" s="326">
        <v>0</v>
      </c>
      <c r="DP13" s="326">
        <v>0</v>
      </c>
      <c r="DQ13" s="326">
        <v>0</v>
      </c>
      <c r="DR13" s="326">
        <v>0</v>
      </c>
      <c r="DS13" s="326">
        <v>0</v>
      </c>
      <c r="DT13" s="326">
        <v>0</v>
      </c>
      <c r="DU13" s="326">
        <v>0</v>
      </c>
      <c r="DV13" s="326">
        <v>0</v>
      </c>
      <c r="DW13" s="326">
        <v>0</v>
      </c>
      <c r="DX13" s="326">
        <v>0</v>
      </c>
      <c r="DY13" s="329">
        <f t="shared" si="10"/>
        <v>0</v>
      </c>
      <c r="DZ13" s="329">
        <v>0</v>
      </c>
      <c r="EA13" s="329">
        <v>0</v>
      </c>
      <c r="EB13" s="329">
        <v>0</v>
      </c>
      <c r="EC13" s="329">
        <v>0</v>
      </c>
      <c r="ED13" s="329">
        <v>0</v>
      </c>
      <c r="EE13" s="329">
        <v>0</v>
      </c>
      <c r="EF13" s="329">
        <v>0</v>
      </c>
      <c r="EG13" s="329">
        <v>0</v>
      </c>
      <c r="EH13" s="329">
        <v>0</v>
      </c>
      <c r="EI13" s="329">
        <v>0</v>
      </c>
      <c r="EJ13" s="329">
        <v>0</v>
      </c>
      <c r="EK13" s="341">
        <f t="shared" si="11"/>
        <v>0</v>
      </c>
    </row>
    <row r="14" spans="1:141" ht="15.75" thickBot="1" x14ac:dyDescent="0.3">
      <c r="A14" s="502" t="s">
        <v>1139</v>
      </c>
      <c r="B14" s="503"/>
      <c r="C14" s="503"/>
      <c r="D14" s="503"/>
      <c r="E14" s="503"/>
      <c r="F14" s="503"/>
      <c r="G14" s="503"/>
      <c r="H14" s="503"/>
      <c r="I14" s="503"/>
      <c r="J14" s="342">
        <f>SUM(J3:J13)</f>
        <v>80853006.375</v>
      </c>
      <c r="K14" s="342">
        <f t="shared" ref="K14:BV14" si="12">SUM(K3:K13)</f>
        <v>20631753.100000001</v>
      </c>
      <c r="L14" s="342">
        <f t="shared" si="12"/>
        <v>8930473.8300000001</v>
      </c>
      <c r="M14" s="342">
        <f t="shared" si="12"/>
        <v>1137541.3900000001</v>
      </c>
      <c r="N14" s="342">
        <f t="shared" si="12"/>
        <v>20235301.639999997</v>
      </c>
      <c r="O14" s="342">
        <f t="shared" si="12"/>
        <v>4979304.83</v>
      </c>
      <c r="P14" s="342">
        <f t="shared" si="12"/>
        <v>973767.74</v>
      </c>
      <c r="Q14" s="342">
        <f t="shared" si="12"/>
        <v>786250</v>
      </c>
      <c r="R14" s="342">
        <f t="shared" si="12"/>
        <v>138750</v>
      </c>
      <c r="S14" s="342">
        <f t="shared" si="12"/>
        <v>35616.46</v>
      </c>
      <c r="T14" s="342">
        <f t="shared" si="12"/>
        <v>2224893.5150000001</v>
      </c>
      <c r="U14" s="342">
        <f t="shared" si="12"/>
        <v>60073652.504999995</v>
      </c>
      <c r="V14" s="342">
        <f t="shared" si="12"/>
        <v>1127908.75</v>
      </c>
      <c r="W14" s="342">
        <f t="shared" si="12"/>
        <v>1096201.3899999999</v>
      </c>
      <c r="X14" s="342">
        <f t="shared" si="12"/>
        <v>0</v>
      </c>
      <c r="Y14" s="342">
        <f t="shared" si="12"/>
        <v>415931.22</v>
      </c>
      <c r="Z14" s="342">
        <f t="shared" si="12"/>
        <v>73399.62</v>
      </c>
      <c r="AA14" s="342">
        <f t="shared" si="12"/>
        <v>0</v>
      </c>
      <c r="AB14" s="342">
        <f t="shared" si="12"/>
        <v>1275000</v>
      </c>
      <c r="AC14" s="342">
        <f t="shared" si="12"/>
        <v>225000</v>
      </c>
      <c r="AD14" s="342">
        <f t="shared" si="12"/>
        <v>0</v>
      </c>
      <c r="AE14" s="342">
        <f t="shared" si="12"/>
        <v>0</v>
      </c>
      <c r="AF14" s="342">
        <f t="shared" si="12"/>
        <v>-534103.11</v>
      </c>
      <c r="AG14" s="342">
        <f t="shared" si="12"/>
        <v>3679337.87</v>
      </c>
      <c r="AH14" s="342">
        <f t="shared" si="12"/>
        <v>5500000</v>
      </c>
      <c r="AI14" s="342">
        <f t="shared" si="12"/>
        <v>213666</v>
      </c>
      <c r="AJ14" s="342">
        <f t="shared" si="12"/>
        <v>102828</v>
      </c>
      <c r="AK14" s="342">
        <f t="shared" si="12"/>
        <v>112030</v>
      </c>
      <c r="AL14" s="342">
        <f t="shared" si="12"/>
        <v>19770</v>
      </c>
      <c r="AM14" s="342">
        <f t="shared" si="12"/>
        <v>0</v>
      </c>
      <c r="AN14" s="342">
        <f t="shared" si="12"/>
        <v>1835150</v>
      </c>
      <c r="AO14" s="342">
        <f t="shared" si="12"/>
        <v>323850</v>
      </c>
      <c r="AP14" s="342">
        <f t="shared" si="12"/>
        <v>0</v>
      </c>
      <c r="AQ14" s="342">
        <f t="shared" si="12"/>
        <v>0</v>
      </c>
      <c r="AR14" s="342">
        <f t="shared" si="12"/>
        <v>0</v>
      </c>
      <c r="AS14" s="342">
        <f t="shared" si="12"/>
        <v>8107294</v>
      </c>
      <c r="AT14" s="342">
        <f t="shared" si="12"/>
        <v>2000000</v>
      </c>
      <c r="AU14" s="342">
        <f t="shared" si="12"/>
        <v>31914</v>
      </c>
      <c r="AV14" s="342">
        <f t="shared" si="12"/>
        <v>102828</v>
      </c>
      <c r="AW14" s="342">
        <f t="shared" si="12"/>
        <v>206533</v>
      </c>
      <c r="AX14" s="342">
        <f t="shared" si="12"/>
        <v>36447</v>
      </c>
      <c r="AY14" s="342">
        <f t="shared" si="12"/>
        <v>0</v>
      </c>
      <c r="AZ14" s="342">
        <f t="shared" si="12"/>
        <v>769250</v>
      </c>
      <c r="BA14" s="342">
        <f t="shared" si="12"/>
        <v>135750</v>
      </c>
      <c r="BB14" s="342">
        <f t="shared" si="12"/>
        <v>0</v>
      </c>
      <c r="BC14" s="342">
        <f t="shared" si="12"/>
        <v>0</v>
      </c>
      <c r="BD14" s="342">
        <f t="shared" si="12"/>
        <v>0</v>
      </c>
      <c r="BE14" s="342">
        <f t="shared" si="12"/>
        <v>3282722</v>
      </c>
      <c r="BF14" s="342">
        <f t="shared" si="12"/>
        <v>2000000</v>
      </c>
      <c r="BG14" s="342">
        <f t="shared" si="12"/>
        <v>0</v>
      </c>
      <c r="BH14" s="342">
        <f t="shared" si="12"/>
        <v>0</v>
      </c>
      <c r="BI14" s="342">
        <f t="shared" si="12"/>
        <v>0</v>
      </c>
      <c r="BJ14" s="342">
        <f t="shared" si="12"/>
        <v>0</v>
      </c>
      <c r="BK14" s="342">
        <f t="shared" si="12"/>
        <v>0</v>
      </c>
      <c r="BL14" s="342">
        <f t="shared" si="12"/>
        <v>0</v>
      </c>
      <c r="BM14" s="342">
        <f t="shared" si="12"/>
        <v>0</v>
      </c>
      <c r="BN14" s="342">
        <f t="shared" si="12"/>
        <v>0</v>
      </c>
      <c r="BO14" s="342">
        <f t="shared" si="12"/>
        <v>0</v>
      </c>
      <c r="BP14" s="342">
        <f t="shared" si="12"/>
        <v>0</v>
      </c>
      <c r="BQ14" s="342">
        <f t="shared" si="12"/>
        <v>2000000</v>
      </c>
      <c r="BR14" s="342">
        <f t="shared" si="12"/>
        <v>2400000</v>
      </c>
      <c r="BS14" s="342">
        <f t="shared" si="12"/>
        <v>0</v>
      </c>
      <c r="BT14" s="342">
        <f t="shared" si="12"/>
        <v>0</v>
      </c>
      <c r="BU14" s="342">
        <f t="shared" si="12"/>
        <v>0</v>
      </c>
      <c r="BV14" s="342">
        <f t="shared" si="12"/>
        <v>0</v>
      </c>
      <c r="BW14" s="342">
        <f t="shared" ref="BW14:EH14" si="13">SUM(BW3:BW13)</f>
        <v>0</v>
      </c>
      <c r="BX14" s="342">
        <f t="shared" si="13"/>
        <v>0</v>
      </c>
      <c r="BY14" s="342">
        <f t="shared" si="13"/>
        <v>0</v>
      </c>
      <c r="BZ14" s="342">
        <f t="shared" si="13"/>
        <v>0</v>
      </c>
      <c r="CA14" s="342">
        <f t="shared" si="13"/>
        <v>0</v>
      </c>
      <c r="CB14" s="342">
        <f t="shared" si="13"/>
        <v>1310000</v>
      </c>
      <c r="CC14" s="342">
        <f t="shared" si="13"/>
        <v>3710000</v>
      </c>
      <c r="CD14" s="342">
        <f t="shared" si="13"/>
        <v>0</v>
      </c>
      <c r="CE14" s="342">
        <f t="shared" si="13"/>
        <v>0</v>
      </c>
      <c r="CF14" s="342">
        <f t="shared" si="13"/>
        <v>0</v>
      </c>
      <c r="CG14" s="342">
        <f t="shared" si="13"/>
        <v>0</v>
      </c>
      <c r="CH14" s="342">
        <f t="shared" si="13"/>
        <v>0</v>
      </c>
      <c r="CI14" s="342">
        <f t="shared" si="13"/>
        <v>0</v>
      </c>
      <c r="CJ14" s="342">
        <f t="shared" si="13"/>
        <v>0</v>
      </c>
      <c r="CK14" s="342">
        <f t="shared" si="13"/>
        <v>0</v>
      </c>
      <c r="CL14" s="342">
        <f t="shared" si="13"/>
        <v>0</v>
      </c>
      <c r="CM14" s="342">
        <f t="shared" si="13"/>
        <v>0</v>
      </c>
      <c r="CN14" s="342">
        <f t="shared" si="13"/>
        <v>0</v>
      </c>
      <c r="CO14" s="342">
        <f t="shared" si="13"/>
        <v>0</v>
      </c>
      <c r="CP14" s="342">
        <f t="shared" si="13"/>
        <v>0</v>
      </c>
      <c r="CQ14" s="342">
        <f t="shared" si="13"/>
        <v>0</v>
      </c>
      <c r="CR14" s="342">
        <f t="shared" si="13"/>
        <v>0</v>
      </c>
      <c r="CS14" s="342">
        <f t="shared" si="13"/>
        <v>0</v>
      </c>
      <c r="CT14" s="342">
        <f t="shared" si="13"/>
        <v>0</v>
      </c>
      <c r="CU14" s="342">
        <f t="shared" si="13"/>
        <v>0</v>
      </c>
      <c r="CV14" s="342">
        <f t="shared" si="13"/>
        <v>0</v>
      </c>
      <c r="CW14" s="342">
        <f t="shared" si="13"/>
        <v>0</v>
      </c>
      <c r="CX14" s="342">
        <f t="shared" si="13"/>
        <v>0</v>
      </c>
      <c r="CY14" s="342">
        <f t="shared" si="13"/>
        <v>0</v>
      </c>
      <c r="CZ14" s="342">
        <f t="shared" si="13"/>
        <v>0</v>
      </c>
      <c r="DA14" s="342">
        <f t="shared" si="13"/>
        <v>0</v>
      </c>
      <c r="DB14" s="342">
        <f t="shared" si="13"/>
        <v>0</v>
      </c>
      <c r="DC14" s="342">
        <f t="shared" si="13"/>
        <v>0</v>
      </c>
      <c r="DD14" s="342">
        <f t="shared" si="13"/>
        <v>0</v>
      </c>
      <c r="DE14" s="342">
        <f t="shared" si="13"/>
        <v>0</v>
      </c>
      <c r="DF14" s="342">
        <f t="shared" si="13"/>
        <v>0</v>
      </c>
      <c r="DG14" s="342">
        <f t="shared" si="13"/>
        <v>0</v>
      </c>
      <c r="DH14" s="342">
        <f t="shared" si="13"/>
        <v>0</v>
      </c>
      <c r="DI14" s="342">
        <f t="shared" si="13"/>
        <v>0</v>
      </c>
      <c r="DJ14" s="342">
        <f t="shared" si="13"/>
        <v>0</v>
      </c>
      <c r="DK14" s="342">
        <f t="shared" si="13"/>
        <v>0</v>
      </c>
      <c r="DL14" s="342">
        <f t="shared" si="13"/>
        <v>0</v>
      </c>
      <c r="DM14" s="342">
        <f t="shared" si="13"/>
        <v>0</v>
      </c>
      <c r="DN14" s="342">
        <f t="shared" si="13"/>
        <v>0</v>
      </c>
      <c r="DO14" s="342">
        <f t="shared" si="13"/>
        <v>0</v>
      </c>
      <c r="DP14" s="342">
        <f t="shared" si="13"/>
        <v>0</v>
      </c>
      <c r="DQ14" s="342">
        <f t="shared" si="13"/>
        <v>0</v>
      </c>
      <c r="DR14" s="342">
        <f t="shared" si="13"/>
        <v>0</v>
      </c>
      <c r="DS14" s="342">
        <f t="shared" si="13"/>
        <v>0</v>
      </c>
      <c r="DT14" s="342">
        <f t="shared" si="13"/>
        <v>0</v>
      </c>
      <c r="DU14" s="342">
        <f t="shared" si="13"/>
        <v>0</v>
      </c>
      <c r="DV14" s="342">
        <f t="shared" si="13"/>
        <v>0</v>
      </c>
      <c r="DW14" s="342">
        <f t="shared" si="13"/>
        <v>0</v>
      </c>
      <c r="DX14" s="342">
        <f t="shared" si="13"/>
        <v>0</v>
      </c>
      <c r="DY14" s="342">
        <f t="shared" si="13"/>
        <v>0</v>
      </c>
      <c r="DZ14" s="342">
        <f t="shared" si="13"/>
        <v>0</v>
      </c>
      <c r="EA14" s="342">
        <f t="shared" si="13"/>
        <v>0</v>
      </c>
      <c r="EB14" s="342">
        <f t="shared" si="13"/>
        <v>0</v>
      </c>
      <c r="EC14" s="342">
        <f t="shared" si="13"/>
        <v>0</v>
      </c>
      <c r="ED14" s="342">
        <f t="shared" si="13"/>
        <v>0</v>
      </c>
      <c r="EE14" s="342">
        <f t="shared" si="13"/>
        <v>0</v>
      </c>
      <c r="EF14" s="342">
        <f t="shared" si="13"/>
        <v>0</v>
      </c>
      <c r="EG14" s="342">
        <f t="shared" si="13"/>
        <v>0</v>
      </c>
      <c r="EH14" s="342">
        <f t="shared" si="13"/>
        <v>0</v>
      </c>
      <c r="EI14" s="342">
        <f>SUM(EI3:EI13)</f>
        <v>0</v>
      </c>
      <c r="EJ14" s="342">
        <f>SUM(EJ3:EJ13)</f>
        <v>0</v>
      </c>
      <c r="EK14" s="343">
        <f>SUM(EK3:EK13)</f>
        <v>0</v>
      </c>
    </row>
    <row r="15" spans="1:141" s="14" customFormat="1" ht="60" x14ac:dyDescent="0.25">
      <c r="A15" s="92" t="s">
        <v>1243</v>
      </c>
      <c r="B15" s="111" t="s">
        <v>1206</v>
      </c>
      <c r="C15" s="111" t="s">
        <v>1206</v>
      </c>
      <c r="D15" s="111"/>
      <c r="E15" s="111"/>
      <c r="F15" s="120" t="s">
        <v>1210</v>
      </c>
      <c r="G15" s="109"/>
      <c r="H15" s="109"/>
      <c r="I15" s="110" t="s">
        <v>1208</v>
      </c>
      <c r="J15" s="329">
        <f>SUM(U15,AG15,AS15,BE15,BQ15,CC15,CO15,DA15,DM15,DY15,EK15)</f>
        <v>1000000</v>
      </c>
      <c r="K15" s="329">
        <v>0</v>
      </c>
      <c r="L15" s="329">
        <v>0</v>
      </c>
      <c r="M15" s="329">
        <v>0</v>
      </c>
      <c r="N15" s="329">
        <v>0</v>
      </c>
      <c r="O15" s="329">
        <v>0</v>
      </c>
      <c r="P15" s="329">
        <v>0</v>
      </c>
      <c r="Q15" s="329">
        <v>0</v>
      </c>
      <c r="R15" s="329">
        <v>0</v>
      </c>
      <c r="S15" s="329">
        <v>0</v>
      </c>
      <c r="T15" s="329">
        <v>0</v>
      </c>
      <c r="U15" s="329">
        <f>SUM(K15:T15)</f>
        <v>0</v>
      </c>
      <c r="V15" s="329">
        <v>0</v>
      </c>
      <c r="W15" s="329">
        <v>0</v>
      </c>
      <c r="X15" s="329">
        <v>0</v>
      </c>
      <c r="Y15" s="329">
        <v>0</v>
      </c>
      <c r="Z15" s="329">
        <v>0</v>
      </c>
      <c r="AA15" s="329">
        <v>0</v>
      </c>
      <c r="AB15" s="329">
        <v>0</v>
      </c>
      <c r="AC15" s="329">
        <v>0</v>
      </c>
      <c r="AD15" s="329">
        <v>0</v>
      </c>
      <c r="AE15" s="329">
        <v>0</v>
      </c>
      <c r="AF15" s="329">
        <v>0</v>
      </c>
      <c r="AG15" s="329">
        <f>SUM(V15:AF15)</f>
        <v>0</v>
      </c>
      <c r="AH15" s="329">
        <v>1000000</v>
      </c>
      <c r="AI15" s="329">
        <v>0</v>
      </c>
      <c r="AJ15" s="329">
        <v>0</v>
      </c>
      <c r="AK15" s="329">
        <v>0</v>
      </c>
      <c r="AL15" s="329">
        <v>0</v>
      </c>
      <c r="AM15" s="329">
        <v>0</v>
      </c>
      <c r="AN15" s="329">
        <v>0</v>
      </c>
      <c r="AO15" s="329">
        <v>0</v>
      </c>
      <c r="AP15" s="329">
        <v>0</v>
      </c>
      <c r="AQ15" s="329">
        <v>0</v>
      </c>
      <c r="AR15" s="329">
        <v>0</v>
      </c>
      <c r="AS15" s="329">
        <f>SUM(AH15:AR15)</f>
        <v>1000000</v>
      </c>
      <c r="AT15" s="329">
        <v>0</v>
      </c>
      <c r="AU15" s="329">
        <v>0</v>
      </c>
      <c r="AV15" s="329">
        <v>0</v>
      </c>
      <c r="AW15" s="329">
        <v>0</v>
      </c>
      <c r="AX15" s="329">
        <v>0</v>
      </c>
      <c r="AY15" s="329">
        <v>0</v>
      </c>
      <c r="AZ15" s="329">
        <v>0</v>
      </c>
      <c r="BA15" s="329">
        <v>0</v>
      </c>
      <c r="BB15" s="329">
        <v>0</v>
      </c>
      <c r="BC15" s="329">
        <v>0</v>
      </c>
      <c r="BD15" s="329">
        <v>0</v>
      </c>
      <c r="BE15" s="329">
        <f>SUM(AT15:BD15)</f>
        <v>0</v>
      </c>
      <c r="BF15" s="329">
        <v>0</v>
      </c>
      <c r="BG15" s="329">
        <v>0</v>
      </c>
      <c r="BH15" s="329">
        <v>0</v>
      </c>
      <c r="BI15" s="329">
        <v>0</v>
      </c>
      <c r="BJ15" s="329">
        <v>0</v>
      </c>
      <c r="BK15" s="329">
        <v>0</v>
      </c>
      <c r="BL15" s="329">
        <v>0</v>
      </c>
      <c r="BM15" s="329">
        <v>0</v>
      </c>
      <c r="BN15" s="329">
        <v>0</v>
      </c>
      <c r="BO15" s="329">
        <v>0</v>
      </c>
      <c r="BP15" s="329">
        <v>0</v>
      </c>
      <c r="BQ15" s="329">
        <f>SUM(BF15:BP15)</f>
        <v>0</v>
      </c>
      <c r="BR15" s="329">
        <v>0</v>
      </c>
      <c r="BS15" s="329">
        <v>0</v>
      </c>
      <c r="BT15" s="329">
        <v>0</v>
      </c>
      <c r="BU15" s="329">
        <v>0</v>
      </c>
      <c r="BV15" s="329">
        <v>0</v>
      </c>
      <c r="BW15" s="329">
        <v>0</v>
      </c>
      <c r="BX15" s="329">
        <v>0</v>
      </c>
      <c r="BY15" s="329">
        <v>0</v>
      </c>
      <c r="BZ15" s="329">
        <v>0</v>
      </c>
      <c r="CA15" s="329">
        <v>0</v>
      </c>
      <c r="CB15" s="329">
        <v>0</v>
      </c>
      <c r="CC15" s="329">
        <f>SUM(BR15:CB15)</f>
        <v>0</v>
      </c>
      <c r="CD15" s="326">
        <v>0</v>
      </c>
      <c r="CE15" s="326">
        <v>0</v>
      </c>
      <c r="CF15" s="326">
        <v>0</v>
      </c>
      <c r="CG15" s="326">
        <v>0</v>
      </c>
      <c r="CH15" s="326">
        <v>0</v>
      </c>
      <c r="CI15" s="326">
        <v>0</v>
      </c>
      <c r="CJ15" s="326">
        <v>0</v>
      </c>
      <c r="CK15" s="326">
        <v>0</v>
      </c>
      <c r="CL15" s="326">
        <v>0</v>
      </c>
      <c r="CM15" s="326">
        <v>0</v>
      </c>
      <c r="CN15" s="326">
        <v>0</v>
      </c>
      <c r="CO15" s="329">
        <f>SUM(CD15:CN15)</f>
        <v>0</v>
      </c>
      <c r="CP15" s="326">
        <v>0</v>
      </c>
      <c r="CQ15" s="326">
        <v>0</v>
      </c>
      <c r="CR15" s="326">
        <v>0</v>
      </c>
      <c r="CS15" s="326">
        <v>0</v>
      </c>
      <c r="CT15" s="326">
        <v>0</v>
      </c>
      <c r="CU15" s="326">
        <v>0</v>
      </c>
      <c r="CV15" s="326">
        <v>0</v>
      </c>
      <c r="CW15" s="326">
        <v>0</v>
      </c>
      <c r="CX15" s="326">
        <v>0</v>
      </c>
      <c r="CY15" s="326">
        <v>0</v>
      </c>
      <c r="CZ15" s="326">
        <v>0</v>
      </c>
      <c r="DA15" s="329">
        <f>SUM(CP15:CZ15)</f>
        <v>0</v>
      </c>
      <c r="DB15" s="326">
        <v>0</v>
      </c>
      <c r="DC15" s="326">
        <v>0</v>
      </c>
      <c r="DD15" s="326">
        <v>0</v>
      </c>
      <c r="DE15" s="326">
        <v>0</v>
      </c>
      <c r="DF15" s="326">
        <v>0</v>
      </c>
      <c r="DG15" s="326">
        <v>0</v>
      </c>
      <c r="DH15" s="326">
        <v>0</v>
      </c>
      <c r="DI15" s="326">
        <v>0</v>
      </c>
      <c r="DJ15" s="326">
        <v>0</v>
      </c>
      <c r="DK15" s="326">
        <v>0</v>
      </c>
      <c r="DL15" s="326">
        <v>0</v>
      </c>
      <c r="DM15" s="329">
        <f>SUM(DB15:DL15)</f>
        <v>0</v>
      </c>
      <c r="DN15" s="326">
        <v>0</v>
      </c>
      <c r="DO15" s="326">
        <v>0</v>
      </c>
      <c r="DP15" s="326">
        <v>0</v>
      </c>
      <c r="DQ15" s="326">
        <v>0</v>
      </c>
      <c r="DR15" s="326">
        <v>0</v>
      </c>
      <c r="DS15" s="326">
        <v>0</v>
      </c>
      <c r="DT15" s="326">
        <v>0</v>
      </c>
      <c r="DU15" s="326">
        <v>0</v>
      </c>
      <c r="DV15" s="326">
        <v>0</v>
      </c>
      <c r="DW15" s="326">
        <v>0</v>
      </c>
      <c r="DX15" s="326">
        <v>0</v>
      </c>
      <c r="DY15" s="329">
        <f>SUM(DN15:DX15)</f>
        <v>0</v>
      </c>
      <c r="DZ15" s="329">
        <v>0</v>
      </c>
      <c r="EA15" s="329">
        <v>0</v>
      </c>
      <c r="EB15" s="329">
        <v>0</v>
      </c>
      <c r="EC15" s="329">
        <v>0</v>
      </c>
      <c r="ED15" s="329">
        <v>0</v>
      </c>
      <c r="EE15" s="329">
        <v>0</v>
      </c>
      <c r="EF15" s="329">
        <v>0</v>
      </c>
      <c r="EG15" s="329">
        <v>0</v>
      </c>
      <c r="EH15" s="329">
        <v>0</v>
      </c>
      <c r="EI15" s="329">
        <v>0</v>
      </c>
      <c r="EJ15" s="329">
        <v>0</v>
      </c>
      <c r="EK15" s="341">
        <f>SUM(DZ15:EJ15)</f>
        <v>0</v>
      </c>
    </row>
    <row r="16" spans="1:141" x14ac:dyDescent="0.25">
      <c r="A16" s="93"/>
      <c r="C16" s="108">
        <v>130</v>
      </c>
      <c r="F16" s="15" t="s">
        <v>1248</v>
      </c>
      <c r="G16" s="109"/>
      <c r="I16" s="108">
        <v>0</v>
      </c>
      <c r="J16" s="329">
        <f t="shared" si="0"/>
        <v>250000</v>
      </c>
      <c r="K16" s="329">
        <v>0</v>
      </c>
      <c r="L16" s="329">
        <v>0</v>
      </c>
      <c r="M16" s="329">
        <v>0</v>
      </c>
      <c r="N16" s="329">
        <v>0</v>
      </c>
      <c r="O16" s="329">
        <v>0</v>
      </c>
      <c r="P16" s="329">
        <v>0</v>
      </c>
      <c r="Q16" s="329">
        <v>0</v>
      </c>
      <c r="R16" s="329">
        <v>0</v>
      </c>
      <c r="S16" s="329">
        <v>0</v>
      </c>
      <c r="T16" s="329">
        <v>0</v>
      </c>
      <c r="U16" s="329">
        <f>SUM(K16:T16)</f>
        <v>0</v>
      </c>
      <c r="V16" s="329">
        <v>0</v>
      </c>
      <c r="W16" s="329">
        <v>0</v>
      </c>
      <c r="X16" s="329">
        <v>0</v>
      </c>
      <c r="Y16" s="329">
        <v>0</v>
      </c>
      <c r="Z16" s="329">
        <v>0</v>
      </c>
      <c r="AA16" s="329">
        <v>0</v>
      </c>
      <c r="AB16" s="329">
        <v>0</v>
      </c>
      <c r="AC16" s="329">
        <v>0</v>
      </c>
      <c r="AD16" s="329">
        <v>0</v>
      </c>
      <c r="AE16" s="329">
        <v>0</v>
      </c>
      <c r="AF16" s="329">
        <v>0</v>
      </c>
      <c r="AG16" s="329">
        <f>SUM(V16:AF16)</f>
        <v>0</v>
      </c>
      <c r="AH16" s="329">
        <v>250000</v>
      </c>
      <c r="AI16" s="329">
        <v>0</v>
      </c>
      <c r="AJ16" s="329">
        <v>0</v>
      </c>
      <c r="AK16" s="329">
        <v>0</v>
      </c>
      <c r="AL16" s="329">
        <v>0</v>
      </c>
      <c r="AM16" s="329">
        <v>0</v>
      </c>
      <c r="AN16" s="329">
        <v>0</v>
      </c>
      <c r="AO16" s="329">
        <v>0</v>
      </c>
      <c r="AP16" s="329">
        <v>0</v>
      </c>
      <c r="AQ16" s="329">
        <v>0</v>
      </c>
      <c r="AR16" s="329">
        <v>0</v>
      </c>
      <c r="AS16" s="329">
        <f>SUM(AH16:AR16)</f>
        <v>250000</v>
      </c>
      <c r="AT16" s="329">
        <v>0</v>
      </c>
      <c r="AU16" s="329">
        <v>0</v>
      </c>
      <c r="AV16" s="329">
        <v>0</v>
      </c>
      <c r="AW16" s="329">
        <v>0</v>
      </c>
      <c r="AX16" s="329">
        <v>0</v>
      </c>
      <c r="AY16" s="329">
        <v>0</v>
      </c>
      <c r="AZ16" s="329">
        <v>0</v>
      </c>
      <c r="BA16" s="329">
        <v>0</v>
      </c>
      <c r="BB16" s="329">
        <v>0</v>
      </c>
      <c r="BC16" s="329">
        <v>0</v>
      </c>
      <c r="BD16" s="329">
        <v>0</v>
      </c>
      <c r="BE16" s="329">
        <f>SUM(AT16:BD16)</f>
        <v>0</v>
      </c>
      <c r="BF16" s="329">
        <v>0</v>
      </c>
      <c r="BG16" s="329">
        <v>0</v>
      </c>
      <c r="BH16" s="329">
        <v>0</v>
      </c>
      <c r="BI16" s="329">
        <v>0</v>
      </c>
      <c r="BJ16" s="329">
        <v>0</v>
      </c>
      <c r="BK16" s="329">
        <v>0</v>
      </c>
      <c r="BL16" s="329">
        <v>0</v>
      </c>
      <c r="BM16" s="329">
        <v>0</v>
      </c>
      <c r="BN16" s="329">
        <v>0</v>
      </c>
      <c r="BO16" s="329">
        <v>0</v>
      </c>
      <c r="BP16" s="329">
        <v>0</v>
      </c>
      <c r="BQ16" s="329">
        <f>SUM(BF16:BP16)</f>
        <v>0</v>
      </c>
      <c r="BR16" s="329">
        <v>0</v>
      </c>
      <c r="BS16" s="329">
        <v>0</v>
      </c>
      <c r="BT16" s="329">
        <v>0</v>
      </c>
      <c r="BU16" s="329">
        <v>0</v>
      </c>
      <c r="BV16" s="329">
        <v>0</v>
      </c>
      <c r="BW16" s="329">
        <v>0</v>
      </c>
      <c r="BX16" s="329">
        <v>0</v>
      </c>
      <c r="BY16" s="329">
        <v>0</v>
      </c>
      <c r="BZ16" s="329">
        <v>0</v>
      </c>
      <c r="CA16" s="329">
        <v>0</v>
      </c>
      <c r="CB16" s="329">
        <v>0</v>
      </c>
      <c r="CC16" s="329">
        <f>SUM(BR16:CB16)</f>
        <v>0</v>
      </c>
      <c r="CD16" s="326">
        <v>0</v>
      </c>
      <c r="CE16" s="326">
        <v>0</v>
      </c>
      <c r="CF16" s="326">
        <v>0</v>
      </c>
      <c r="CG16" s="326">
        <v>0</v>
      </c>
      <c r="CH16" s="326">
        <v>0</v>
      </c>
      <c r="CI16" s="326">
        <v>0</v>
      </c>
      <c r="CJ16" s="326">
        <v>0</v>
      </c>
      <c r="CK16" s="326">
        <v>0</v>
      </c>
      <c r="CL16" s="326">
        <v>0</v>
      </c>
      <c r="CM16" s="326">
        <v>0</v>
      </c>
      <c r="CN16" s="326">
        <v>0</v>
      </c>
      <c r="CO16" s="326">
        <f t="shared" ref="CO16:CO21" si="14">SUM(CD16:CN16)</f>
        <v>0</v>
      </c>
      <c r="CP16" s="326">
        <v>0</v>
      </c>
      <c r="CQ16" s="326">
        <v>0</v>
      </c>
      <c r="CR16" s="326">
        <v>0</v>
      </c>
      <c r="CS16" s="326">
        <v>0</v>
      </c>
      <c r="CT16" s="326">
        <v>0</v>
      </c>
      <c r="CU16" s="326">
        <v>0</v>
      </c>
      <c r="CV16" s="326">
        <v>0</v>
      </c>
      <c r="CW16" s="326">
        <v>0</v>
      </c>
      <c r="CX16" s="326">
        <v>0</v>
      </c>
      <c r="CY16" s="326">
        <v>0</v>
      </c>
      <c r="CZ16" s="326">
        <v>0</v>
      </c>
      <c r="DA16" s="326">
        <f t="shared" ref="DA16:DA21" si="15">SUM(CP16:CZ16)</f>
        <v>0</v>
      </c>
      <c r="DB16" s="326">
        <v>0</v>
      </c>
      <c r="DC16" s="326">
        <v>0</v>
      </c>
      <c r="DD16" s="326">
        <v>0</v>
      </c>
      <c r="DE16" s="326">
        <v>0</v>
      </c>
      <c r="DF16" s="326">
        <v>0</v>
      </c>
      <c r="DG16" s="326">
        <v>0</v>
      </c>
      <c r="DH16" s="326">
        <v>0</v>
      </c>
      <c r="DI16" s="326">
        <v>0</v>
      </c>
      <c r="DJ16" s="326">
        <v>0</v>
      </c>
      <c r="DK16" s="326">
        <v>0</v>
      </c>
      <c r="DL16" s="326">
        <v>0</v>
      </c>
      <c r="DM16" s="326">
        <f t="shared" ref="DM16:DM21" si="16">SUM(DB16:DL16)</f>
        <v>0</v>
      </c>
      <c r="DN16" s="326">
        <v>0</v>
      </c>
      <c r="DO16" s="326">
        <v>0</v>
      </c>
      <c r="DP16" s="326">
        <v>0</v>
      </c>
      <c r="DQ16" s="326">
        <v>0</v>
      </c>
      <c r="DR16" s="326">
        <v>0</v>
      </c>
      <c r="DS16" s="326">
        <v>0</v>
      </c>
      <c r="DT16" s="326">
        <v>0</v>
      </c>
      <c r="DU16" s="326">
        <v>0</v>
      </c>
      <c r="DV16" s="326">
        <v>0</v>
      </c>
      <c r="DW16" s="326">
        <v>0</v>
      </c>
      <c r="DX16" s="326">
        <v>0</v>
      </c>
      <c r="DY16" s="326">
        <f t="shared" ref="DY16:DY21" si="17">SUM(DN16:DX16)</f>
        <v>0</v>
      </c>
      <c r="DZ16" s="326">
        <v>0</v>
      </c>
      <c r="EA16" s="326">
        <v>0</v>
      </c>
      <c r="EB16" s="326">
        <v>0</v>
      </c>
      <c r="EC16" s="326">
        <v>0</v>
      </c>
      <c r="ED16" s="326">
        <v>0</v>
      </c>
      <c r="EE16" s="326">
        <v>0</v>
      </c>
      <c r="EF16" s="326">
        <v>0</v>
      </c>
      <c r="EG16" s="326">
        <v>0</v>
      </c>
      <c r="EH16" s="326">
        <v>0</v>
      </c>
      <c r="EI16" s="326">
        <v>0</v>
      </c>
      <c r="EJ16" s="326">
        <v>0</v>
      </c>
      <c r="EK16" s="341">
        <f t="shared" ref="EK16:EK21" si="18">SUM(DZ16:EJ16)</f>
        <v>0</v>
      </c>
    </row>
    <row r="17" spans="1:141" x14ac:dyDescent="0.25">
      <c r="A17" s="93"/>
      <c r="C17" s="108">
        <v>180</v>
      </c>
      <c r="F17" s="15" t="s">
        <v>1249</v>
      </c>
      <c r="G17" s="109"/>
      <c r="I17" s="108">
        <v>0</v>
      </c>
      <c r="J17" s="329">
        <f t="shared" si="0"/>
        <v>500000</v>
      </c>
      <c r="K17" s="329">
        <v>0</v>
      </c>
      <c r="L17" s="329">
        <v>0</v>
      </c>
      <c r="M17" s="329">
        <v>0</v>
      </c>
      <c r="N17" s="329">
        <v>0</v>
      </c>
      <c r="O17" s="329">
        <v>0</v>
      </c>
      <c r="P17" s="329">
        <v>0</v>
      </c>
      <c r="Q17" s="329">
        <v>0</v>
      </c>
      <c r="R17" s="329">
        <v>0</v>
      </c>
      <c r="S17" s="329">
        <v>0</v>
      </c>
      <c r="T17" s="329">
        <v>0</v>
      </c>
      <c r="U17" s="329">
        <f t="shared" ref="U17:U22" si="19">SUM(K17:T17)</f>
        <v>0</v>
      </c>
      <c r="V17" s="329">
        <v>0</v>
      </c>
      <c r="W17" s="329">
        <v>0</v>
      </c>
      <c r="X17" s="329">
        <v>0</v>
      </c>
      <c r="Y17" s="329">
        <v>0</v>
      </c>
      <c r="Z17" s="329">
        <v>0</v>
      </c>
      <c r="AA17" s="329">
        <v>0</v>
      </c>
      <c r="AB17" s="329">
        <v>0</v>
      </c>
      <c r="AC17" s="329">
        <v>0</v>
      </c>
      <c r="AD17" s="329">
        <v>0</v>
      </c>
      <c r="AE17" s="329">
        <v>0</v>
      </c>
      <c r="AF17" s="329">
        <v>0</v>
      </c>
      <c r="AG17" s="329">
        <f t="shared" ref="AG17:AG22" si="20">SUM(V17:AF17)</f>
        <v>0</v>
      </c>
      <c r="AH17" s="329">
        <v>500000</v>
      </c>
      <c r="AI17" s="329">
        <v>0</v>
      </c>
      <c r="AJ17" s="329">
        <v>0</v>
      </c>
      <c r="AK17" s="329">
        <v>0</v>
      </c>
      <c r="AL17" s="329">
        <v>0</v>
      </c>
      <c r="AM17" s="329">
        <v>0</v>
      </c>
      <c r="AN17" s="329">
        <v>0</v>
      </c>
      <c r="AO17" s="329">
        <v>0</v>
      </c>
      <c r="AP17" s="329">
        <v>0</v>
      </c>
      <c r="AQ17" s="329">
        <v>0</v>
      </c>
      <c r="AR17" s="329">
        <v>0</v>
      </c>
      <c r="AS17" s="329">
        <f t="shared" ref="AS17:AS22" si="21">SUM(AH17:AR17)</f>
        <v>500000</v>
      </c>
      <c r="AT17" s="329">
        <v>0</v>
      </c>
      <c r="AU17" s="329">
        <v>0</v>
      </c>
      <c r="AV17" s="329">
        <v>0</v>
      </c>
      <c r="AW17" s="329">
        <v>0</v>
      </c>
      <c r="AX17" s="329">
        <v>0</v>
      </c>
      <c r="AY17" s="329">
        <v>0</v>
      </c>
      <c r="AZ17" s="329">
        <v>0</v>
      </c>
      <c r="BA17" s="329">
        <v>0</v>
      </c>
      <c r="BB17" s="329">
        <v>0</v>
      </c>
      <c r="BC17" s="329">
        <v>0</v>
      </c>
      <c r="BD17" s="329">
        <v>0</v>
      </c>
      <c r="BE17" s="329">
        <f t="shared" ref="BE17:BE22" si="22">SUM(AT17:BD17)</f>
        <v>0</v>
      </c>
      <c r="BF17" s="329">
        <v>0</v>
      </c>
      <c r="BG17" s="329">
        <v>0</v>
      </c>
      <c r="BH17" s="329">
        <v>0</v>
      </c>
      <c r="BI17" s="329">
        <v>0</v>
      </c>
      <c r="BJ17" s="329">
        <v>0</v>
      </c>
      <c r="BK17" s="329">
        <v>0</v>
      </c>
      <c r="BL17" s="329">
        <v>0</v>
      </c>
      <c r="BM17" s="329">
        <v>0</v>
      </c>
      <c r="BN17" s="329">
        <v>0</v>
      </c>
      <c r="BO17" s="329">
        <v>0</v>
      </c>
      <c r="BP17" s="329">
        <v>0</v>
      </c>
      <c r="BQ17" s="329">
        <f t="shared" ref="BQ17:BQ22" si="23">SUM(BF17:BP17)</f>
        <v>0</v>
      </c>
      <c r="BR17" s="329">
        <v>0</v>
      </c>
      <c r="BS17" s="329">
        <v>0</v>
      </c>
      <c r="BT17" s="329">
        <v>0</v>
      </c>
      <c r="BU17" s="329">
        <v>0</v>
      </c>
      <c r="BV17" s="329">
        <v>0</v>
      </c>
      <c r="BW17" s="329">
        <v>0</v>
      </c>
      <c r="BX17" s="329">
        <v>0</v>
      </c>
      <c r="BY17" s="329">
        <v>0</v>
      </c>
      <c r="BZ17" s="329">
        <v>0</v>
      </c>
      <c r="CA17" s="329">
        <v>0</v>
      </c>
      <c r="CB17" s="329">
        <v>0</v>
      </c>
      <c r="CC17" s="329">
        <f t="shared" ref="CC17:CC22" si="24">SUM(BR17:CB17)</f>
        <v>0</v>
      </c>
      <c r="CD17" s="326">
        <v>0</v>
      </c>
      <c r="CE17" s="326">
        <v>0</v>
      </c>
      <c r="CF17" s="326">
        <v>0</v>
      </c>
      <c r="CG17" s="326">
        <v>0</v>
      </c>
      <c r="CH17" s="326">
        <v>0</v>
      </c>
      <c r="CI17" s="326">
        <v>0</v>
      </c>
      <c r="CJ17" s="326">
        <v>0</v>
      </c>
      <c r="CK17" s="326">
        <v>0</v>
      </c>
      <c r="CL17" s="326">
        <v>0</v>
      </c>
      <c r="CM17" s="326">
        <v>0</v>
      </c>
      <c r="CN17" s="326">
        <v>0</v>
      </c>
      <c r="CO17" s="329">
        <f t="shared" si="14"/>
        <v>0</v>
      </c>
      <c r="CP17" s="326">
        <v>0</v>
      </c>
      <c r="CQ17" s="326">
        <v>0</v>
      </c>
      <c r="CR17" s="326">
        <v>0</v>
      </c>
      <c r="CS17" s="326">
        <v>0</v>
      </c>
      <c r="CT17" s="326">
        <v>0</v>
      </c>
      <c r="CU17" s="326">
        <v>0</v>
      </c>
      <c r="CV17" s="326">
        <v>0</v>
      </c>
      <c r="CW17" s="326">
        <v>0</v>
      </c>
      <c r="CX17" s="326">
        <v>0</v>
      </c>
      <c r="CY17" s="326">
        <v>0</v>
      </c>
      <c r="CZ17" s="326">
        <v>0</v>
      </c>
      <c r="DA17" s="329">
        <f t="shared" si="15"/>
        <v>0</v>
      </c>
      <c r="DB17" s="326">
        <v>0</v>
      </c>
      <c r="DC17" s="326">
        <v>0</v>
      </c>
      <c r="DD17" s="326">
        <v>0</v>
      </c>
      <c r="DE17" s="326">
        <v>0</v>
      </c>
      <c r="DF17" s="326">
        <v>0</v>
      </c>
      <c r="DG17" s="326">
        <v>0</v>
      </c>
      <c r="DH17" s="326">
        <v>0</v>
      </c>
      <c r="DI17" s="326">
        <v>0</v>
      </c>
      <c r="DJ17" s="326">
        <v>0</v>
      </c>
      <c r="DK17" s="326">
        <v>0</v>
      </c>
      <c r="DL17" s="326">
        <v>0</v>
      </c>
      <c r="DM17" s="329">
        <f t="shared" si="16"/>
        <v>0</v>
      </c>
      <c r="DN17" s="326">
        <v>0</v>
      </c>
      <c r="DO17" s="326">
        <v>0</v>
      </c>
      <c r="DP17" s="326">
        <v>0</v>
      </c>
      <c r="DQ17" s="326">
        <v>0</v>
      </c>
      <c r="DR17" s="326">
        <v>0</v>
      </c>
      <c r="DS17" s="326">
        <v>0</v>
      </c>
      <c r="DT17" s="326">
        <v>0</v>
      </c>
      <c r="DU17" s="326">
        <v>0</v>
      </c>
      <c r="DV17" s="326">
        <v>0</v>
      </c>
      <c r="DW17" s="326">
        <v>0</v>
      </c>
      <c r="DX17" s="326">
        <v>0</v>
      </c>
      <c r="DY17" s="329">
        <f t="shared" si="17"/>
        <v>0</v>
      </c>
      <c r="DZ17" s="329">
        <v>0</v>
      </c>
      <c r="EA17" s="329">
        <v>0</v>
      </c>
      <c r="EB17" s="329">
        <v>0</v>
      </c>
      <c r="EC17" s="329">
        <v>0</v>
      </c>
      <c r="ED17" s="329">
        <v>0</v>
      </c>
      <c r="EE17" s="329">
        <v>0</v>
      </c>
      <c r="EF17" s="329">
        <v>0</v>
      </c>
      <c r="EG17" s="329">
        <v>0</v>
      </c>
      <c r="EH17" s="329">
        <v>0</v>
      </c>
      <c r="EI17" s="329">
        <v>0</v>
      </c>
      <c r="EJ17" s="329">
        <v>0</v>
      </c>
      <c r="EK17" s="341">
        <f t="shared" si="18"/>
        <v>0</v>
      </c>
    </row>
    <row r="18" spans="1:141" x14ac:dyDescent="0.25">
      <c r="A18" s="93"/>
      <c r="C18" s="108">
        <v>193</v>
      </c>
      <c r="F18" s="15" t="s">
        <v>1250</v>
      </c>
      <c r="G18" s="109"/>
      <c r="I18" s="108">
        <v>0</v>
      </c>
      <c r="J18" s="329">
        <f t="shared" si="0"/>
        <v>250000</v>
      </c>
      <c r="K18" s="329">
        <v>0</v>
      </c>
      <c r="L18" s="329">
        <v>0</v>
      </c>
      <c r="M18" s="329">
        <v>0</v>
      </c>
      <c r="N18" s="329">
        <v>0</v>
      </c>
      <c r="O18" s="329">
        <v>0</v>
      </c>
      <c r="P18" s="329">
        <v>0</v>
      </c>
      <c r="Q18" s="329">
        <v>0</v>
      </c>
      <c r="R18" s="329">
        <v>0</v>
      </c>
      <c r="S18" s="329">
        <v>0</v>
      </c>
      <c r="T18" s="329">
        <v>0</v>
      </c>
      <c r="U18" s="329">
        <f t="shared" si="19"/>
        <v>0</v>
      </c>
      <c r="V18" s="329">
        <v>0</v>
      </c>
      <c r="W18" s="329">
        <v>0</v>
      </c>
      <c r="X18" s="329">
        <v>0</v>
      </c>
      <c r="Y18" s="329">
        <v>0</v>
      </c>
      <c r="Z18" s="329">
        <v>0</v>
      </c>
      <c r="AA18" s="329">
        <v>0</v>
      </c>
      <c r="AB18" s="329">
        <v>0</v>
      </c>
      <c r="AC18" s="329">
        <v>0</v>
      </c>
      <c r="AD18" s="329">
        <v>0</v>
      </c>
      <c r="AE18" s="329">
        <v>0</v>
      </c>
      <c r="AF18" s="329">
        <v>0</v>
      </c>
      <c r="AG18" s="329">
        <f t="shared" si="20"/>
        <v>0</v>
      </c>
      <c r="AH18" s="329">
        <v>0</v>
      </c>
      <c r="AI18" s="329">
        <v>0</v>
      </c>
      <c r="AJ18" s="329">
        <v>0</v>
      </c>
      <c r="AK18" s="329">
        <v>0</v>
      </c>
      <c r="AL18" s="329">
        <v>0</v>
      </c>
      <c r="AM18" s="329">
        <v>0</v>
      </c>
      <c r="AN18" s="329">
        <v>0</v>
      </c>
      <c r="AO18" s="329">
        <v>0</v>
      </c>
      <c r="AP18" s="329">
        <v>0</v>
      </c>
      <c r="AQ18" s="329">
        <v>0</v>
      </c>
      <c r="AR18" s="329">
        <v>0</v>
      </c>
      <c r="AS18" s="329">
        <f t="shared" si="21"/>
        <v>0</v>
      </c>
      <c r="AT18" s="329">
        <v>250000</v>
      </c>
      <c r="AU18" s="329">
        <v>0</v>
      </c>
      <c r="AV18" s="329">
        <v>0</v>
      </c>
      <c r="AW18" s="329">
        <v>0</v>
      </c>
      <c r="AX18" s="329">
        <v>0</v>
      </c>
      <c r="AY18" s="329">
        <v>0</v>
      </c>
      <c r="AZ18" s="329">
        <v>0</v>
      </c>
      <c r="BA18" s="329">
        <v>0</v>
      </c>
      <c r="BB18" s="329">
        <v>0</v>
      </c>
      <c r="BC18" s="329">
        <v>0</v>
      </c>
      <c r="BD18" s="329">
        <v>0</v>
      </c>
      <c r="BE18" s="329">
        <f t="shared" si="22"/>
        <v>250000</v>
      </c>
      <c r="BF18" s="329">
        <v>0</v>
      </c>
      <c r="BG18" s="329">
        <v>0</v>
      </c>
      <c r="BH18" s="329">
        <v>0</v>
      </c>
      <c r="BI18" s="329">
        <v>0</v>
      </c>
      <c r="BJ18" s="329">
        <v>0</v>
      </c>
      <c r="BK18" s="329">
        <v>0</v>
      </c>
      <c r="BL18" s="329">
        <v>0</v>
      </c>
      <c r="BM18" s="329">
        <v>0</v>
      </c>
      <c r="BN18" s="329">
        <v>0</v>
      </c>
      <c r="BO18" s="329">
        <v>0</v>
      </c>
      <c r="BP18" s="329">
        <v>0</v>
      </c>
      <c r="BQ18" s="329">
        <f t="shared" si="23"/>
        <v>0</v>
      </c>
      <c r="BR18" s="329">
        <v>0</v>
      </c>
      <c r="BS18" s="329">
        <v>0</v>
      </c>
      <c r="BT18" s="329">
        <v>0</v>
      </c>
      <c r="BU18" s="329">
        <v>0</v>
      </c>
      <c r="BV18" s="329">
        <v>0</v>
      </c>
      <c r="BW18" s="329">
        <v>0</v>
      </c>
      <c r="BX18" s="329">
        <v>0</v>
      </c>
      <c r="BY18" s="329">
        <v>0</v>
      </c>
      <c r="BZ18" s="329">
        <v>0</v>
      </c>
      <c r="CA18" s="329">
        <v>0</v>
      </c>
      <c r="CB18" s="329">
        <v>0</v>
      </c>
      <c r="CC18" s="329">
        <f t="shared" si="24"/>
        <v>0</v>
      </c>
      <c r="CD18" s="326">
        <v>0</v>
      </c>
      <c r="CE18" s="326">
        <v>0</v>
      </c>
      <c r="CF18" s="326">
        <v>0</v>
      </c>
      <c r="CG18" s="326">
        <v>0</v>
      </c>
      <c r="CH18" s="326">
        <v>0</v>
      </c>
      <c r="CI18" s="326">
        <v>0</v>
      </c>
      <c r="CJ18" s="326">
        <v>0</v>
      </c>
      <c r="CK18" s="326">
        <v>0</v>
      </c>
      <c r="CL18" s="326">
        <v>0</v>
      </c>
      <c r="CM18" s="326">
        <v>0</v>
      </c>
      <c r="CN18" s="326">
        <v>0</v>
      </c>
      <c r="CO18" s="329">
        <f t="shared" si="14"/>
        <v>0</v>
      </c>
      <c r="CP18" s="326">
        <v>0</v>
      </c>
      <c r="CQ18" s="326">
        <v>0</v>
      </c>
      <c r="CR18" s="326">
        <v>0</v>
      </c>
      <c r="CS18" s="326">
        <v>0</v>
      </c>
      <c r="CT18" s="326">
        <v>0</v>
      </c>
      <c r="CU18" s="326">
        <v>0</v>
      </c>
      <c r="CV18" s="326">
        <v>0</v>
      </c>
      <c r="CW18" s="326">
        <v>0</v>
      </c>
      <c r="CX18" s="326">
        <v>0</v>
      </c>
      <c r="CY18" s="326">
        <v>0</v>
      </c>
      <c r="CZ18" s="326">
        <v>0</v>
      </c>
      <c r="DA18" s="329">
        <f t="shared" si="15"/>
        <v>0</v>
      </c>
      <c r="DB18" s="326">
        <v>0</v>
      </c>
      <c r="DC18" s="326">
        <v>0</v>
      </c>
      <c r="DD18" s="326">
        <v>0</v>
      </c>
      <c r="DE18" s="326">
        <v>0</v>
      </c>
      <c r="DF18" s="326">
        <v>0</v>
      </c>
      <c r="DG18" s="326">
        <v>0</v>
      </c>
      <c r="DH18" s="326">
        <v>0</v>
      </c>
      <c r="DI18" s="326">
        <v>0</v>
      </c>
      <c r="DJ18" s="326">
        <v>0</v>
      </c>
      <c r="DK18" s="326">
        <v>0</v>
      </c>
      <c r="DL18" s="326">
        <v>0</v>
      </c>
      <c r="DM18" s="329">
        <f t="shared" si="16"/>
        <v>0</v>
      </c>
      <c r="DN18" s="326">
        <v>0</v>
      </c>
      <c r="DO18" s="326">
        <v>0</v>
      </c>
      <c r="DP18" s="326">
        <v>0</v>
      </c>
      <c r="DQ18" s="326">
        <v>0</v>
      </c>
      <c r="DR18" s="326">
        <v>0</v>
      </c>
      <c r="DS18" s="326">
        <v>0</v>
      </c>
      <c r="DT18" s="326">
        <v>0</v>
      </c>
      <c r="DU18" s="326">
        <v>0</v>
      </c>
      <c r="DV18" s="326">
        <v>0</v>
      </c>
      <c r="DW18" s="326">
        <v>0</v>
      </c>
      <c r="DX18" s="326">
        <v>0</v>
      </c>
      <c r="DY18" s="329">
        <f t="shared" si="17"/>
        <v>0</v>
      </c>
      <c r="DZ18" s="329">
        <v>0</v>
      </c>
      <c r="EA18" s="329">
        <v>0</v>
      </c>
      <c r="EB18" s="329">
        <v>0</v>
      </c>
      <c r="EC18" s="329">
        <v>0</v>
      </c>
      <c r="ED18" s="329">
        <v>0</v>
      </c>
      <c r="EE18" s="329">
        <v>0</v>
      </c>
      <c r="EF18" s="329">
        <v>0</v>
      </c>
      <c r="EG18" s="329">
        <v>0</v>
      </c>
      <c r="EH18" s="329">
        <v>0</v>
      </c>
      <c r="EI18" s="329">
        <v>0</v>
      </c>
      <c r="EJ18" s="329">
        <v>0</v>
      </c>
      <c r="EK18" s="341">
        <f t="shared" si="18"/>
        <v>0</v>
      </c>
    </row>
    <row r="19" spans="1:141" x14ac:dyDescent="0.25">
      <c r="A19" s="93"/>
      <c r="C19" s="108">
        <v>188</v>
      </c>
      <c r="F19" s="15" t="s">
        <v>1251</v>
      </c>
      <c r="G19" s="109"/>
      <c r="I19" s="108">
        <v>0</v>
      </c>
      <c r="J19" s="329">
        <f t="shared" si="0"/>
        <v>250000</v>
      </c>
      <c r="K19" s="329">
        <v>0</v>
      </c>
      <c r="L19" s="329">
        <v>0</v>
      </c>
      <c r="M19" s="329">
        <v>0</v>
      </c>
      <c r="N19" s="329">
        <v>0</v>
      </c>
      <c r="O19" s="329">
        <v>0</v>
      </c>
      <c r="P19" s="329">
        <v>0</v>
      </c>
      <c r="Q19" s="329">
        <v>0</v>
      </c>
      <c r="R19" s="329">
        <v>0</v>
      </c>
      <c r="S19" s="329">
        <v>0</v>
      </c>
      <c r="T19" s="329">
        <v>0</v>
      </c>
      <c r="U19" s="329">
        <f t="shared" si="19"/>
        <v>0</v>
      </c>
      <c r="V19" s="329">
        <v>0</v>
      </c>
      <c r="W19" s="329">
        <v>0</v>
      </c>
      <c r="X19" s="329">
        <v>0</v>
      </c>
      <c r="Y19" s="329">
        <v>0</v>
      </c>
      <c r="Z19" s="329">
        <v>0</v>
      </c>
      <c r="AA19" s="329">
        <v>0</v>
      </c>
      <c r="AB19" s="329">
        <v>0</v>
      </c>
      <c r="AC19" s="329">
        <v>0</v>
      </c>
      <c r="AD19" s="329">
        <v>0</v>
      </c>
      <c r="AE19" s="329">
        <v>0</v>
      </c>
      <c r="AF19" s="329">
        <v>0</v>
      </c>
      <c r="AG19" s="329">
        <f t="shared" si="20"/>
        <v>0</v>
      </c>
      <c r="AH19" s="329">
        <v>0</v>
      </c>
      <c r="AI19" s="329">
        <v>0</v>
      </c>
      <c r="AJ19" s="329">
        <v>0</v>
      </c>
      <c r="AK19" s="329">
        <v>0</v>
      </c>
      <c r="AL19" s="329">
        <v>0</v>
      </c>
      <c r="AM19" s="329">
        <v>0</v>
      </c>
      <c r="AN19" s="329">
        <v>0</v>
      </c>
      <c r="AO19" s="329">
        <v>0</v>
      </c>
      <c r="AP19" s="329">
        <v>0</v>
      </c>
      <c r="AQ19" s="329">
        <v>0</v>
      </c>
      <c r="AR19" s="329">
        <v>0</v>
      </c>
      <c r="AS19" s="329">
        <f t="shared" si="21"/>
        <v>0</v>
      </c>
      <c r="AT19" s="329">
        <v>250000</v>
      </c>
      <c r="AU19" s="329">
        <v>0</v>
      </c>
      <c r="AV19" s="329">
        <v>0</v>
      </c>
      <c r="AW19" s="329">
        <v>0</v>
      </c>
      <c r="AX19" s="329">
        <v>0</v>
      </c>
      <c r="AY19" s="329">
        <v>0</v>
      </c>
      <c r="AZ19" s="329">
        <v>0</v>
      </c>
      <c r="BA19" s="329">
        <v>0</v>
      </c>
      <c r="BB19" s="329">
        <v>0</v>
      </c>
      <c r="BC19" s="329">
        <v>0</v>
      </c>
      <c r="BD19" s="329">
        <v>0</v>
      </c>
      <c r="BE19" s="329">
        <f t="shared" si="22"/>
        <v>250000</v>
      </c>
      <c r="BF19" s="329">
        <v>0</v>
      </c>
      <c r="BG19" s="329">
        <v>0</v>
      </c>
      <c r="BH19" s="329">
        <v>0</v>
      </c>
      <c r="BI19" s="329">
        <v>0</v>
      </c>
      <c r="BJ19" s="329">
        <v>0</v>
      </c>
      <c r="BK19" s="329">
        <v>0</v>
      </c>
      <c r="BL19" s="329">
        <v>0</v>
      </c>
      <c r="BM19" s="329">
        <v>0</v>
      </c>
      <c r="BN19" s="329">
        <v>0</v>
      </c>
      <c r="BO19" s="329">
        <v>0</v>
      </c>
      <c r="BP19" s="329">
        <v>0</v>
      </c>
      <c r="BQ19" s="329">
        <f t="shared" si="23"/>
        <v>0</v>
      </c>
      <c r="BR19" s="329">
        <v>0</v>
      </c>
      <c r="BS19" s="329">
        <v>0</v>
      </c>
      <c r="BT19" s="329">
        <v>0</v>
      </c>
      <c r="BU19" s="329">
        <v>0</v>
      </c>
      <c r="BV19" s="329">
        <v>0</v>
      </c>
      <c r="BW19" s="329">
        <v>0</v>
      </c>
      <c r="BX19" s="329">
        <v>0</v>
      </c>
      <c r="BY19" s="329">
        <v>0</v>
      </c>
      <c r="BZ19" s="329">
        <v>0</v>
      </c>
      <c r="CA19" s="329">
        <v>0</v>
      </c>
      <c r="CB19" s="329">
        <v>0</v>
      </c>
      <c r="CC19" s="329">
        <f t="shared" si="24"/>
        <v>0</v>
      </c>
      <c r="CD19" s="326">
        <v>0</v>
      </c>
      <c r="CE19" s="326">
        <v>0</v>
      </c>
      <c r="CF19" s="326">
        <v>0</v>
      </c>
      <c r="CG19" s="326">
        <v>0</v>
      </c>
      <c r="CH19" s="326">
        <v>0</v>
      </c>
      <c r="CI19" s="326">
        <v>0</v>
      </c>
      <c r="CJ19" s="326">
        <v>0</v>
      </c>
      <c r="CK19" s="326">
        <v>0</v>
      </c>
      <c r="CL19" s="326">
        <v>0</v>
      </c>
      <c r="CM19" s="326">
        <v>0</v>
      </c>
      <c r="CN19" s="326">
        <v>0</v>
      </c>
      <c r="CO19" s="326">
        <f t="shared" si="14"/>
        <v>0</v>
      </c>
      <c r="CP19" s="326">
        <v>0</v>
      </c>
      <c r="CQ19" s="326">
        <v>0</v>
      </c>
      <c r="CR19" s="326">
        <v>0</v>
      </c>
      <c r="CS19" s="326">
        <v>0</v>
      </c>
      <c r="CT19" s="326">
        <v>0</v>
      </c>
      <c r="CU19" s="326">
        <v>0</v>
      </c>
      <c r="CV19" s="326">
        <v>0</v>
      </c>
      <c r="CW19" s="326">
        <v>0</v>
      </c>
      <c r="CX19" s="326">
        <v>0</v>
      </c>
      <c r="CY19" s="326">
        <v>0</v>
      </c>
      <c r="CZ19" s="326">
        <v>0</v>
      </c>
      <c r="DA19" s="326">
        <f t="shared" si="15"/>
        <v>0</v>
      </c>
      <c r="DB19" s="326">
        <v>0</v>
      </c>
      <c r="DC19" s="326">
        <v>0</v>
      </c>
      <c r="DD19" s="326">
        <v>0</v>
      </c>
      <c r="DE19" s="326">
        <v>0</v>
      </c>
      <c r="DF19" s="326">
        <v>0</v>
      </c>
      <c r="DG19" s="326">
        <v>0</v>
      </c>
      <c r="DH19" s="326">
        <v>0</v>
      </c>
      <c r="DI19" s="326">
        <v>0</v>
      </c>
      <c r="DJ19" s="326">
        <v>0</v>
      </c>
      <c r="DK19" s="326">
        <v>0</v>
      </c>
      <c r="DL19" s="326">
        <v>0</v>
      </c>
      <c r="DM19" s="326">
        <f t="shared" si="16"/>
        <v>0</v>
      </c>
      <c r="DN19" s="326">
        <v>0</v>
      </c>
      <c r="DO19" s="326">
        <v>0</v>
      </c>
      <c r="DP19" s="326">
        <v>0</v>
      </c>
      <c r="DQ19" s="326">
        <v>0</v>
      </c>
      <c r="DR19" s="326">
        <v>0</v>
      </c>
      <c r="DS19" s="326">
        <v>0</v>
      </c>
      <c r="DT19" s="326">
        <v>0</v>
      </c>
      <c r="DU19" s="326">
        <v>0</v>
      </c>
      <c r="DV19" s="326">
        <v>0</v>
      </c>
      <c r="DW19" s="326">
        <v>0</v>
      </c>
      <c r="DX19" s="326">
        <v>0</v>
      </c>
      <c r="DY19" s="326">
        <f t="shared" si="17"/>
        <v>0</v>
      </c>
      <c r="DZ19" s="326">
        <v>0</v>
      </c>
      <c r="EA19" s="326">
        <v>0</v>
      </c>
      <c r="EB19" s="326">
        <v>0</v>
      </c>
      <c r="EC19" s="326">
        <v>0</v>
      </c>
      <c r="ED19" s="326">
        <v>0</v>
      </c>
      <c r="EE19" s="326">
        <v>0</v>
      </c>
      <c r="EF19" s="326">
        <v>0</v>
      </c>
      <c r="EG19" s="326">
        <v>0</v>
      </c>
      <c r="EH19" s="326">
        <v>0</v>
      </c>
      <c r="EI19" s="326">
        <v>0</v>
      </c>
      <c r="EJ19" s="326">
        <v>0</v>
      </c>
      <c r="EK19" s="341">
        <f t="shared" si="18"/>
        <v>0</v>
      </c>
    </row>
    <row r="20" spans="1:141" x14ac:dyDescent="0.25">
      <c r="A20" s="93"/>
      <c r="C20" s="108">
        <v>190</v>
      </c>
      <c r="F20" s="15" t="s">
        <v>1252</v>
      </c>
      <c r="G20" s="109"/>
      <c r="I20" s="108">
        <v>0</v>
      </c>
      <c r="J20" s="329">
        <f t="shared" si="0"/>
        <v>250000</v>
      </c>
      <c r="K20" s="329">
        <v>0</v>
      </c>
      <c r="L20" s="329">
        <v>0</v>
      </c>
      <c r="M20" s="329">
        <v>0</v>
      </c>
      <c r="N20" s="329">
        <v>0</v>
      </c>
      <c r="O20" s="329">
        <v>0</v>
      </c>
      <c r="P20" s="329">
        <v>0</v>
      </c>
      <c r="Q20" s="329">
        <v>0</v>
      </c>
      <c r="R20" s="329">
        <v>0</v>
      </c>
      <c r="S20" s="329">
        <v>0</v>
      </c>
      <c r="T20" s="329">
        <v>0</v>
      </c>
      <c r="U20" s="329">
        <f t="shared" si="19"/>
        <v>0</v>
      </c>
      <c r="V20" s="329">
        <v>0</v>
      </c>
      <c r="W20" s="329">
        <v>0</v>
      </c>
      <c r="X20" s="329">
        <v>0</v>
      </c>
      <c r="Y20" s="329">
        <v>0</v>
      </c>
      <c r="Z20" s="329">
        <v>0</v>
      </c>
      <c r="AA20" s="329">
        <v>0</v>
      </c>
      <c r="AB20" s="329">
        <v>0</v>
      </c>
      <c r="AC20" s="329">
        <v>0</v>
      </c>
      <c r="AD20" s="329">
        <v>0</v>
      </c>
      <c r="AE20" s="329">
        <v>0</v>
      </c>
      <c r="AF20" s="329">
        <v>0</v>
      </c>
      <c r="AG20" s="329">
        <f t="shared" si="20"/>
        <v>0</v>
      </c>
      <c r="AH20" s="329">
        <v>0</v>
      </c>
      <c r="AI20" s="329">
        <v>0</v>
      </c>
      <c r="AJ20" s="329">
        <v>0</v>
      </c>
      <c r="AK20" s="329">
        <v>0</v>
      </c>
      <c r="AL20" s="329">
        <v>0</v>
      </c>
      <c r="AM20" s="329">
        <v>0</v>
      </c>
      <c r="AN20" s="329">
        <v>0</v>
      </c>
      <c r="AO20" s="329">
        <v>0</v>
      </c>
      <c r="AP20" s="329">
        <v>0</v>
      </c>
      <c r="AQ20" s="329">
        <v>0</v>
      </c>
      <c r="AR20" s="329">
        <v>0</v>
      </c>
      <c r="AS20" s="329">
        <f t="shared" si="21"/>
        <v>0</v>
      </c>
      <c r="AT20" s="329">
        <v>250000</v>
      </c>
      <c r="AU20" s="329">
        <v>0</v>
      </c>
      <c r="AV20" s="329">
        <v>0</v>
      </c>
      <c r="AW20" s="329">
        <v>0</v>
      </c>
      <c r="AX20" s="329">
        <v>0</v>
      </c>
      <c r="AY20" s="329">
        <v>0</v>
      </c>
      <c r="AZ20" s="329">
        <v>0</v>
      </c>
      <c r="BA20" s="329">
        <v>0</v>
      </c>
      <c r="BB20" s="329">
        <v>0</v>
      </c>
      <c r="BC20" s="329">
        <v>0</v>
      </c>
      <c r="BD20" s="329">
        <v>0</v>
      </c>
      <c r="BE20" s="329">
        <f t="shared" si="22"/>
        <v>250000</v>
      </c>
      <c r="BF20" s="329">
        <v>0</v>
      </c>
      <c r="BG20" s="329">
        <v>0</v>
      </c>
      <c r="BH20" s="329">
        <v>0</v>
      </c>
      <c r="BI20" s="329">
        <v>0</v>
      </c>
      <c r="BJ20" s="329">
        <v>0</v>
      </c>
      <c r="BK20" s="329">
        <v>0</v>
      </c>
      <c r="BL20" s="329">
        <v>0</v>
      </c>
      <c r="BM20" s="329">
        <v>0</v>
      </c>
      <c r="BN20" s="329">
        <v>0</v>
      </c>
      <c r="BO20" s="329">
        <v>0</v>
      </c>
      <c r="BP20" s="329">
        <v>0</v>
      </c>
      <c r="BQ20" s="329">
        <f t="shared" si="23"/>
        <v>0</v>
      </c>
      <c r="BR20" s="329">
        <v>0</v>
      </c>
      <c r="BS20" s="329">
        <v>0</v>
      </c>
      <c r="BT20" s="329">
        <v>0</v>
      </c>
      <c r="BU20" s="329">
        <v>0</v>
      </c>
      <c r="BV20" s="329">
        <v>0</v>
      </c>
      <c r="BW20" s="329">
        <v>0</v>
      </c>
      <c r="BX20" s="329">
        <v>0</v>
      </c>
      <c r="BY20" s="329">
        <v>0</v>
      </c>
      <c r="BZ20" s="329">
        <v>0</v>
      </c>
      <c r="CA20" s="329">
        <v>0</v>
      </c>
      <c r="CB20" s="329">
        <v>0</v>
      </c>
      <c r="CC20" s="329">
        <f t="shared" si="24"/>
        <v>0</v>
      </c>
      <c r="CD20" s="326">
        <v>0</v>
      </c>
      <c r="CE20" s="326">
        <v>0</v>
      </c>
      <c r="CF20" s="326">
        <v>0</v>
      </c>
      <c r="CG20" s="326">
        <v>0</v>
      </c>
      <c r="CH20" s="326">
        <v>0</v>
      </c>
      <c r="CI20" s="326">
        <v>0</v>
      </c>
      <c r="CJ20" s="326">
        <v>0</v>
      </c>
      <c r="CK20" s="326">
        <v>0</v>
      </c>
      <c r="CL20" s="326">
        <v>0</v>
      </c>
      <c r="CM20" s="326">
        <v>0</v>
      </c>
      <c r="CN20" s="326">
        <v>0</v>
      </c>
      <c r="CO20" s="329">
        <f t="shared" si="14"/>
        <v>0</v>
      </c>
      <c r="CP20" s="326">
        <v>0</v>
      </c>
      <c r="CQ20" s="326">
        <v>0</v>
      </c>
      <c r="CR20" s="326">
        <v>0</v>
      </c>
      <c r="CS20" s="326">
        <v>0</v>
      </c>
      <c r="CT20" s="326">
        <v>0</v>
      </c>
      <c r="CU20" s="326">
        <v>0</v>
      </c>
      <c r="CV20" s="326">
        <v>0</v>
      </c>
      <c r="CW20" s="326">
        <v>0</v>
      </c>
      <c r="CX20" s="326">
        <v>0</v>
      </c>
      <c r="CY20" s="326">
        <v>0</v>
      </c>
      <c r="CZ20" s="326">
        <v>0</v>
      </c>
      <c r="DA20" s="329">
        <f t="shared" si="15"/>
        <v>0</v>
      </c>
      <c r="DB20" s="326">
        <v>0</v>
      </c>
      <c r="DC20" s="326">
        <v>0</v>
      </c>
      <c r="DD20" s="326">
        <v>0</v>
      </c>
      <c r="DE20" s="326">
        <v>0</v>
      </c>
      <c r="DF20" s="326">
        <v>0</v>
      </c>
      <c r="DG20" s="326">
        <v>0</v>
      </c>
      <c r="DH20" s="326">
        <v>0</v>
      </c>
      <c r="DI20" s="326">
        <v>0</v>
      </c>
      <c r="DJ20" s="326">
        <v>0</v>
      </c>
      <c r="DK20" s="326">
        <v>0</v>
      </c>
      <c r="DL20" s="326">
        <v>0</v>
      </c>
      <c r="DM20" s="329">
        <f t="shared" si="16"/>
        <v>0</v>
      </c>
      <c r="DN20" s="326">
        <v>0</v>
      </c>
      <c r="DO20" s="326">
        <v>0</v>
      </c>
      <c r="DP20" s="326">
        <v>0</v>
      </c>
      <c r="DQ20" s="326">
        <v>0</v>
      </c>
      <c r="DR20" s="326">
        <v>0</v>
      </c>
      <c r="DS20" s="326">
        <v>0</v>
      </c>
      <c r="DT20" s="326">
        <v>0</v>
      </c>
      <c r="DU20" s="326">
        <v>0</v>
      </c>
      <c r="DV20" s="326">
        <v>0</v>
      </c>
      <c r="DW20" s="326">
        <v>0</v>
      </c>
      <c r="DX20" s="326">
        <v>0</v>
      </c>
      <c r="DY20" s="329">
        <f t="shared" si="17"/>
        <v>0</v>
      </c>
      <c r="DZ20" s="329">
        <v>0</v>
      </c>
      <c r="EA20" s="329">
        <v>0</v>
      </c>
      <c r="EB20" s="329">
        <v>0</v>
      </c>
      <c r="EC20" s="329">
        <v>0</v>
      </c>
      <c r="ED20" s="329">
        <v>0</v>
      </c>
      <c r="EE20" s="329">
        <v>0</v>
      </c>
      <c r="EF20" s="329">
        <v>0</v>
      </c>
      <c r="EG20" s="329">
        <v>0</v>
      </c>
      <c r="EH20" s="329">
        <v>0</v>
      </c>
      <c r="EI20" s="329">
        <v>0</v>
      </c>
      <c r="EJ20" s="329">
        <v>0</v>
      </c>
      <c r="EK20" s="341">
        <f t="shared" si="18"/>
        <v>0</v>
      </c>
    </row>
    <row r="21" spans="1:141" x14ac:dyDescent="0.25">
      <c r="A21" s="93"/>
      <c r="C21" s="108">
        <v>150</v>
      </c>
      <c r="F21" s="15" t="s">
        <v>1282</v>
      </c>
      <c r="G21" s="109"/>
      <c r="I21" s="108">
        <v>0</v>
      </c>
      <c r="J21" s="329">
        <f t="shared" si="0"/>
        <v>250000</v>
      </c>
      <c r="K21" s="329">
        <v>0</v>
      </c>
      <c r="L21" s="329">
        <v>0</v>
      </c>
      <c r="M21" s="329">
        <v>0</v>
      </c>
      <c r="N21" s="329">
        <v>0</v>
      </c>
      <c r="O21" s="329">
        <v>0</v>
      </c>
      <c r="P21" s="329">
        <v>0</v>
      </c>
      <c r="Q21" s="329">
        <v>0</v>
      </c>
      <c r="R21" s="329">
        <v>0</v>
      </c>
      <c r="S21" s="329">
        <v>0</v>
      </c>
      <c r="T21" s="329">
        <v>0</v>
      </c>
      <c r="U21" s="329">
        <f t="shared" si="19"/>
        <v>0</v>
      </c>
      <c r="V21" s="329">
        <v>0</v>
      </c>
      <c r="W21" s="329">
        <v>0</v>
      </c>
      <c r="X21" s="329">
        <v>0</v>
      </c>
      <c r="Y21" s="329">
        <v>0</v>
      </c>
      <c r="Z21" s="329">
        <v>0</v>
      </c>
      <c r="AA21" s="329">
        <v>0</v>
      </c>
      <c r="AB21" s="329">
        <v>0</v>
      </c>
      <c r="AC21" s="329">
        <v>0</v>
      </c>
      <c r="AD21" s="329">
        <v>0</v>
      </c>
      <c r="AE21" s="329">
        <v>0</v>
      </c>
      <c r="AF21" s="329">
        <v>0</v>
      </c>
      <c r="AG21" s="329">
        <f t="shared" si="20"/>
        <v>0</v>
      </c>
      <c r="AH21" s="329">
        <v>250000</v>
      </c>
      <c r="AI21" s="329">
        <v>0</v>
      </c>
      <c r="AJ21" s="329">
        <v>0</v>
      </c>
      <c r="AK21" s="329">
        <v>0</v>
      </c>
      <c r="AL21" s="329">
        <v>0</v>
      </c>
      <c r="AM21" s="329">
        <v>0</v>
      </c>
      <c r="AN21" s="329">
        <v>0</v>
      </c>
      <c r="AO21" s="329">
        <v>0</v>
      </c>
      <c r="AP21" s="329">
        <v>0</v>
      </c>
      <c r="AQ21" s="329">
        <v>0</v>
      </c>
      <c r="AR21" s="329">
        <v>0</v>
      </c>
      <c r="AS21" s="329">
        <f t="shared" si="21"/>
        <v>250000</v>
      </c>
      <c r="AT21" s="329">
        <v>0</v>
      </c>
      <c r="AU21" s="329">
        <v>0</v>
      </c>
      <c r="AV21" s="329">
        <v>0</v>
      </c>
      <c r="AW21" s="329">
        <v>0</v>
      </c>
      <c r="AX21" s="329">
        <v>0</v>
      </c>
      <c r="AY21" s="329">
        <v>0</v>
      </c>
      <c r="AZ21" s="329">
        <v>0</v>
      </c>
      <c r="BA21" s="329">
        <v>0</v>
      </c>
      <c r="BB21" s="329">
        <v>0</v>
      </c>
      <c r="BC21" s="329">
        <v>0</v>
      </c>
      <c r="BD21" s="329">
        <v>0</v>
      </c>
      <c r="BE21" s="329">
        <f t="shared" si="22"/>
        <v>0</v>
      </c>
      <c r="BF21" s="329">
        <v>0</v>
      </c>
      <c r="BG21" s="329">
        <v>0</v>
      </c>
      <c r="BH21" s="329">
        <v>0</v>
      </c>
      <c r="BI21" s="329">
        <v>0</v>
      </c>
      <c r="BJ21" s="329">
        <v>0</v>
      </c>
      <c r="BK21" s="329">
        <v>0</v>
      </c>
      <c r="BL21" s="329">
        <v>0</v>
      </c>
      <c r="BM21" s="329">
        <v>0</v>
      </c>
      <c r="BN21" s="329">
        <v>0</v>
      </c>
      <c r="BO21" s="329">
        <v>0</v>
      </c>
      <c r="BP21" s="329">
        <v>0</v>
      </c>
      <c r="BQ21" s="329">
        <f t="shared" si="23"/>
        <v>0</v>
      </c>
      <c r="BR21" s="329">
        <v>0</v>
      </c>
      <c r="BS21" s="329">
        <v>0</v>
      </c>
      <c r="BT21" s="329">
        <v>0</v>
      </c>
      <c r="BU21" s="329">
        <v>0</v>
      </c>
      <c r="BV21" s="329">
        <v>0</v>
      </c>
      <c r="BW21" s="329">
        <v>0</v>
      </c>
      <c r="BX21" s="329">
        <v>0</v>
      </c>
      <c r="BY21" s="329">
        <v>0</v>
      </c>
      <c r="BZ21" s="329">
        <v>0</v>
      </c>
      <c r="CA21" s="329">
        <v>0</v>
      </c>
      <c r="CB21" s="329">
        <v>0</v>
      </c>
      <c r="CC21" s="329">
        <f t="shared" si="24"/>
        <v>0</v>
      </c>
      <c r="CD21" s="326">
        <v>0</v>
      </c>
      <c r="CE21" s="326">
        <v>0</v>
      </c>
      <c r="CF21" s="326">
        <v>0</v>
      </c>
      <c r="CG21" s="326">
        <v>0</v>
      </c>
      <c r="CH21" s="326">
        <v>0</v>
      </c>
      <c r="CI21" s="326">
        <v>0</v>
      </c>
      <c r="CJ21" s="326">
        <v>0</v>
      </c>
      <c r="CK21" s="326">
        <v>0</v>
      </c>
      <c r="CL21" s="326">
        <v>0</v>
      </c>
      <c r="CM21" s="326">
        <v>0</v>
      </c>
      <c r="CN21" s="326">
        <v>0</v>
      </c>
      <c r="CO21" s="329">
        <f t="shared" si="14"/>
        <v>0</v>
      </c>
      <c r="CP21" s="326">
        <v>0</v>
      </c>
      <c r="CQ21" s="326">
        <v>0</v>
      </c>
      <c r="CR21" s="326">
        <v>0</v>
      </c>
      <c r="CS21" s="326">
        <v>0</v>
      </c>
      <c r="CT21" s="326">
        <v>0</v>
      </c>
      <c r="CU21" s="326">
        <v>0</v>
      </c>
      <c r="CV21" s="326">
        <v>0</v>
      </c>
      <c r="CW21" s="326">
        <v>0</v>
      </c>
      <c r="CX21" s="326">
        <v>0</v>
      </c>
      <c r="CY21" s="326">
        <v>0</v>
      </c>
      <c r="CZ21" s="326">
        <v>0</v>
      </c>
      <c r="DA21" s="329">
        <f t="shared" si="15"/>
        <v>0</v>
      </c>
      <c r="DB21" s="326">
        <v>0</v>
      </c>
      <c r="DC21" s="326">
        <v>0</v>
      </c>
      <c r="DD21" s="326">
        <v>0</v>
      </c>
      <c r="DE21" s="326">
        <v>0</v>
      </c>
      <c r="DF21" s="326">
        <v>0</v>
      </c>
      <c r="DG21" s="326">
        <v>0</v>
      </c>
      <c r="DH21" s="326">
        <v>0</v>
      </c>
      <c r="DI21" s="326">
        <v>0</v>
      </c>
      <c r="DJ21" s="326">
        <v>0</v>
      </c>
      <c r="DK21" s="326">
        <v>0</v>
      </c>
      <c r="DL21" s="326">
        <v>0</v>
      </c>
      <c r="DM21" s="329">
        <f t="shared" si="16"/>
        <v>0</v>
      </c>
      <c r="DN21" s="326">
        <v>0</v>
      </c>
      <c r="DO21" s="326">
        <v>0</v>
      </c>
      <c r="DP21" s="326">
        <v>0</v>
      </c>
      <c r="DQ21" s="326">
        <v>0</v>
      </c>
      <c r="DR21" s="326">
        <v>0</v>
      </c>
      <c r="DS21" s="326">
        <v>0</v>
      </c>
      <c r="DT21" s="326">
        <v>0</v>
      </c>
      <c r="DU21" s="326">
        <v>0</v>
      </c>
      <c r="DV21" s="326">
        <v>0</v>
      </c>
      <c r="DW21" s="326">
        <v>0</v>
      </c>
      <c r="DX21" s="326">
        <v>0</v>
      </c>
      <c r="DY21" s="329">
        <f t="shared" si="17"/>
        <v>0</v>
      </c>
      <c r="DZ21" s="329">
        <v>0</v>
      </c>
      <c r="EA21" s="329">
        <v>0</v>
      </c>
      <c r="EB21" s="329">
        <v>0</v>
      </c>
      <c r="EC21" s="329">
        <v>0</v>
      </c>
      <c r="ED21" s="329">
        <v>0</v>
      </c>
      <c r="EE21" s="329">
        <v>0</v>
      </c>
      <c r="EF21" s="329">
        <v>0</v>
      </c>
      <c r="EG21" s="329">
        <v>0</v>
      </c>
      <c r="EH21" s="329">
        <v>0</v>
      </c>
      <c r="EI21" s="329">
        <v>0</v>
      </c>
      <c r="EJ21" s="329">
        <v>0</v>
      </c>
      <c r="EK21" s="341">
        <f t="shared" si="18"/>
        <v>0</v>
      </c>
    </row>
    <row r="22" spans="1:141" ht="15.75" thickBot="1" x14ac:dyDescent="0.3">
      <c r="A22" s="93"/>
      <c r="C22" s="108" t="s">
        <v>1281</v>
      </c>
      <c r="F22" s="15" t="s">
        <v>1245</v>
      </c>
      <c r="G22" s="109"/>
      <c r="I22" s="108">
        <v>0</v>
      </c>
      <c r="J22" s="329">
        <f t="shared" si="0"/>
        <v>250000</v>
      </c>
      <c r="K22" s="329">
        <v>0</v>
      </c>
      <c r="L22" s="329">
        <v>0</v>
      </c>
      <c r="M22" s="329">
        <v>0</v>
      </c>
      <c r="N22" s="329">
        <v>0</v>
      </c>
      <c r="O22" s="329">
        <v>0</v>
      </c>
      <c r="P22" s="329">
        <v>0</v>
      </c>
      <c r="Q22" s="329">
        <v>0</v>
      </c>
      <c r="R22" s="329">
        <v>0</v>
      </c>
      <c r="S22" s="329">
        <v>0</v>
      </c>
      <c r="T22" s="329">
        <v>0</v>
      </c>
      <c r="U22" s="329">
        <f t="shared" si="19"/>
        <v>0</v>
      </c>
      <c r="V22" s="329">
        <v>0</v>
      </c>
      <c r="W22" s="329">
        <v>0</v>
      </c>
      <c r="X22" s="329">
        <v>0</v>
      </c>
      <c r="Y22" s="329">
        <v>0</v>
      </c>
      <c r="Z22" s="329">
        <v>0</v>
      </c>
      <c r="AA22" s="329">
        <v>0</v>
      </c>
      <c r="AB22" s="329">
        <v>0</v>
      </c>
      <c r="AC22" s="329">
        <v>0</v>
      </c>
      <c r="AD22" s="329">
        <v>0</v>
      </c>
      <c r="AE22" s="329">
        <v>0</v>
      </c>
      <c r="AF22" s="329">
        <v>0</v>
      </c>
      <c r="AG22" s="329">
        <f t="shared" si="20"/>
        <v>0</v>
      </c>
      <c r="AH22" s="329">
        <v>250000</v>
      </c>
      <c r="AI22" s="329">
        <v>0</v>
      </c>
      <c r="AJ22" s="329">
        <v>0</v>
      </c>
      <c r="AK22" s="329">
        <v>0</v>
      </c>
      <c r="AL22" s="329">
        <v>0</v>
      </c>
      <c r="AM22" s="329">
        <v>0</v>
      </c>
      <c r="AN22" s="329">
        <v>0</v>
      </c>
      <c r="AO22" s="329">
        <v>0</v>
      </c>
      <c r="AP22" s="329">
        <v>0</v>
      </c>
      <c r="AQ22" s="329">
        <v>0</v>
      </c>
      <c r="AR22" s="329">
        <v>0</v>
      </c>
      <c r="AS22" s="329">
        <f t="shared" si="21"/>
        <v>250000</v>
      </c>
      <c r="AT22" s="329">
        <v>0</v>
      </c>
      <c r="AU22" s="329">
        <v>0</v>
      </c>
      <c r="AV22" s="329">
        <v>0</v>
      </c>
      <c r="AW22" s="329">
        <v>0</v>
      </c>
      <c r="AX22" s="329">
        <v>0</v>
      </c>
      <c r="AY22" s="329">
        <v>0</v>
      </c>
      <c r="AZ22" s="329">
        <v>0</v>
      </c>
      <c r="BA22" s="329">
        <v>0</v>
      </c>
      <c r="BB22" s="329">
        <v>0</v>
      </c>
      <c r="BC22" s="329">
        <v>0</v>
      </c>
      <c r="BD22" s="329">
        <v>0</v>
      </c>
      <c r="BE22" s="329">
        <f t="shared" si="22"/>
        <v>0</v>
      </c>
      <c r="BF22" s="329">
        <v>0</v>
      </c>
      <c r="BG22" s="329">
        <v>0</v>
      </c>
      <c r="BH22" s="329">
        <v>0</v>
      </c>
      <c r="BI22" s="329">
        <v>0</v>
      </c>
      <c r="BJ22" s="329">
        <v>0</v>
      </c>
      <c r="BK22" s="329">
        <v>0</v>
      </c>
      <c r="BL22" s="329">
        <v>0</v>
      </c>
      <c r="BM22" s="329">
        <v>0</v>
      </c>
      <c r="BN22" s="329">
        <v>0</v>
      </c>
      <c r="BO22" s="329">
        <v>0</v>
      </c>
      <c r="BP22" s="329">
        <v>0</v>
      </c>
      <c r="BQ22" s="329">
        <f t="shared" si="23"/>
        <v>0</v>
      </c>
      <c r="BR22" s="329">
        <v>0</v>
      </c>
      <c r="BS22" s="329">
        <v>0</v>
      </c>
      <c r="BT22" s="329">
        <v>0</v>
      </c>
      <c r="BU22" s="329">
        <v>0</v>
      </c>
      <c r="BV22" s="329">
        <v>0</v>
      </c>
      <c r="BW22" s="329">
        <v>0</v>
      </c>
      <c r="BX22" s="329">
        <v>0</v>
      </c>
      <c r="BY22" s="329">
        <v>0</v>
      </c>
      <c r="BZ22" s="329">
        <v>0</v>
      </c>
      <c r="CA22" s="329">
        <v>0</v>
      </c>
      <c r="CB22" s="329">
        <v>0</v>
      </c>
      <c r="CC22" s="329">
        <f t="shared" si="24"/>
        <v>0</v>
      </c>
      <c r="CD22" s="326">
        <v>0</v>
      </c>
      <c r="CE22" s="326">
        <v>0</v>
      </c>
      <c r="CF22" s="326">
        <v>0</v>
      </c>
      <c r="CG22" s="326">
        <v>0</v>
      </c>
      <c r="CH22" s="326">
        <v>0</v>
      </c>
      <c r="CI22" s="326">
        <v>0</v>
      </c>
      <c r="CJ22" s="326">
        <v>0</v>
      </c>
      <c r="CK22" s="326">
        <v>0</v>
      </c>
      <c r="CL22" s="326">
        <v>0</v>
      </c>
      <c r="CM22" s="326">
        <v>0</v>
      </c>
      <c r="CN22" s="326">
        <v>0</v>
      </c>
      <c r="CO22" s="329">
        <f>SUM(CD22:CN22)</f>
        <v>0</v>
      </c>
      <c r="CP22" s="326">
        <v>0</v>
      </c>
      <c r="CQ22" s="326">
        <v>0</v>
      </c>
      <c r="CR22" s="326">
        <v>0</v>
      </c>
      <c r="CS22" s="326">
        <v>0</v>
      </c>
      <c r="CT22" s="326">
        <v>0</v>
      </c>
      <c r="CU22" s="326">
        <v>0</v>
      </c>
      <c r="CV22" s="326">
        <v>0</v>
      </c>
      <c r="CW22" s="326">
        <v>0</v>
      </c>
      <c r="CX22" s="326">
        <v>0</v>
      </c>
      <c r="CY22" s="326">
        <v>0</v>
      </c>
      <c r="CZ22" s="326">
        <v>0</v>
      </c>
      <c r="DA22" s="329">
        <f>SUM(CP22:CZ22)</f>
        <v>0</v>
      </c>
      <c r="DB22" s="326">
        <v>0</v>
      </c>
      <c r="DC22" s="326">
        <v>0</v>
      </c>
      <c r="DD22" s="326">
        <v>0</v>
      </c>
      <c r="DE22" s="326">
        <v>0</v>
      </c>
      <c r="DF22" s="326">
        <v>0</v>
      </c>
      <c r="DG22" s="326">
        <v>0</v>
      </c>
      <c r="DH22" s="326">
        <v>0</v>
      </c>
      <c r="DI22" s="326">
        <v>0</v>
      </c>
      <c r="DJ22" s="326">
        <v>0</v>
      </c>
      <c r="DK22" s="326">
        <v>0</v>
      </c>
      <c r="DL22" s="326">
        <v>0</v>
      </c>
      <c r="DM22" s="329">
        <f>SUM(DB22:DL22)</f>
        <v>0</v>
      </c>
      <c r="DN22" s="326">
        <v>0</v>
      </c>
      <c r="DO22" s="326">
        <v>0</v>
      </c>
      <c r="DP22" s="326">
        <v>0</v>
      </c>
      <c r="DQ22" s="326">
        <v>0</v>
      </c>
      <c r="DR22" s="326">
        <v>0</v>
      </c>
      <c r="DS22" s="326">
        <v>0</v>
      </c>
      <c r="DT22" s="326">
        <v>0</v>
      </c>
      <c r="DU22" s="326">
        <v>0</v>
      </c>
      <c r="DV22" s="326">
        <v>0</v>
      </c>
      <c r="DW22" s="326">
        <v>0</v>
      </c>
      <c r="DX22" s="326">
        <v>0</v>
      </c>
      <c r="DY22" s="329">
        <f>SUM(DN22:DX22)</f>
        <v>0</v>
      </c>
      <c r="DZ22" s="329">
        <v>0</v>
      </c>
      <c r="EA22" s="329">
        <v>0</v>
      </c>
      <c r="EB22" s="329">
        <v>0</v>
      </c>
      <c r="EC22" s="329">
        <v>0</v>
      </c>
      <c r="ED22" s="329">
        <v>0</v>
      </c>
      <c r="EE22" s="329">
        <v>0</v>
      </c>
      <c r="EF22" s="329">
        <v>0</v>
      </c>
      <c r="EG22" s="329">
        <v>0</v>
      </c>
      <c r="EH22" s="329">
        <v>0</v>
      </c>
      <c r="EI22" s="329">
        <v>0</v>
      </c>
      <c r="EJ22" s="329">
        <v>0</v>
      </c>
      <c r="EK22" s="341">
        <f>SUM(DZ22:EJ22)</f>
        <v>0</v>
      </c>
    </row>
    <row r="23" spans="1:141" s="14" customFormat="1" ht="15.75" thickBot="1" x14ac:dyDescent="0.3">
      <c r="A23" s="502" t="s">
        <v>1247</v>
      </c>
      <c r="B23" s="503"/>
      <c r="C23" s="503"/>
      <c r="D23" s="503"/>
      <c r="E23" s="503"/>
      <c r="F23" s="503"/>
      <c r="G23" s="503"/>
      <c r="H23" s="503"/>
      <c r="I23" s="503"/>
      <c r="J23" s="409">
        <f t="shared" ref="J23:AO23" si="25">SUM(J15:J22)</f>
        <v>3000000</v>
      </c>
      <c r="K23" s="342">
        <f t="shared" si="25"/>
        <v>0</v>
      </c>
      <c r="L23" s="342">
        <f t="shared" si="25"/>
        <v>0</v>
      </c>
      <c r="M23" s="342">
        <f t="shared" si="25"/>
        <v>0</v>
      </c>
      <c r="N23" s="342">
        <f t="shared" si="25"/>
        <v>0</v>
      </c>
      <c r="O23" s="342">
        <f t="shared" si="25"/>
        <v>0</v>
      </c>
      <c r="P23" s="342">
        <f t="shared" si="25"/>
        <v>0</v>
      </c>
      <c r="Q23" s="342">
        <f t="shared" si="25"/>
        <v>0</v>
      </c>
      <c r="R23" s="342">
        <f t="shared" si="25"/>
        <v>0</v>
      </c>
      <c r="S23" s="342">
        <f t="shared" si="25"/>
        <v>0</v>
      </c>
      <c r="T23" s="342">
        <f t="shared" si="25"/>
        <v>0</v>
      </c>
      <c r="U23" s="342">
        <f t="shared" si="25"/>
        <v>0</v>
      </c>
      <c r="V23" s="342">
        <f t="shared" si="25"/>
        <v>0</v>
      </c>
      <c r="W23" s="342">
        <f t="shared" si="25"/>
        <v>0</v>
      </c>
      <c r="X23" s="342">
        <f t="shared" si="25"/>
        <v>0</v>
      </c>
      <c r="Y23" s="342">
        <f t="shared" si="25"/>
        <v>0</v>
      </c>
      <c r="Z23" s="342">
        <f t="shared" si="25"/>
        <v>0</v>
      </c>
      <c r="AA23" s="342">
        <f t="shared" si="25"/>
        <v>0</v>
      </c>
      <c r="AB23" s="342">
        <f t="shared" si="25"/>
        <v>0</v>
      </c>
      <c r="AC23" s="342">
        <f t="shared" si="25"/>
        <v>0</v>
      </c>
      <c r="AD23" s="342">
        <f t="shared" si="25"/>
        <v>0</v>
      </c>
      <c r="AE23" s="342">
        <f t="shared" si="25"/>
        <v>0</v>
      </c>
      <c r="AF23" s="342">
        <f t="shared" si="25"/>
        <v>0</v>
      </c>
      <c r="AG23" s="342">
        <f t="shared" si="25"/>
        <v>0</v>
      </c>
      <c r="AH23" s="342">
        <f t="shared" si="25"/>
        <v>2250000</v>
      </c>
      <c r="AI23" s="342">
        <f t="shared" si="25"/>
        <v>0</v>
      </c>
      <c r="AJ23" s="342">
        <f t="shared" si="25"/>
        <v>0</v>
      </c>
      <c r="AK23" s="342">
        <f t="shared" si="25"/>
        <v>0</v>
      </c>
      <c r="AL23" s="342">
        <f t="shared" si="25"/>
        <v>0</v>
      </c>
      <c r="AM23" s="342">
        <f t="shared" si="25"/>
        <v>0</v>
      </c>
      <c r="AN23" s="342">
        <f t="shared" si="25"/>
        <v>0</v>
      </c>
      <c r="AO23" s="342">
        <f t="shared" si="25"/>
        <v>0</v>
      </c>
      <c r="AP23" s="342">
        <f t="shared" ref="AP23:BU23" si="26">SUM(AP15:AP22)</f>
        <v>0</v>
      </c>
      <c r="AQ23" s="342">
        <f t="shared" si="26"/>
        <v>0</v>
      </c>
      <c r="AR23" s="342">
        <f t="shared" si="26"/>
        <v>0</v>
      </c>
      <c r="AS23" s="342">
        <f t="shared" si="26"/>
        <v>2250000</v>
      </c>
      <c r="AT23" s="342">
        <f t="shared" si="26"/>
        <v>750000</v>
      </c>
      <c r="AU23" s="342">
        <f t="shared" si="26"/>
        <v>0</v>
      </c>
      <c r="AV23" s="342">
        <f t="shared" si="26"/>
        <v>0</v>
      </c>
      <c r="AW23" s="342">
        <f t="shared" si="26"/>
        <v>0</v>
      </c>
      <c r="AX23" s="342">
        <f t="shared" si="26"/>
        <v>0</v>
      </c>
      <c r="AY23" s="342">
        <f t="shared" si="26"/>
        <v>0</v>
      </c>
      <c r="AZ23" s="342">
        <f t="shared" si="26"/>
        <v>0</v>
      </c>
      <c r="BA23" s="342">
        <f t="shared" si="26"/>
        <v>0</v>
      </c>
      <c r="BB23" s="342">
        <f t="shared" si="26"/>
        <v>0</v>
      </c>
      <c r="BC23" s="342">
        <f t="shared" si="26"/>
        <v>0</v>
      </c>
      <c r="BD23" s="342">
        <f t="shared" si="26"/>
        <v>0</v>
      </c>
      <c r="BE23" s="342">
        <f t="shared" si="26"/>
        <v>750000</v>
      </c>
      <c r="BF23" s="342">
        <f t="shared" si="26"/>
        <v>0</v>
      </c>
      <c r="BG23" s="342">
        <f t="shared" si="26"/>
        <v>0</v>
      </c>
      <c r="BH23" s="342">
        <f t="shared" si="26"/>
        <v>0</v>
      </c>
      <c r="BI23" s="342">
        <f t="shared" si="26"/>
        <v>0</v>
      </c>
      <c r="BJ23" s="342">
        <f t="shared" si="26"/>
        <v>0</v>
      </c>
      <c r="BK23" s="342">
        <f t="shared" si="26"/>
        <v>0</v>
      </c>
      <c r="BL23" s="342">
        <f t="shared" si="26"/>
        <v>0</v>
      </c>
      <c r="BM23" s="342">
        <f t="shared" si="26"/>
        <v>0</v>
      </c>
      <c r="BN23" s="342">
        <f t="shared" si="26"/>
        <v>0</v>
      </c>
      <c r="BO23" s="342">
        <f t="shared" si="26"/>
        <v>0</v>
      </c>
      <c r="BP23" s="342">
        <f t="shared" si="26"/>
        <v>0</v>
      </c>
      <c r="BQ23" s="342">
        <f t="shared" si="26"/>
        <v>0</v>
      </c>
      <c r="BR23" s="342">
        <f t="shared" si="26"/>
        <v>0</v>
      </c>
      <c r="BS23" s="342">
        <f t="shared" si="26"/>
        <v>0</v>
      </c>
      <c r="BT23" s="342">
        <f t="shared" si="26"/>
        <v>0</v>
      </c>
      <c r="BU23" s="342">
        <f t="shared" si="26"/>
        <v>0</v>
      </c>
      <c r="BV23" s="342">
        <f t="shared" ref="BV23:DA23" si="27">SUM(BV15:BV22)</f>
        <v>0</v>
      </c>
      <c r="BW23" s="342">
        <f t="shared" si="27"/>
        <v>0</v>
      </c>
      <c r="BX23" s="342">
        <f t="shared" si="27"/>
        <v>0</v>
      </c>
      <c r="BY23" s="342">
        <f t="shared" si="27"/>
        <v>0</v>
      </c>
      <c r="BZ23" s="342">
        <f t="shared" si="27"/>
        <v>0</v>
      </c>
      <c r="CA23" s="342">
        <f t="shared" si="27"/>
        <v>0</v>
      </c>
      <c r="CB23" s="342">
        <f t="shared" si="27"/>
        <v>0</v>
      </c>
      <c r="CC23" s="342">
        <f t="shared" si="27"/>
        <v>0</v>
      </c>
      <c r="CD23" s="342">
        <f t="shared" si="27"/>
        <v>0</v>
      </c>
      <c r="CE23" s="342">
        <f t="shared" si="27"/>
        <v>0</v>
      </c>
      <c r="CF23" s="342">
        <f t="shared" si="27"/>
        <v>0</v>
      </c>
      <c r="CG23" s="342">
        <f t="shared" si="27"/>
        <v>0</v>
      </c>
      <c r="CH23" s="342">
        <f t="shared" si="27"/>
        <v>0</v>
      </c>
      <c r="CI23" s="342">
        <f t="shared" si="27"/>
        <v>0</v>
      </c>
      <c r="CJ23" s="342">
        <f t="shared" si="27"/>
        <v>0</v>
      </c>
      <c r="CK23" s="342">
        <f t="shared" si="27"/>
        <v>0</v>
      </c>
      <c r="CL23" s="342">
        <f t="shared" si="27"/>
        <v>0</v>
      </c>
      <c r="CM23" s="342">
        <f t="shared" si="27"/>
        <v>0</v>
      </c>
      <c r="CN23" s="342">
        <f t="shared" si="27"/>
        <v>0</v>
      </c>
      <c r="CO23" s="342">
        <f t="shared" si="27"/>
        <v>0</v>
      </c>
      <c r="CP23" s="342">
        <f t="shared" si="27"/>
        <v>0</v>
      </c>
      <c r="CQ23" s="342">
        <f t="shared" si="27"/>
        <v>0</v>
      </c>
      <c r="CR23" s="342">
        <f t="shared" si="27"/>
        <v>0</v>
      </c>
      <c r="CS23" s="342">
        <f t="shared" si="27"/>
        <v>0</v>
      </c>
      <c r="CT23" s="342">
        <f t="shared" si="27"/>
        <v>0</v>
      </c>
      <c r="CU23" s="342">
        <f t="shared" si="27"/>
        <v>0</v>
      </c>
      <c r="CV23" s="342">
        <f t="shared" si="27"/>
        <v>0</v>
      </c>
      <c r="CW23" s="342">
        <f t="shared" si="27"/>
        <v>0</v>
      </c>
      <c r="CX23" s="342">
        <f t="shared" si="27"/>
        <v>0</v>
      </c>
      <c r="CY23" s="342">
        <f t="shared" si="27"/>
        <v>0</v>
      </c>
      <c r="CZ23" s="342">
        <f t="shared" si="27"/>
        <v>0</v>
      </c>
      <c r="DA23" s="342">
        <f t="shared" si="27"/>
        <v>0</v>
      </c>
      <c r="DB23" s="342">
        <f t="shared" ref="DB23:EG23" si="28">SUM(DB15:DB22)</f>
        <v>0</v>
      </c>
      <c r="DC23" s="342">
        <f t="shared" si="28"/>
        <v>0</v>
      </c>
      <c r="DD23" s="342">
        <f t="shared" si="28"/>
        <v>0</v>
      </c>
      <c r="DE23" s="342">
        <f t="shared" si="28"/>
        <v>0</v>
      </c>
      <c r="DF23" s="342">
        <f t="shared" si="28"/>
        <v>0</v>
      </c>
      <c r="DG23" s="342">
        <f t="shared" si="28"/>
        <v>0</v>
      </c>
      <c r="DH23" s="342">
        <f t="shared" si="28"/>
        <v>0</v>
      </c>
      <c r="DI23" s="342">
        <f t="shared" si="28"/>
        <v>0</v>
      </c>
      <c r="DJ23" s="342">
        <f t="shared" si="28"/>
        <v>0</v>
      </c>
      <c r="DK23" s="342">
        <f t="shared" si="28"/>
        <v>0</v>
      </c>
      <c r="DL23" s="342">
        <f t="shared" si="28"/>
        <v>0</v>
      </c>
      <c r="DM23" s="342">
        <f t="shared" si="28"/>
        <v>0</v>
      </c>
      <c r="DN23" s="342">
        <f t="shared" si="28"/>
        <v>0</v>
      </c>
      <c r="DO23" s="342">
        <f t="shared" si="28"/>
        <v>0</v>
      </c>
      <c r="DP23" s="342">
        <f t="shared" si="28"/>
        <v>0</v>
      </c>
      <c r="DQ23" s="342">
        <f t="shared" si="28"/>
        <v>0</v>
      </c>
      <c r="DR23" s="342">
        <f t="shared" si="28"/>
        <v>0</v>
      </c>
      <c r="DS23" s="342">
        <f t="shared" si="28"/>
        <v>0</v>
      </c>
      <c r="DT23" s="342">
        <f t="shared" si="28"/>
        <v>0</v>
      </c>
      <c r="DU23" s="342">
        <f t="shared" si="28"/>
        <v>0</v>
      </c>
      <c r="DV23" s="342">
        <f t="shared" si="28"/>
        <v>0</v>
      </c>
      <c r="DW23" s="342">
        <f t="shared" si="28"/>
        <v>0</v>
      </c>
      <c r="DX23" s="342">
        <f t="shared" si="28"/>
        <v>0</v>
      </c>
      <c r="DY23" s="342">
        <f t="shared" si="28"/>
        <v>0</v>
      </c>
      <c r="DZ23" s="342">
        <f t="shared" si="28"/>
        <v>0</v>
      </c>
      <c r="EA23" s="342">
        <f t="shared" si="28"/>
        <v>0</v>
      </c>
      <c r="EB23" s="342">
        <f t="shared" si="28"/>
        <v>0</v>
      </c>
      <c r="EC23" s="342">
        <f t="shared" si="28"/>
        <v>0</v>
      </c>
      <c r="ED23" s="342">
        <f t="shared" si="28"/>
        <v>0</v>
      </c>
      <c r="EE23" s="342">
        <f t="shared" si="28"/>
        <v>0</v>
      </c>
      <c r="EF23" s="342">
        <f t="shared" si="28"/>
        <v>0</v>
      </c>
      <c r="EG23" s="342">
        <f t="shared" si="28"/>
        <v>0</v>
      </c>
      <c r="EH23" s="342">
        <f>SUM(EH15:EH22)</f>
        <v>0</v>
      </c>
      <c r="EI23" s="342">
        <f>SUM(EI15:EI22)</f>
        <v>0</v>
      </c>
      <c r="EJ23" s="342">
        <f>SUM(EJ15:EJ22)</f>
        <v>0</v>
      </c>
      <c r="EK23" s="343">
        <f>SUM(EK15:EK22)</f>
        <v>0</v>
      </c>
    </row>
    <row r="24" spans="1:141" s="14" customFormat="1" ht="15.75" thickBot="1" x14ac:dyDescent="0.3">
      <c r="A24" s="504" t="s">
        <v>1246</v>
      </c>
      <c r="B24" s="505"/>
      <c r="C24" s="505"/>
      <c r="D24" s="505"/>
      <c r="E24" s="505"/>
      <c r="F24" s="505"/>
      <c r="G24" s="505"/>
      <c r="H24" s="505"/>
      <c r="I24" s="505"/>
      <c r="J24" s="337">
        <f t="shared" ref="J24:AO24" si="29">J14+J23</f>
        <v>83853006.375</v>
      </c>
      <c r="K24" s="338">
        <f t="shared" si="29"/>
        <v>20631753.100000001</v>
      </c>
      <c r="L24" s="338">
        <f t="shared" si="29"/>
        <v>8930473.8300000001</v>
      </c>
      <c r="M24" s="338">
        <f t="shared" si="29"/>
        <v>1137541.3900000001</v>
      </c>
      <c r="N24" s="338">
        <f t="shared" si="29"/>
        <v>20235301.639999997</v>
      </c>
      <c r="O24" s="338">
        <f t="shared" si="29"/>
        <v>4979304.83</v>
      </c>
      <c r="P24" s="338">
        <f t="shared" si="29"/>
        <v>973767.74</v>
      </c>
      <c r="Q24" s="338">
        <f t="shared" si="29"/>
        <v>786250</v>
      </c>
      <c r="R24" s="338">
        <f t="shared" si="29"/>
        <v>138750</v>
      </c>
      <c r="S24" s="338">
        <f t="shared" si="29"/>
        <v>35616.46</v>
      </c>
      <c r="T24" s="338">
        <f t="shared" si="29"/>
        <v>2224893.5150000001</v>
      </c>
      <c r="U24" s="338">
        <f t="shared" si="29"/>
        <v>60073652.504999995</v>
      </c>
      <c r="V24" s="338">
        <f t="shared" si="29"/>
        <v>1127908.75</v>
      </c>
      <c r="W24" s="338">
        <f t="shared" si="29"/>
        <v>1096201.3899999999</v>
      </c>
      <c r="X24" s="338">
        <f t="shared" si="29"/>
        <v>0</v>
      </c>
      <c r="Y24" s="338">
        <f t="shared" si="29"/>
        <v>415931.22</v>
      </c>
      <c r="Z24" s="338">
        <f t="shared" si="29"/>
        <v>73399.62</v>
      </c>
      <c r="AA24" s="338">
        <f t="shared" si="29"/>
        <v>0</v>
      </c>
      <c r="AB24" s="338">
        <f t="shared" si="29"/>
        <v>1275000</v>
      </c>
      <c r="AC24" s="338">
        <f t="shared" si="29"/>
        <v>225000</v>
      </c>
      <c r="AD24" s="338">
        <f t="shared" si="29"/>
        <v>0</v>
      </c>
      <c r="AE24" s="338">
        <f t="shared" si="29"/>
        <v>0</v>
      </c>
      <c r="AF24" s="338">
        <f t="shared" si="29"/>
        <v>-534103.11</v>
      </c>
      <c r="AG24" s="338">
        <f t="shared" si="29"/>
        <v>3679337.87</v>
      </c>
      <c r="AH24" s="338">
        <f t="shared" si="29"/>
        <v>7750000</v>
      </c>
      <c r="AI24" s="338">
        <f t="shared" si="29"/>
        <v>213666</v>
      </c>
      <c r="AJ24" s="338">
        <f t="shared" si="29"/>
        <v>102828</v>
      </c>
      <c r="AK24" s="338">
        <f t="shared" si="29"/>
        <v>112030</v>
      </c>
      <c r="AL24" s="338">
        <f t="shared" si="29"/>
        <v>19770</v>
      </c>
      <c r="AM24" s="338">
        <f t="shared" si="29"/>
        <v>0</v>
      </c>
      <c r="AN24" s="338">
        <f t="shared" si="29"/>
        <v>1835150</v>
      </c>
      <c r="AO24" s="338">
        <f t="shared" si="29"/>
        <v>323850</v>
      </c>
      <c r="AP24" s="338">
        <f t="shared" ref="AP24:BU24" si="30">AP14+AP23</f>
        <v>0</v>
      </c>
      <c r="AQ24" s="338">
        <f t="shared" si="30"/>
        <v>0</v>
      </c>
      <c r="AR24" s="338">
        <f t="shared" si="30"/>
        <v>0</v>
      </c>
      <c r="AS24" s="338">
        <f t="shared" si="30"/>
        <v>10357294</v>
      </c>
      <c r="AT24" s="338">
        <f t="shared" si="30"/>
        <v>2750000</v>
      </c>
      <c r="AU24" s="338">
        <f t="shared" si="30"/>
        <v>31914</v>
      </c>
      <c r="AV24" s="338">
        <f t="shared" si="30"/>
        <v>102828</v>
      </c>
      <c r="AW24" s="338">
        <f t="shared" si="30"/>
        <v>206533</v>
      </c>
      <c r="AX24" s="338">
        <f t="shared" si="30"/>
        <v>36447</v>
      </c>
      <c r="AY24" s="338">
        <f t="shared" si="30"/>
        <v>0</v>
      </c>
      <c r="AZ24" s="338">
        <f t="shared" si="30"/>
        <v>769250</v>
      </c>
      <c r="BA24" s="338">
        <f t="shared" si="30"/>
        <v>135750</v>
      </c>
      <c r="BB24" s="338">
        <f t="shared" si="30"/>
        <v>0</v>
      </c>
      <c r="BC24" s="338">
        <f t="shared" si="30"/>
        <v>0</v>
      </c>
      <c r="BD24" s="338">
        <f t="shared" si="30"/>
        <v>0</v>
      </c>
      <c r="BE24" s="338">
        <f t="shared" si="30"/>
        <v>4032722</v>
      </c>
      <c r="BF24" s="338">
        <f t="shared" si="30"/>
        <v>2000000</v>
      </c>
      <c r="BG24" s="338">
        <f t="shared" si="30"/>
        <v>0</v>
      </c>
      <c r="BH24" s="338">
        <f t="shared" si="30"/>
        <v>0</v>
      </c>
      <c r="BI24" s="338">
        <f t="shared" si="30"/>
        <v>0</v>
      </c>
      <c r="BJ24" s="338">
        <f t="shared" si="30"/>
        <v>0</v>
      </c>
      <c r="BK24" s="338">
        <f t="shared" si="30"/>
        <v>0</v>
      </c>
      <c r="BL24" s="338">
        <f t="shared" si="30"/>
        <v>0</v>
      </c>
      <c r="BM24" s="338">
        <f t="shared" si="30"/>
        <v>0</v>
      </c>
      <c r="BN24" s="338">
        <f t="shared" si="30"/>
        <v>0</v>
      </c>
      <c r="BO24" s="338">
        <f t="shared" si="30"/>
        <v>0</v>
      </c>
      <c r="BP24" s="338">
        <f t="shared" si="30"/>
        <v>0</v>
      </c>
      <c r="BQ24" s="338">
        <f t="shared" si="30"/>
        <v>2000000</v>
      </c>
      <c r="BR24" s="338">
        <f t="shared" si="30"/>
        <v>2400000</v>
      </c>
      <c r="BS24" s="338">
        <f t="shared" si="30"/>
        <v>0</v>
      </c>
      <c r="BT24" s="338">
        <f t="shared" si="30"/>
        <v>0</v>
      </c>
      <c r="BU24" s="338">
        <f t="shared" si="30"/>
        <v>0</v>
      </c>
      <c r="BV24" s="338">
        <f t="shared" ref="BV24:DA24" si="31">BV14+BV23</f>
        <v>0</v>
      </c>
      <c r="BW24" s="338">
        <f t="shared" si="31"/>
        <v>0</v>
      </c>
      <c r="BX24" s="338">
        <f t="shared" si="31"/>
        <v>0</v>
      </c>
      <c r="BY24" s="338">
        <f t="shared" si="31"/>
        <v>0</v>
      </c>
      <c r="BZ24" s="338">
        <f t="shared" si="31"/>
        <v>0</v>
      </c>
      <c r="CA24" s="338">
        <f t="shared" si="31"/>
        <v>0</v>
      </c>
      <c r="CB24" s="338">
        <f t="shared" si="31"/>
        <v>1310000</v>
      </c>
      <c r="CC24" s="338">
        <f t="shared" si="31"/>
        <v>3710000</v>
      </c>
      <c r="CD24" s="338">
        <f t="shared" si="31"/>
        <v>0</v>
      </c>
      <c r="CE24" s="338">
        <f t="shared" si="31"/>
        <v>0</v>
      </c>
      <c r="CF24" s="338">
        <f t="shared" si="31"/>
        <v>0</v>
      </c>
      <c r="CG24" s="338">
        <f t="shared" si="31"/>
        <v>0</v>
      </c>
      <c r="CH24" s="338">
        <f t="shared" si="31"/>
        <v>0</v>
      </c>
      <c r="CI24" s="338">
        <f t="shared" si="31"/>
        <v>0</v>
      </c>
      <c r="CJ24" s="338">
        <f t="shared" si="31"/>
        <v>0</v>
      </c>
      <c r="CK24" s="338">
        <f t="shared" si="31"/>
        <v>0</v>
      </c>
      <c r="CL24" s="338">
        <f t="shared" si="31"/>
        <v>0</v>
      </c>
      <c r="CM24" s="338">
        <f t="shared" si="31"/>
        <v>0</v>
      </c>
      <c r="CN24" s="338">
        <f t="shared" si="31"/>
        <v>0</v>
      </c>
      <c r="CO24" s="338">
        <f t="shared" si="31"/>
        <v>0</v>
      </c>
      <c r="CP24" s="338">
        <f t="shared" si="31"/>
        <v>0</v>
      </c>
      <c r="CQ24" s="338">
        <f t="shared" si="31"/>
        <v>0</v>
      </c>
      <c r="CR24" s="338">
        <f t="shared" si="31"/>
        <v>0</v>
      </c>
      <c r="CS24" s="338">
        <f t="shared" si="31"/>
        <v>0</v>
      </c>
      <c r="CT24" s="338">
        <f t="shared" si="31"/>
        <v>0</v>
      </c>
      <c r="CU24" s="338">
        <f t="shared" si="31"/>
        <v>0</v>
      </c>
      <c r="CV24" s="338">
        <f t="shared" si="31"/>
        <v>0</v>
      </c>
      <c r="CW24" s="338">
        <f t="shared" si="31"/>
        <v>0</v>
      </c>
      <c r="CX24" s="338">
        <f t="shared" si="31"/>
        <v>0</v>
      </c>
      <c r="CY24" s="338">
        <f t="shared" si="31"/>
        <v>0</v>
      </c>
      <c r="CZ24" s="338">
        <f t="shared" si="31"/>
        <v>0</v>
      </c>
      <c r="DA24" s="338">
        <f t="shared" si="31"/>
        <v>0</v>
      </c>
      <c r="DB24" s="338">
        <f t="shared" ref="DB24:EG24" si="32">DB14+DB23</f>
        <v>0</v>
      </c>
      <c r="DC24" s="338">
        <f t="shared" si="32"/>
        <v>0</v>
      </c>
      <c r="DD24" s="338">
        <f t="shared" si="32"/>
        <v>0</v>
      </c>
      <c r="DE24" s="338">
        <f t="shared" si="32"/>
        <v>0</v>
      </c>
      <c r="DF24" s="338">
        <f t="shared" si="32"/>
        <v>0</v>
      </c>
      <c r="DG24" s="338">
        <f t="shared" si="32"/>
        <v>0</v>
      </c>
      <c r="DH24" s="338">
        <f t="shared" si="32"/>
        <v>0</v>
      </c>
      <c r="DI24" s="338">
        <f t="shared" si="32"/>
        <v>0</v>
      </c>
      <c r="DJ24" s="338">
        <f t="shared" si="32"/>
        <v>0</v>
      </c>
      <c r="DK24" s="338">
        <f t="shared" si="32"/>
        <v>0</v>
      </c>
      <c r="DL24" s="338">
        <f t="shared" si="32"/>
        <v>0</v>
      </c>
      <c r="DM24" s="338">
        <f t="shared" si="32"/>
        <v>0</v>
      </c>
      <c r="DN24" s="338">
        <f t="shared" si="32"/>
        <v>0</v>
      </c>
      <c r="DO24" s="338">
        <f t="shared" si="32"/>
        <v>0</v>
      </c>
      <c r="DP24" s="338">
        <f t="shared" si="32"/>
        <v>0</v>
      </c>
      <c r="DQ24" s="338">
        <f t="shared" si="32"/>
        <v>0</v>
      </c>
      <c r="DR24" s="338">
        <f t="shared" si="32"/>
        <v>0</v>
      </c>
      <c r="DS24" s="338">
        <f t="shared" si="32"/>
        <v>0</v>
      </c>
      <c r="DT24" s="338">
        <f t="shared" si="32"/>
        <v>0</v>
      </c>
      <c r="DU24" s="338">
        <f t="shared" si="32"/>
        <v>0</v>
      </c>
      <c r="DV24" s="338">
        <f t="shared" si="32"/>
        <v>0</v>
      </c>
      <c r="DW24" s="338">
        <f t="shared" si="32"/>
        <v>0</v>
      </c>
      <c r="DX24" s="338">
        <f t="shared" si="32"/>
        <v>0</v>
      </c>
      <c r="DY24" s="338">
        <f t="shared" si="32"/>
        <v>0</v>
      </c>
      <c r="DZ24" s="338">
        <f t="shared" si="32"/>
        <v>0</v>
      </c>
      <c r="EA24" s="338">
        <f t="shared" si="32"/>
        <v>0</v>
      </c>
      <c r="EB24" s="338">
        <f t="shared" si="32"/>
        <v>0</v>
      </c>
      <c r="EC24" s="338">
        <f t="shared" si="32"/>
        <v>0</v>
      </c>
      <c r="ED24" s="338">
        <f t="shared" si="32"/>
        <v>0</v>
      </c>
      <c r="EE24" s="338">
        <f t="shared" si="32"/>
        <v>0</v>
      </c>
      <c r="EF24" s="338">
        <f t="shared" si="32"/>
        <v>0</v>
      </c>
      <c r="EG24" s="338">
        <f t="shared" si="32"/>
        <v>0</v>
      </c>
      <c r="EH24" s="338">
        <f>EH14+EH23</f>
        <v>0</v>
      </c>
      <c r="EI24" s="338">
        <f>EI14+EI23</f>
        <v>0</v>
      </c>
      <c r="EJ24" s="338">
        <f>EJ14+EJ23</f>
        <v>0</v>
      </c>
      <c r="EK24" s="339">
        <f>EK14+EK23</f>
        <v>0</v>
      </c>
    </row>
  </sheetData>
  <sheetProtection algorithmName="SHA-512" hashValue="rJhOjmiAfWhXyIKm917bt4VNeARblE/obGUPQJLznekvuj8ZSvRChFmt6OjJ640dPp4fvIbPhQTq5oa5Bj7rTg==" saltValue="CwjNr2nYlIJeQOtCQyz1pA==" spinCount="100000" sheet="1" objects="1" scenarios="1"/>
  <autoFilter ref="A2:EK24"/>
  <mergeCells count="14">
    <mergeCell ref="A23:I23"/>
    <mergeCell ref="A24:I24"/>
    <mergeCell ref="CD1:CN1"/>
    <mergeCell ref="CP1:CZ1"/>
    <mergeCell ref="DB1:DL1"/>
    <mergeCell ref="DN1:DX1"/>
    <mergeCell ref="DZ1:EJ1"/>
    <mergeCell ref="BF1:BP1"/>
    <mergeCell ref="BR1:CB1"/>
    <mergeCell ref="A14:I14"/>
    <mergeCell ref="K1:T1"/>
    <mergeCell ref="V1:AF1"/>
    <mergeCell ref="AH1:AR1"/>
    <mergeCell ref="AT1:BD1"/>
  </mergeCells>
  <pageMargins left="0.25" right="0.25" top="0.75" bottom="0.75" header="0.3" footer="0.3"/>
  <pageSetup paperSize="8" scale="40" fitToWidth="3" orientation="landscape" r:id="rId1"/>
  <headerFooter>
    <oddFooter>&amp;LPríloha č. 1_Proj.prípr. (prebieh.), štúdie&amp;R&amp;P l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11"/>
  <sheetViews>
    <sheetView zoomScale="90" zoomScaleNormal="90" workbookViewId="0">
      <pane ySplit="2" topLeftCell="A3" activePane="bottomLeft" state="frozen"/>
      <selection pane="bottomLeft" activeCell="DV3" sqref="DV3"/>
    </sheetView>
  </sheetViews>
  <sheetFormatPr defaultColWidth="9.140625" defaultRowHeight="15" x14ac:dyDescent="0.25"/>
  <cols>
    <col min="1" max="1" width="9.140625" style="14"/>
    <col min="2" max="5" width="9.140625" style="108"/>
    <col min="6" max="6" width="19.42578125" style="108" customWidth="1"/>
    <col min="7" max="8" width="9.140625" style="108"/>
    <col min="9" max="9" width="10.28515625" style="108" customWidth="1"/>
    <col min="10" max="10" width="18.28515625" style="14" bestFit="1" customWidth="1"/>
    <col min="11" max="11" width="6.85546875" style="14" bestFit="1" customWidth="1"/>
    <col min="12" max="12" width="11.42578125" style="14" bestFit="1" customWidth="1"/>
    <col min="13" max="13" width="9.5703125" style="14" bestFit="1" customWidth="1"/>
    <col min="14" max="14" width="10.5703125" style="14" bestFit="1" customWidth="1"/>
    <col min="15" max="15" width="10.140625" style="14" bestFit="1" customWidth="1"/>
    <col min="16" max="16" width="11.140625" style="14" bestFit="1" customWidth="1"/>
    <col min="17" max="17" width="7.7109375" style="14" bestFit="1" customWidth="1"/>
    <col min="18" max="18" width="10.7109375" style="14" bestFit="1" customWidth="1"/>
    <col min="19" max="19" width="11.140625" style="14" bestFit="1" customWidth="1"/>
    <col min="20" max="20" width="9.5703125" style="14" bestFit="1" customWidth="1"/>
    <col min="21" max="21" width="12.42578125" style="14" bestFit="1" customWidth="1"/>
    <col min="22" max="22" width="6.85546875" style="14" bestFit="1" customWidth="1"/>
    <col min="23" max="23" width="11.42578125" style="14" bestFit="1" customWidth="1"/>
    <col min="24" max="25" width="9.5703125" style="14" bestFit="1" customWidth="1"/>
    <col min="26" max="26" width="10.140625" style="14" bestFit="1" customWidth="1"/>
    <col min="27" max="27" width="11.140625" style="14" bestFit="1" customWidth="1"/>
    <col min="28" max="28" width="7.7109375" style="14" bestFit="1" customWidth="1"/>
    <col min="29" max="29" width="10.7109375" style="14" bestFit="1" customWidth="1"/>
    <col min="30" max="30" width="11.140625" style="14" bestFit="1" customWidth="1"/>
    <col min="31" max="31" width="8.140625" style="14" bestFit="1" customWidth="1"/>
    <col min="32" max="32" width="7.28515625" style="14" bestFit="1" customWidth="1"/>
    <col min="33" max="33" width="10.28515625" style="14" bestFit="1" customWidth="1"/>
    <col min="34" max="34" width="6.85546875" style="14" bestFit="1" customWidth="1"/>
    <col min="35" max="35" width="11.42578125" style="14" bestFit="1" customWidth="1"/>
    <col min="36" max="36" width="9.5703125" style="14" bestFit="1" customWidth="1"/>
    <col min="37" max="37" width="12" style="14" bestFit="1" customWidth="1"/>
    <col min="38" max="38" width="10.5703125" style="14" bestFit="1" customWidth="1"/>
    <col min="39" max="39" width="11.140625" style="14" bestFit="1" customWidth="1"/>
    <col min="40" max="40" width="7.7109375" style="14" bestFit="1" customWidth="1"/>
    <col min="41" max="41" width="10.7109375" style="14" bestFit="1" customWidth="1"/>
    <col min="42" max="42" width="11.140625" style="14" bestFit="1" customWidth="1"/>
    <col min="43" max="43" width="8.140625" style="14" bestFit="1" customWidth="1"/>
    <col min="44" max="44" width="7.28515625" style="14" bestFit="1" customWidth="1"/>
    <col min="45" max="45" width="12" style="14" bestFit="1" customWidth="1"/>
    <col min="46" max="46" width="6.85546875" style="14" bestFit="1" customWidth="1"/>
    <col min="47" max="47" width="12" style="14" bestFit="1" customWidth="1"/>
    <col min="48" max="48" width="9.5703125" style="14" bestFit="1" customWidth="1"/>
    <col min="49" max="50" width="12" style="14" bestFit="1" customWidth="1"/>
    <col min="51" max="51" width="11.140625" style="14" bestFit="1" customWidth="1"/>
    <col min="52" max="52" width="7.7109375" style="14" bestFit="1" customWidth="1"/>
    <col min="53" max="53" width="10.7109375" style="14" bestFit="1" customWidth="1"/>
    <col min="54" max="54" width="11.140625" style="14" bestFit="1" customWidth="1"/>
    <col min="55" max="55" width="8.140625" style="14" bestFit="1" customWidth="1"/>
    <col min="56" max="56" width="7.28515625" style="14" bestFit="1" customWidth="1"/>
    <col min="57" max="57" width="13" style="14" bestFit="1" customWidth="1"/>
    <col min="58" max="58" width="6.85546875" style="14" bestFit="1" customWidth="1"/>
    <col min="59" max="59" width="12" style="14" bestFit="1" customWidth="1"/>
    <col min="60" max="60" width="9.5703125" style="14" bestFit="1" customWidth="1"/>
    <col min="61" max="61" width="12" style="14" bestFit="1" customWidth="1"/>
    <col min="62" max="62" width="10.5703125" style="14" bestFit="1" customWidth="1"/>
    <col min="63" max="63" width="11.140625" style="14" bestFit="1" customWidth="1"/>
    <col min="64" max="64" width="7.7109375" style="14" bestFit="1" customWidth="1"/>
    <col min="65" max="65" width="10.7109375" style="14" bestFit="1" customWidth="1"/>
    <col min="66" max="66" width="11.140625" style="14" bestFit="1" customWidth="1"/>
    <col min="67" max="67" width="8.140625" style="14" bestFit="1" customWidth="1"/>
    <col min="68" max="68" width="7.28515625" style="14" bestFit="1" customWidth="1"/>
    <col min="69" max="69" width="12" style="14" bestFit="1" customWidth="1"/>
    <col min="70" max="70" width="6.85546875" style="14" bestFit="1" customWidth="1"/>
    <col min="71" max="71" width="11.42578125" style="14" bestFit="1" customWidth="1"/>
    <col min="72" max="72" width="9.5703125" style="14" bestFit="1" customWidth="1"/>
    <col min="73" max="73" width="7.140625" style="14" bestFit="1" customWidth="1"/>
    <col min="74" max="74" width="10.140625" style="14" bestFit="1" customWidth="1"/>
    <col min="75" max="75" width="11.140625" style="14" bestFit="1" customWidth="1"/>
    <col min="76" max="76" width="7.7109375" style="14" bestFit="1" customWidth="1"/>
    <col min="77" max="77" width="10.7109375" style="14" bestFit="1" customWidth="1"/>
    <col min="78" max="78" width="11.140625" style="14" bestFit="1" customWidth="1"/>
    <col min="79" max="79" width="8.140625" style="14" bestFit="1" customWidth="1"/>
    <col min="80" max="80" width="7.28515625" style="14" bestFit="1" customWidth="1"/>
    <col min="81" max="81" width="10.28515625" style="14" bestFit="1" customWidth="1"/>
    <col min="82" max="82" width="6.85546875" style="14" bestFit="1" customWidth="1"/>
    <col min="83" max="83" width="11.42578125" style="14" bestFit="1" customWidth="1"/>
    <col min="84" max="84" width="9.5703125" style="14" bestFit="1" customWidth="1"/>
    <col min="85" max="85" width="7.140625" style="14" bestFit="1" customWidth="1"/>
    <col min="86" max="86" width="10.140625" style="14" bestFit="1" customWidth="1"/>
    <col min="87" max="87" width="11.140625" style="14" bestFit="1" customWidth="1"/>
    <col min="88" max="88" width="7.7109375" style="14" bestFit="1" customWidth="1"/>
    <col min="89" max="89" width="10.7109375" style="14" bestFit="1" customWidth="1"/>
    <col min="90" max="90" width="11.140625" style="14" bestFit="1" customWidth="1"/>
    <col min="91" max="91" width="8.140625" style="14" bestFit="1" customWidth="1"/>
    <col min="92" max="92" width="7.28515625" style="14" bestFit="1" customWidth="1"/>
    <col min="93" max="93" width="10.28515625" style="14" bestFit="1" customWidth="1"/>
    <col min="94" max="94" width="6.85546875" style="14" bestFit="1" customWidth="1"/>
    <col min="95" max="95" width="11.42578125" style="14" bestFit="1" customWidth="1"/>
    <col min="96" max="96" width="9.5703125" style="14" bestFit="1" customWidth="1"/>
    <col min="97" max="97" width="7.140625" style="14" bestFit="1" customWidth="1"/>
    <col min="98" max="98" width="10.140625" style="14" bestFit="1" customWidth="1"/>
    <col min="99" max="99" width="11.140625" style="14" bestFit="1" customWidth="1"/>
    <col min="100" max="100" width="7.7109375" style="14" bestFit="1" customWidth="1"/>
    <col min="101" max="101" width="10.7109375" style="14" bestFit="1" customWidth="1"/>
    <col min="102" max="102" width="11.140625" style="14" bestFit="1" customWidth="1"/>
    <col min="103" max="103" width="8.140625" style="14" bestFit="1" customWidth="1"/>
    <col min="104" max="104" width="7.28515625" style="14" bestFit="1" customWidth="1"/>
    <col min="105" max="105" width="10.28515625" style="14" bestFit="1" customWidth="1"/>
    <col min="106" max="106" width="6.85546875" style="14" bestFit="1" customWidth="1"/>
    <col min="107" max="107" width="11.42578125" style="14" bestFit="1" customWidth="1"/>
    <col min="108" max="108" width="9.5703125" style="14" bestFit="1" customWidth="1"/>
    <col min="109" max="109" width="7.140625" style="14" bestFit="1" customWidth="1"/>
    <col min="110" max="110" width="10.140625" style="14" bestFit="1" customWidth="1"/>
    <col min="111" max="111" width="11.140625" style="14" bestFit="1" customWidth="1"/>
    <col min="112" max="112" width="7.7109375" style="14" bestFit="1" customWidth="1"/>
    <col min="113" max="113" width="10.7109375" style="14" bestFit="1" customWidth="1"/>
    <col min="114" max="114" width="11.140625" style="14" bestFit="1" customWidth="1"/>
    <col min="115" max="115" width="8.140625" style="14" bestFit="1" customWidth="1"/>
    <col min="116" max="116" width="7.28515625" style="14" bestFit="1" customWidth="1"/>
    <col min="117" max="117" width="10.28515625" style="14" bestFit="1" customWidth="1"/>
    <col min="118" max="118" width="6.85546875" style="14" bestFit="1" customWidth="1"/>
    <col min="119" max="119" width="11.42578125" style="14" bestFit="1" customWidth="1"/>
    <col min="120" max="120" width="9.5703125" style="14" bestFit="1" customWidth="1"/>
    <col min="121" max="121" width="7.140625" style="14" bestFit="1" customWidth="1"/>
    <col min="122" max="122" width="10.140625" style="14" bestFit="1" customWidth="1"/>
    <col min="123" max="123" width="11.140625" style="14" bestFit="1" customWidth="1"/>
    <col min="124" max="124" width="7.7109375" style="14" bestFit="1" customWidth="1"/>
    <col min="125" max="125" width="10.7109375" style="14" bestFit="1" customWidth="1"/>
    <col min="126" max="126" width="11.140625" style="14" bestFit="1" customWidth="1"/>
    <col min="127" max="127" width="8.140625" style="14" bestFit="1" customWidth="1"/>
    <col min="128" max="128" width="7.28515625" style="14" bestFit="1" customWidth="1"/>
    <col min="129" max="129" width="10.28515625" style="14" bestFit="1" customWidth="1"/>
    <col min="130" max="130" width="6.85546875" style="14" bestFit="1" customWidth="1"/>
    <col min="131" max="131" width="11.42578125" style="14" bestFit="1" customWidth="1"/>
    <col min="132" max="132" width="9.5703125" style="14" bestFit="1" customWidth="1"/>
    <col min="133" max="133" width="7.140625" style="14" bestFit="1" customWidth="1"/>
    <col min="134" max="134" width="10.140625" style="14" bestFit="1" customWidth="1"/>
    <col min="135" max="135" width="11.140625" style="14" bestFit="1" customWidth="1"/>
    <col min="136" max="136" width="7.7109375" style="14" bestFit="1" customWidth="1"/>
    <col min="137" max="137" width="10.7109375" style="14" bestFit="1" customWidth="1"/>
    <col min="138" max="138" width="11.140625" style="14" bestFit="1" customWidth="1"/>
    <col min="139" max="139" width="8.140625" style="14" bestFit="1" customWidth="1"/>
    <col min="140" max="140" width="7.28515625" style="14" bestFit="1" customWidth="1"/>
    <col min="141" max="141" width="10.28515625" style="14" customWidth="1"/>
    <col min="142" max="16384" width="9.140625" style="14"/>
  </cols>
  <sheetData>
    <row r="1" spans="1:141" x14ac:dyDescent="0.25">
      <c r="A1" s="96"/>
      <c r="B1" s="112"/>
      <c r="C1" s="112"/>
      <c r="D1" s="112"/>
      <c r="E1" s="112"/>
      <c r="F1" s="113"/>
      <c r="G1" s="107"/>
      <c r="H1" s="114"/>
      <c r="I1" s="115"/>
      <c r="J1" s="86"/>
      <c r="K1" s="499" t="s">
        <v>1053</v>
      </c>
      <c r="L1" s="500"/>
      <c r="M1" s="500"/>
      <c r="N1" s="500"/>
      <c r="O1" s="500"/>
      <c r="P1" s="500"/>
      <c r="Q1" s="500"/>
      <c r="R1" s="500"/>
      <c r="S1" s="500"/>
      <c r="T1" s="501"/>
      <c r="U1" s="97" t="s">
        <v>1054</v>
      </c>
      <c r="V1" s="492" t="s">
        <v>1119</v>
      </c>
      <c r="W1" s="493"/>
      <c r="X1" s="493"/>
      <c r="Y1" s="493"/>
      <c r="Z1" s="493"/>
      <c r="AA1" s="493"/>
      <c r="AB1" s="493"/>
      <c r="AC1" s="493"/>
      <c r="AD1" s="493"/>
      <c r="AE1" s="493"/>
      <c r="AF1" s="494"/>
      <c r="AG1" s="98">
        <v>2021</v>
      </c>
      <c r="AH1" s="495" t="s">
        <v>1118</v>
      </c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99">
        <v>2022</v>
      </c>
      <c r="AT1" s="495" t="s">
        <v>1117</v>
      </c>
      <c r="AU1" s="495"/>
      <c r="AV1" s="495"/>
      <c r="AW1" s="495"/>
      <c r="AX1" s="495"/>
      <c r="AY1" s="495"/>
      <c r="AZ1" s="495"/>
      <c r="BA1" s="495"/>
      <c r="BB1" s="495"/>
      <c r="BC1" s="495"/>
      <c r="BD1" s="496"/>
      <c r="BE1" s="99">
        <v>2023</v>
      </c>
      <c r="BF1" s="495" t="s">
        <v>1116</v>
      </c>
      <c r="BG1" s="495"/>
      <c r="BH1" s="495"/>
      <c r="BI1" s="495"/>
      <c r="BJ1" s="495"/>
      <c r="BK1" s="495"/>
      <c r="BL1" s="495"/>
      <c r="BM1" s="495"/>
      <c r="BN1" s="495"/>
      <c r="BO1" s="495"/>
      <c r="BP1" s="496"/>
      <c r="BQ1" s="99">
        <v>2024</v>
      </c>
      <c r="BR1" s="495" t="s">
        <v>1120</v>
      </c>
      <c r="BS1" s="495"/>
      <c r="BT1" s="495"/>
      <c r="BU1" s="495"/>
      <c r="BV1" s="495"/>
      <c r="BW1" s="495"/>
      <c r="BX1" s="495"/>
      <c r="BY1" s="495"/>
      <c r="BZ1" s="495"/>
      <c r="CA1" s="495"/>
      <c r="CB1" s="496"/>
      <c r="CC1" s="100">
        <v>2025</v>
      </c>
      <c r="CD1" s="495" t="s">
        <v>1121</v>
      </c>
      <c r="CE1" s="495"/>
      <c r="CF1" s="495"/>
      <c r="CG1" s="495"/>
      <c r="CH1" s="495"/>
      <c r="CI1" s="495"/>
      <c r="CJ1" s="495"/>
      <c r="CK1" s="495"/>
      <c r="CL1" s="495"/>
      <c r="CM1" s="495"/>
      <c r="CN1" s="496"/>
      <c r="CO1" s="100">
        <v>2026</v>
      </c>
      <c r="CP1" s="495" t="s">
        <v>1122</v>
      </c>
      <c r="CQ1" s="495"/>
      <c r="CR1" s="495"/>
      <c r="CS1" s="495"/>
      <c r="CT1" s="495"/>
      <c r="CU1" s="495"/>
      <c r="CV1" s="495"/>
      <c r="CW1" s="495"/>
      <c r="CX1" s="495"/>
      <c r="CY1" s="495"/>
      <c r="CZ1" s="496"/>
      <c r="DA1" s="100">
        <v>2027</v>
      </c>
      <c r="DB1" s="495" t="s">
        <v>1123</v>
      </c>
      <c r="DC1" s="495"/>
      <c r="DD1" s="495"/>
      <c r="DE1" s="495"/>
      <c r="DF1" s="495"/>
      <c r="DG1" s="495"/>
      <c r="DH1" s="495"/>
      <c r="DI1" s="495"/>
      <c r="DJ1" s="495"/>
      <c r="DK1" s="495"/>
      <c r="DL1" s="496"/>
      <c r="DM1" s="100">
        <v>2028</v>
      </c>
      <c r="DN1" s="495" t="s">
        <v>1125</v>
      </c>
      <c r="DO1" s="495"/>
      <c r="DP1" s="495"/>
      <c r="DQ1" s="495"/>
      <c r="DR1" s="495"/>
      <c r="DS1" s="495"/>
      <c r="DT1" s="495"/>
      <c r="DU1" s="495"/>
      <c r="DV1" s="495"/>
      <c r="DW1" s="495"/>
      <c r="DX1" s="496"/>
      <c r="DY1" s="100">
        <v>2029</v>
      </c>
      <c r="DZ1" s="495" t="s">
        <v>1124</v>
      </c>
      <c r="EA1" s="495"/>
      <c r="EB1" s="495"/>
      <c r="EC1" s="495"/>
      <c r="ED1" s="495"/>
      <c r="EE1" s="495"/>
      <c r="EF1" s="495"/>
      <c r="EG1" s="495"/>
      <c r="EH1" s="495"/>
      <c r="EI1" s="495"/>
      <c r="EJ1" s="496"/>
      <c r="EK1" s="100">
        <v>2030</v>
      </c>
    </row>
    <row r="2" spans="1:141" ht="30.75" thickBot="1" x14ac:dyDescent="0.3">
      <c r="A2" s="413"/>
      <c r="B2" s="116" t="s">
        <v>383</v>
      </c>
      <c r="C2" s="116" t="s">
        <v>335</v>
      </c>
      <c r="D2" s="116" t="s">
        <v>288</v>
      </c>
      <c r="E2" s="116" t="s">
        <v>1318</v>
      </c>
      <c r="F2" s="116" t="s">
        <v>337</v>
      </c>
      <c r="G2" s="157" t="s">
        <v>931</v>
      </c>
      <c r="H2" s="294" t="s">
        <v>310</v>
      </c>
      <c r="I2" s="295" t="s">
        <v>941</v>
      </c>
      <c r="J2" s="375" t="s">
        <v>939</v>
      </c>
      <c r="K2" s="376" t="s">
        <v>940</v>
      </c>
      <c r="L2" s="376" t="s">
        <v>1055</v>
      </c>
      <c r="M2" s="376" t="s">
        <v>1056</v>
      </c>
      <c r="N2" s="376" t="s">
        <v>1057</v>
      </c>
      <c r="O2" s="376" t="s">
        <v>1058</v>
      </c>
      <c r="P2" s="376" t="s">
        <v>1059</v>
      </c>
      <c r="Q2" s="376" t="s">
        <v>929</v>
      </c>
      <c r="R2" s="376" t="s">
        <v>1060</v>
      </c>
      <c r="S2" s="376" t="s">
        <v>1059</v>
      </c>
      <c r="T2" s="376" t="s">
        <v>1061</v>
      </c>
      <c r="U2" s="377" t="s">
        <v>1062</v>
      </c>
      <c r="V2" s="376" t="s">
        <v>940</v>
      </c>
      <c r="W2" s="376" t="s">
        <v>1055</v>
      </c>
      <c r="X2" s="376" t="s">
        <v>1056</v>
      </c>
      <c r="Y2" s="376" t="s">
        <v>1057</v>
      </c>
      <c r="Z2" s="376" t="s">
        <v>1058</v>
      </c>
      <c r="AA2" s="376" t="s">
        <v>1059</v>
      </c>
      <c r="AB2" s="376" t="s">
        <v>929</v>
      </c>
      <c r="AC2" s="376" t="s">
        <v>1060</v>
      </c>
      <c r="AD2" s="376" t="s">
        <v>1059</v>
      </c>
      <c r="AE2" s="376" t="s">
        <v>1063</v>
      </c>
      <c r="AF2" s="376" t="s">
        <v>1061</v>
      </c>
      <c r="AG2" s="377" t="s">
        <v>1062</v>
      </c>
      <c r="AH2" s="376" t="s">
        <v>940</v>
      </c>
      <c r="AI2" s="376" t="s">
        <v>1055</v>
      </c>
      <c r="AJ2" s="376" t="s">
        <v>1056</v>
      </c>
      <c r="AK2" s="376" t="s">
        <v>1057</v>
      </c>
      <c r="AL2" s="376" t="s">
        <v>1058</v>
      </c>
      <c r="AM2" s="376" t="s">
        <v>1059</v>
      </c>
      <c r="AN2" s="376" t="s">
        <v>929</v>
      </c>
      <c r="AO2" s="376" t="s">
        <v>1060</v>
      </c>
      <c r="AP2" s="376" t="s">
        <v>1059</v>
      </c>
      <c r="AQ2" s="376" t="s">
        <v>1063</v>
      </c>
      <c r="AR2" s="376" t="s">
        <v>1061</v>
      </c>
      <c r="AS2" s="377" t="s">
        <v>1062</v>
      </c>
      <c r="AT2" s="376" t="s">
        <v>940</v>
      </c>
      <c r="AU2" s="376" t="s">
        <v>1055</v>
      </c>
      <c r="AV2" s="376" t="s">
        <v>1056</v>
      </c>
      <c r="AW2" s="376" t="s">
        <v>1057</v>
      </c>
      <c r="AX2" s="376" t="s">
        <v>1058</v>
      </c>
      <c r="AY2" s="376" t="s">
        <v>1059</v>
      </c>
      <c r="AZ2" s="376" t="s">
        <v>929</v>
      </c>
      <c r="BA2" s="376" t="s">
        <v>1060</v>
      </c>
      <c r="BB2" s="376" t="s">
        <v>1059</v>
      </c>
      <c r="BC2" s="376" t="s">
        <v>1063</v>
      </c>
      <c r="BD2" s="376" t="s">
        <v>1061</v>
      </c>
      <c r="BE2" s="377" t="s">
        <v>1062</v>
      </c>
      <c r="BF2" s="376" t="s">
        <v>940</v>
      </c>
      <c r="BG2" s="376" t="s">
        <v>1055</v>
      </c>
      <c r="BH2" s="376" t="s">
        <v>1056</v>
      </c>
      <c r="BI2" s="376" t="s">
        <v>1057</v>
      </c>
      <c r="BJ2" s="376" t="s">
        <v>1058</v>
      </c>
      <c r="BK2" s="376" t="s">
        <v>1059</v>
      </c>
      <c r="BL2" s="376" t="s">
        <v>929</v>
      </c>
      <c r="BM2" s="376" t="s">
        <v>1060</v>
      </c>
      <c r="BN2" s="376" t="s">
        <v>1059</v>
      </c>
      <c r="BO2" s="376" t="s">
        <v>1063</v>
      </c>
      <c r="BP2" s="376" t="s">
        <v>1061</v>
      </c>
      <c r="BQ2" s="377" t="s">
        <v>1062</v>
      </c>
      <c r="BR2" s="376" t="s">
        <v>940</v>
      </c>
      <c r="BS2" s="376" t="s">
        <v>1055</v>
      </c>
      <c r="BT2" s="376" t="s">
        <v>1056</v>
      </c>
      <c r="BU2" s="376" t="s">
        <v>1057</v>
      </c>
      <c r="BV2" s="376" t="s">
        <v>1058</v>
      </c>
      <c r="BW2" s="376" t="s">
        <v>1059</v>
      </c>
      <c r="BX2" s="376" t="s">
        <v>929</v>
      </c>
      <c r="BY2" s="376" t="s">
        <v>1060</v>
      </c>
      <c r="BZ2" s="376" t="s">
        <v>1059</v>
      </c>
      <c r="CA2" s="376" t="s">
        <v>1063</v>
      </c>
      <c r="CB2" s="376" t="s">
        <v>1061</v>
      </c>
      <c r="CC2" s="378" t="s">
        <v>1062</v>
      </c>
      <c r="CD2" s="376" t="s">
        <v>940</v>
      </c>
      <c r="CE2" s="376" t="s">
        <v>1055</v>
      </c>
      <c r="CF2" s="376" t="s">
        <v>1056</v>
      </c>
      <c r="CG2" s="376" t="s">
        <v>1057</v>
      </c>
      <c r="CH2" s="376" t="s">
        <v>1058</v>
      </c>
      <c r="CI2" s="376" t="s">
        <v>1059</v>
      </c>
      <c r="CJ2" s="376" t="s">
        <v>929</v>
      </c>
      <c r="CK2" s="376" t="s">
        <v>1060</v>
      </c>
      <c r="CL2" s="376" t="s">
        <v>1059</v>
      </c>
      <c r="CM2" s="376" t="s">
        <v>1063</v>
      </c>
      <c r="CN2" s="376" t="s">
        <v>1061</v>
      </c>
      <c r="CO2" s="378" t="s">
        <v>1062</v>
      </c>
      <c r="CP2" s="376" t="s">
        <v>940</v>
      </c>
      <c r="CQ2" s="376" t="s">
        <v>1055</v>
      </c>
      <c r="CR2" s="376" t="s">
        <v>1056</v>
      </c>
      <c r="CS2" s="376" t="s">
        <v>1057</v>
      </c>
      <c r="CT2" s="376" t="s">
        <v>1058</v>
      </c>
      <c r="CU2" s="376" t="s">
        <v>1059</v>
      </c>
      <c r="CV2" s="376" t="s">
        <v>929</v>
      </c>
      <c r="CW2" s="376" t="s">
        <v>1060</v>
      </c>
      <c r="CX2" s="376" t="s">
        <v>1059</v>
      </c>
      <c r="CY2" s="376" t="s">
        <v>1063</v>
      </c>
      <c r="CZ2" s="376" t="s">
        <v>1061</v>
      </c>
      <c r="DA2" s="378" t="s">
        <v>1062</v>
      </c>
      <c r="DB2" s="376" t="s">
        <v>940</v>
      </c>
      <c r="DC2" s="376" t="s">
        <v>1055</v>
      </c>
      <c r="DD2" s="376" t="s">
        <v>1056</v>
      </c>
      <c r="DE2" s="376" t="s">
        <v>1057</v>
      </c>
      <c r="DF2" s="376" t="s">
        <v>1058</v>
      </c>
      <c r="DG2" s="376" t="s">
        <v>1059</v>
      </c>
      <c r="DH2" s="376" t="s">
        <v>929</v>
      </c>
      <c r="DI2" s="376" t="s">
        <v>1060</v>
      </c>
      <c r="DJ2" s="376" t="s">
        <v>1059</v>
      </c>
      <c r="DK2" s="376" t="s">
        <v>1063</v>
      </c>
      <c r="DL2" s="376" t="s">
        <v>1061</v>
      </c>
      <c r="DM2" s="378" t="s">
        <v>1062</v>
      </c>
      <c r="DN2" s="376" t="s">
        <v>940</v>
      </c>
      <c r="DO2" s="376" t="s">
        <v>1055</v>
      </c>
      <c r="DP2" s="376" t="s">
        <v>1056</v>
      </c>
      <c r="DQ2" s="376" t="s">
        <v>1057</v>
      </c>
      <c r="DR2" s="376" t="s">
        <v>1058</v>
      </c>
      <c r="DS2" s="376" t="s">
        <v>1059</v>
      </c>
      <c r="DT2" s="376" t="s">
        <v>929</v>
      </c>
      <c r="DU2" s="376" t="s">
        <v>1060</v>
      </c>
      <c r="DV2" s="376" t="s">
        <v>1059</v>
      </c>
      <c r="DW2" s="376" t="s">
        <v>1063</v>
      </c>
      <c r="DX2" s="376" t="s">
        <v>1061</v>
      </c>
      <c r="DY2" s="378" t="s">
        <v>1062</v>
      </c>
      <c r="DZ2" s="376" t="s">
        <v>940</v>
      </c>
      <c r="EA2" s="376" t="s">
        <v>1055</v>
      </c>
      <c r="EB2" s="376" t="s">
        <v>1056</v>
      </c>
      <c r="EC2" s="376" t="s">
        <v>1057</v>
      </c>
      <c r="ED2" s="376" t="s">
        <v>1058</v>
      </c>
      <c r="EE2" s="376" t="s">
        <v>1059</v>
      </c>
      <c r="EF2" s="376" t="s">
        <v>929</v>
      </c>
      <c r="EG2" s="376" t="s">
        <v>1060</v>
      </c>
      <c r="EH2" s="376" t="s">
        <v>1059</v>
      </c>
      <c r="EI2" s="376" t="s">
        <v>1063</v>
      </c>
      <c r="EJ2" s="376" t="s">
        <v>1061</v>
      </c>
      <c r="EK2" s="378" t="s">
        <v>1062</v>
      </c>
    </row>
    <row r="3" spans="1:141" ht="105" x14ac:dyDescent="0.25">
      <c r="A3" s="93"/>
      <c r="B3" s="397" t="s">
        <v>1153</v>
      </c>
      <c r="C3" s="56"/>
      <c r="D3" s="56"/>
      <c r="E3" s="56" t="s">
        <v>1382</v>
      </c>
      <c r="F3" s="233" t="s">
        <v>1039</v>
      </c>
      <c r="G3" s="400"/>
      <c r="H3" s="400" t="s">
        <v>933</v>
      </c>
      <c r="I3" s="56" t="s">
        <v>1577</v>
      </c>
      <c r="J3" s="326">
        <f>SUM(U3,AG3,AS3,BE3,BQ3,CC3,CO3,DA3,DM3,DY3,EK3)</f>
        <v>2927386.37</v>
      </c>
      <c r="K3" s="326">
        <v>0</v>
      </c>
      <c r="L3" s="326">
        <v>0</v>
      </c>
      <c r="M3" s="326">
        <v>0</v>
      </c>
      <c r="N3" s="326">
        <v>22969.55</v>
      </c>
      <c r="O3" s="326">
        <v>4053.45</v>
      </c>
      <c r="P3" s="326">
        <v>0</v>
      </c>
      <c r="Q3" s="326">
        <v>0</v>
      </c>
      <c r="R3" s="326">
        <v>0</v>
      </c>
      <c r="S3" s="326">
        <v>0</v>
      </c>
      <c r="T3" s="326">
        <v>363.37</v>
      </c>
      <c r="U3" s="326">
        <f t="shared" ref="U3:U8" si="0">SUM(K3:T3)</f>
        <v>27386.37</v>
      </c>
      <c r="V3" s="326">
        <v>0</v>
      </c>
      <c r="W3" s="326">
        <v>0</v>
      </c>
      <c r="X3" s="326">
        <v>0</v>
      </c>
      <c r="Y3" s="326">
        <v>0</v>
      </c>
      <c r="Z3" s="326">
        <v>0</v>
      </c>
      <c r="AA3" s="326">
        <v>0</v>
      </c>
      <c r="AB3" s="326">
        <v>0</v>
      </c>
      <c r="AC3" s="326">
        <v>0</v>
      </c>
      <c r="AD3" s="326">
        <v>0</v>
      </c>
      <c r="AE3" s="326">
        <v>0</v>
      </c>
      <c r="AF3" s="326">
        <v>0</v>
      </c>
      <c r="AG3" s="326">
        <f t="shared" ref="AG3:AG8" si="1">SUM(V3:AF3)</f>
        <v>0</v>
      </c>
      <c r="AH3" s="326">
        <v>0</v>
      </c>
      <c r="AI3" s="326">
        <v>0</v>
      </c>
      <c r="AJ3" s="326">
        <v>0</v>
      </c>
      <c r="AK3" s="326">
        <v>0</v>
      </c>
      <c r="AL3" s="326">
        <v>0</v>
      </c>
      <c r="AM3" s="326">
        <v>0</v>
      </c>
      <c r="AN3" s="326">
        <v>0</v>
      </c>
      <c r="AO3" s="326">
        <v>0</v>
      </c>
      <c r="AP3" s="326">
        <v>0</v>
      </c>
      <c r="AQ3" s="326">
        <v>0</v>
      </c>
      <c r="AR3" s="326">
        <v>0</v>
      </c>
      <c r="AS3" s="326">
        <f t="shared" ref="AS3:AS8" si="2">SUM(AH3:AR3)</f>
        <v>0</v>
      </c>
      <c r="AT3" s="326">
        <v>0</v>
      </c>
      <c r="AU3" s="326">
        <v>350000</v>
      </c>
      <c r="AV3" s="326">
        <v>0</v>
      </c>
      <c r="AW3" s="326">
        <v>977500</v>
      </c>
      <c r="AX3" s="326">
        <v>172499.99999999997</v>
      </c>
      <c r="AY3" s="326">
        <v>0</v>
      </c>
      <c r="AZ3" s="326">
        <v>0</v>
      </c>
      <c r="BA3" s="326">
        <v>0</v>
      </c>
      <c r="BB3" s="326">
        <v>0</v>
      </c>
      <c r="BC3" s="326">
        <v>0</v>
      </c>
      <c r="BD3" s="326">
        <v>0</v>
      </c>
      <c r="BE3" s="326">
        <f t="shared" ref="BE3:BE8" si="3">SUM(AT3:BD3)</f>
        <v>1500000</v>
      </c>
      <c r="BF3" s="326">
        <v>0</v>
      </c>
      <c r="BG3" s="326">
        <v>250000</v>
      </c>
      <c r="BH3" s="326">
        <v>0</v>
      </c>
      <c r="BI3" s="326">
        <v>977500</v>
      </c>
      <c r="BJ3" s="326">
        <v>172499.99999999997</v>
      </c>
      <c r="BK3" s="326">
        <v>0</v>
      </c>
      <c r="BL3" s="326">
        <v>0</v>
      </c>
      <c r="BM3" s="326">
        <v>0</v>
      </c>
      <c r="BN3" s="326">
        <v>0</v>
      </c>
      <c r="BO3" s="326">
        <v>0</v>
      </c>
      <c r="BP3" s="326">
        <v>0</v>
      </c>
      <c r="BQ3" s="326">
        <f t="shared" ref="BQ3:BQ8" si="4">SUM(BF3:BP3)</f>
        <v>1400000</v>
      </c>
      <c r="BR3" s="326">
        <v>0</v>
      </c>
      <c r="BS3" s="326">
        <v>0</v>
      </c>
      <c r="BT3" s="326">
        <v>0</v>
      </c>
      <c r="BU3" s="326">
        <v>0</v>
      </c>
      <c r="BV3" s="326">
        <v>0</v>
      </c>
      <c r="BW3" s="326">
        <v>0</v>
      </c>
      <c r="BX3" s="326">
        <v>0</v>
      </c>
      <c r="BY3" s="326">
        <v>0</v>
      </c>
      <c r="BZ3" s="326">
        <v>0</v>
      </c>
      <c r="CA3" s="326">
        <v>0</v>
      </c>
      <c r="CB3" s="326">
        <v>0</v>
      </c>
      <c r="CC3" s="326">
        <f t="shared" ref="CC3:CC8" si="5">SUM(BR3:CB3)</f>
        <v>0</v>
      </c>
      <c r="CD3" s="326">
        <v>0</v>
      </c>
      <c r="CE3" s="326">
        <v>0</v>
      </c>
      <c r="CF3" s="326">
        <v>0</v>
      </c>
      <c r="CG3" s="326">
        <v>0</v>
      </c>
      <c r="CH3" s="326">
        <v>0</v>
      </c>
      <c r="CI3" s="326">
        <v>0</v>
      </c>
      <c r="CJ3" s="326">
        <v>0</v>
      </c>
      <c r="CK3" s="326">
        <v>0</v>
      </c>
      <c r="CL3" s="326">
        <v>0</v>
      </c>
      <c r="CM3" s="326">
        <v>0</v>
      </c>
      <c r="CN3" s="326">
        <v>0</v>
      </c>
      <c r="CO3" s="326">
        <f t="shared" ref="CO3:CO10" si="6">SUM(CD3:CN3)</f>
        <v>0</v>
      </c>
      <c r="CP3" s="326">
        <v>0</v>
      </c>
      <c r="CQ3" s="326">
        <v>0</v>
      </c>
      <c r="CR3" s="326">
        <v>0</v>
      </c>
      <c r="CS3" s="326">
        <v>0</v>
      </c>
      <c r="CT3" s="326">
        <v>0</v>
      </c>
      <c r="CU3" s="326">
        <v>0</v>
      </c>
      <c r="CV3" s="326">
        <v>0</v>
      </c>
      <c r="CW3" s="326">
        <v>0</v>
      </c>
      <c r="CX3" s="326">
        <v>0</v>
      </c>
      <c r="CY3" s="326">
        <v>0</v>
      </c>
      <c r="CZ3" s="326">
        <v>0</v>
      </c>
      <c r="DA3" s="326">
        <f>SUM(CP3:CZ3)</f>
        <v>0</v>
      </c>
      <c r="DB3" s="326">
        <f>SUM(CQ3:DA3)</f>
        <v>0</v>
      </c>
      <c r="DC3" s="326">
        <v>0</v>
      </c>
      <c r="DD3" s="326">
        <v>0</v>
      </c>
      <c r="DE3" s="326">
        <v>0</v>
      </c>
      <c r="DF3" s="326">
        <v>0</v>
      </c>
      <c r="DG3" s="326">
        <v>0</v>
      </c>
      <c r="DH3" s="326">
        <v>0</v>
      </c>
      <c r="DI3" s="326">
        <v>0</v>
      </c>
      <c r="DJ3" s="326">
        <v>0</v>
      </c>
      <c r="DK3" s="326">
        <v>0</v>
      </c>
      <c r="DL3" s="326">
        <v>0</v>
      </c>
      <c r="DM3" s="326">
        <f t="shared" ref="DM3:DM10" si="7">SUM(DB3:DL3)</f>
        <v>0</v>
      </c>
      <c r="DN3" s="326">
        <v>0</v>
      </c>
      <c r="DO3" s="326">
        <v>0</v>
      </c>
      <c r="DP3" s="326">
        <v>0</v>
      </c>
      <c r="DQ3" s="326">
        <v>0</v>
      </c>
      <c r="DR3" s="326">
        <v>0</v>
      </c>
      <c r="DS3" s="326">
        <v>0</v>
      </c>
      <c r="DT3" s="326">
        <v>0</v>
      </c>
      <c r="DU3" s="326">
        <v>0</v>
      </c>
      <c r="DV3" s="326">
        <v>0</v>
      </c>
      <c r="DW3" s="326">
        <v>0</v>
      </c>
      <c r="DX3" s="326">
        <v>0</v>
      </c>
      <c r="DY3" s="326">
        <f t="shared" ref="DY3:DY10" si="8">SUM(DN3:DX3)</f>
        <v>0</v>
      </c>
      <c r="DZ3" s="329">
        <v>0</v>
      </c>
      <c r="EA3" s="329">
        <v>0</v>
      </c>
      <c r="EB3" s="329">
        <v>0</v>
      </c>
      <c r="EC3" s="329">
        <v>0</v>
      </c>
      <c r="ED3" s="329">
        <v>0</v>
      </c>
      <c r="EE3" s="329">
        <v>0</v>
      </c>
      <c r="EF3" s="329">
        <v>0</v>
      </c>
      <c r="EG3" s="329">
        <v>0</v>
      </c>
      <c r="EH3" s="329">
        <v>0</v>
      </c>
      <c r="EI3" s="329">
        <v>0</v>
      </c>
      <c r="EJ3" s="329">
        <v>0</v>
      </c>
      <c r="EK3" s="383">
        <f>SUM(DZ3:EJ3)</f>
        <v>0</v>
      </c>
    </row>
    <row r="4" spans="1:141" ht="105" x14ac:dyDescent="0.25">
      <c r="A4" s="93"/>
      <c r="B4" s="397" t="s">
        <v>1153</v>
      </c>
      <c r="C4" s="56"/>
      <c r="D4" s="56"/>
      <c r="E4" s="56" t="s">
        <v>1382</v>
      </c>
      <c r="F4" s="233" t="s">
        <v>1040</v>
      </c>
      <c r="G4" s="400"/>
      <c r="H4" s="400" t="s">
        <v>933</v>
      </c>
      <c r="I4" s="56" t="s">
        <v>1577</v>
      </c>
      <c r="J4" s="326">
        <f>SUM(U4,AG4,AS4,BE4,BQ4,CC4,CO4,DA4,DM4,DY4,EK4)</f>
        <v>2556054.6399999997</v>
      </c>
      <c r="K4" s="326">
        <v>0</v>
      </c>
      <c r="L4" s="326">
        <v>5575</v>
      </c>
      <c r="M4" s="326">
        <v>0</v>
      </c>
      <c r="N4" s="326">
        <v>36176</v>
      </c>
      <c r="O4" s="326">
        <v>6384</v>
      </c>
      <c r="P4" s="326">
        <v>0</v>
      </c>
      <c r="Q4" s="326">
        <v>0</v>
      </c>
      <c r="R4" s="326">
        <v>0</v>
      </c>
      <c r="S4" s="326">
        <v>0</v>
      </c>
      <c r="T4" s="326">
        <v>7919.64</v>
      </c>
      <c r="U4" s="326">
        <f t="shared" si="0"/>
        <v>56054.64</v>
      </c>
      <c r="V4" s="326">
        <v>0</v>
      </c>
      <c r="W4" s="326">
        <v>0</v>
      </c>
      <c r="X4" s="326">
        <v>0</v>
      </c>
      <c r="Y4" s="326">
        <v>0</v>
      </c>
      <c r="Z4" s="326">
        <v>0</v>
      </c>
      <c r="AA4" s="326">
        <v>0</v>
      </c>
      <c r="AB4" s="326">
        <v>0</v>
      </c>
      <c r="AC4" s="326">
        <v>0</v>
      </c>
      <c r="AD4" s="326">
        <v>0</v>
      </c>
      <c r="AE4" s="326">
        <v>0</v>
      </c>
      <c r="AF4" s="326">
        <v>0</v>
      </c>
      <c r="AG4" s="326">
        <f t="shared" si="1"/>
        <v>0</v>
      </c>
      <c r="AH4" s="326">
        <v>0</v>
      </c>
      <c r="AI4" s="326">
        <v>0</v>
      </c>
      <c r="AJ4" s="326">
        <v>0</v>
      </c>
      <c r="AK4" s="326">
        <v>0</v>
      </c>
      <c r="AL4" s="326">
        <v>0</v>
      </c>
      <c r="AM4" s="326">
        <v>0</v>
      </c>
      <c r="AN4" s="326">
        <v>0</v>
      </c>
      <c r="AO4" s="326">
        <v>0</v>
      </c>
      <c r="AP4" s="326">
        <v>0</v>
      </c>
      <c r="AQ4" s="326">
        <v>0</v>
      </c>
      <c r="AR4" s="326">
        <v>0</v>
      </c>
      <c r="AS4" s="326">
        <f t="shared" si="2"/>
        <v>0</v>
      </c>
      <c r="AT4" s="326">
        <v>0</v>
      </c>
      <c r="AU4" s="326">
        <v>350000</v>
      </c>
      <c r="AV4" s="326">
        <v>0</v>
      </c>
      <c r="AW4" s="326">
        <v>807500</v>
      </c>
      <c r="AX4" s="326">
        <v>142500</v>
      </c>
      <c r="AY4" s="326">
        <v>0</v>
      </c>
      <c r="AZ4" s="326">
        <v>0</v>
      </c>
      <c r="BA4" s="326">
        <v>0</v>
      </c>
      <c r="BB4" s="326">
        <v>0</v>
      </c>
      <c r="BC4" s="326">
        <v>0</v>
      </c>
      <c r="BD4" s="326">
        <v>0</v>
      </c>
      <c r="BE4" s="326">
        <f t="shared" si="3"/>
        <v>1300000</v>
      </c>
      <c r="BF4" s="326">
        <v>0</v>
      </c>
      <c r="BG4" s="326">
        <v>250000</v>
      </c>
      <c r="BH4" s="326">
        <v>0</v>
      </c>
      <c r="BI4" s="326">
        <v>807500</v>
      </c>
      <c r="BJ4" s="326">
        <v>142500</v>
      </c>
      <c r="BK4" s="326">
        <v>0</v>
      </c>
      <c r="BL4" s="326">
        <v>0</v>
      </c>
      <c r="BM4" s="326">
        <v>0</v>
      </c>
      <c r="BN4" s="326">
        <v>0</v>
      </c>
      <c r="BO4" s="326">
        <v>0</v>
      </c>
      <c r="BP4" s="326">
        <v>0</v>
      </c>
      <c r="BQ4" s="326">
        <f t="shared" si="4"/>
        <v>1200000</v>
      </c>
      <c r="BR4" s="326">
        <v>0</v>
      </c>
      <c r="BS4" s="326">
        <v>0</v>
      </c>
      <c r="BT4" s="326">
        <v>0</v>
      </c>
      <c r="BU4" s="326">
        <v>0</v>
      </c>
      <c r="BV4" s="326">
        <v>0</v>
      </c>
      <c r="BW4" s="326">
        <v>0</v>
      </c>
      <c r="BX4" s="326">
        <v>0</v>
      </c>
      <c r="BY4" s="326">
        <v>0</v>
      </c>
      <c r="BZ4" s="326">
        <v>0</v>
      </c>
      <c r="CA4" s="326">
        <v>0</v>
      </c>
      <c r="CB4" s="326">
        <v>0</v>
      </c>
      <c r="CC4" s="326">
        <f t="shared" si="5"/>
        <v>0</v>
      </c>
      <c r="CD4" s="326">
        <v>0</v>
      </c>
      <c r="CE4" s="326">
        <v>0</v>
      </c>
      <c r="CF4" s="326">
        <v>0</v>
      </c>
      <c r="CG4" s="326">
        <v>0</v>
      </c>
      <c r="CH4" s="326">
        <v>0</v>
      </c>
      <c r="CI4" s="326">
        <v>0</v>
      </c>
      <c r="CJ4" s="326">
        <v>0</v>
      </c>
      <c r="CK4" s="326">
        <v>0</v>
      </c>
      <c r="CL4" s="326">
        <v>0</v>
      </c>
      <c r="CM4" s="326">
        <v>0</v>
      </c>
      <c r="CN4" s="326">
        <v>0</v>
      </c>
      <c r="CO4" s="326">
        <f t="shared" si="6"/>
        <v>0</v>
      </c>
      <c r="CP4" s="326">
        <v>0</v>
      </c>
      <c r="CQ4" s="326">
        <v>0</v>
      </c>
      <c r="CR4" s="326">
        <v>0</v>
      </c>
      <c r="CS4" s="326">
        <v>0</v>
      </c>
      <c r="CT4" s="326">
        <v>0</v>
      </c>
      <c r="CU4" s="326">
        <v>0</v>
      </c>
      <c r="CV4" s="326">
        <v>0</v>
      </c>
      <c r="CW4" s="326">
        <v>0</v>
      </c>
      <c r="CX4" s="326">
        <v>0</v>
      </c>
      <c r="CY4" s="326">
        <v>0</v>
      </c>
      <c r="CZ4" s="326">
        <v>0</v>
      </c>
      <c r="DA4" s="326">
        <f>SUM(CP4:CZ4)</f>
        <v>0</v>
      </c>
      <c r="DB4" s="326">
        <f>SUM(CQ4:DA4)</f>
        <v>0</v>
      </c>
      <c r="DC4" s="326">
        <v>0</v>
      </c>
      <c r="DD4" s="326">
        <v>0</v>
      </c>
      <c r="DE4" s="326">
        <v>0</v>
      </c>
      <c r="DF4" s="326">
        <v>0</v>
      </c>
      <c r="DG4" s="326">
        <v>0</v>
      </c>
      <c r="DH4" s="326">
        <v>0</v>
      </c>
      <c r="DI4" s="326">
        <v>0</v>
      </c>
      <c r="DJ4" s="326">
        <v>0</v>
      </c>
      <c r="DK4" s="326">
        <v>0</v>
      </c>
      <c r="DL4" s="326">
        <v>0</v>
      </c>
      <c r="DM4" s="326">
        <f t="shared" si="7"/>
        <v>0</v>
      </c>
      <c r="DN4" s="326">
        <v>0</v>
      </c>
      <c r="DO4" s="326">
        <v>0</v>
      </c>
      <c r="DP4" s="326">
        <v>0</v>
      </c>
      <c r="DQ4" s="326">
        <v>0</v>
      </c>
      <c r="DR4" s="326">
        <v>0</v>
      </c>
      <c r="DS4" s="326">
        <v>0</v>
      </c>
      <c r="DT4" s="326">
        <v>0</v>
      </c>
      <c r="DU4" s="326">
        <v>0</v>
      </c>
      <c r="DV4" s="326">
        <v>0</v>
      </c>
      <c r="DW4" s="326">
        <v>0</v>
      </c>
      <c r="DX4" s="326">
        <v>0</v>
      </c>
      <c r="DY4" s="326">
        <f t="shared" si="8"/>
        <v>0</v>
      </c>
      <c r="DZ4" s="329">
        <v>0</v>
      </c>
      <c r="EA4" s="329">
        <v>0</v>
      </c>
      <c r="EB4" s="329">
        <v>0</v>
      </c>
      <c r="EC4" s="329">
        <v>0</v>
      </c>
      <c r="ED4" s="329">
        <v>0</v>
      </c>
      <c r="EE4" s="329">
        <v>0</v>
      </c>
      <c r="EF4" s="329">
        <v>0</v>
      </c>
      <c r="EG4" s="329">
        <v>0</v>
      </c>
      <c r="EH4" s="329">
        <v>0</v>
      </c>
      <c r="EI4" s="329">
        <v>0</v>
      </c>
      <c r="EJ4" s="329">
        <v>0</v>
      </c>
      <c r="EK4" s="383">
        <f t="shared" ref="EK4:EK10" si="9">SUM(DZ4:EJ4)</f>
        <v>0</v>
      </c>
    </row>
    <row r="5" spans="1:141" ht="60" x14ac:dyDescent="0.25">
      <c r="A5" s="93"/>
      <c r="B5" s="397"/>
      <c r="C5" s="56"/>
      <c r="D5" s="56"/>
      <c r="E5" s="56" t="s">
        <v>1383</v>
      </c>
      <c r="F5" s="183" t="s">
        <v>1019</v>
      </c>
      <c r="G5" s="400"/>
      <c r="H5" s="400"/>
      <c r="I5" s="56" t="s">
        <v>1051</v>
      </c>
      <c r="J5" s="326">
        <f t="shared" ref="J5:J10" si="10">SUM(U5,AG5,AS5,BE5,BQ5,CC5)</f>
        <v>12870891.35</v>
      </c>
      <c r="K5" s="326">
        <v>0</v>
      </c>
      <c r="L5" s="326">
        <v>642418.68999999994</v>
      </c>
      <c r="M5" s="326">
        <v>0</v>
      </c>
      <c r="N5" s="326">
        <v>194196.11</v>
      </c>
      <c r="O5" s="326">
        <v>34269.89</v>
      </c>
      <c r="P5" s="326">
        <v>0</v>
      </c>
      <c r="Q5" s="326">
        <v>0</v>
      </c>
      <c r="R5" s="326">
        <v>0</v>
      </c>
      <c r="S5" s="326">
        <v>0</v>
      </c>
      <c r="T5" s="326">
        <v>6.66</v>
      </c>
      <c r="U5" s="326">
        <f t="shared" si="0"/>
        <v>870891.35</v>
      </c>
      <c r="V5" s="326">
        <v>0</v>
      </c>
      <c r="W5" s="326">
        <v>0</v>
      </c>
      <c r="X5" s="326">
        <v>0</v>
      </c>
      <c r="Y5" s="326">
        <v>0</v>
      </c>
      <c r="Z5" s="326">
        <v>0</v>
      </c>
      <c r="AA5" s="326">
        <v>0</v>
      </c>
      <c r="AB5" s="326">
        <v>0</v>
      </c>
      <c r="AC5" s="326">
        <v>0</v>
      </c>
      <c r="AD5" s="326">
        <v>0</v>
      </c>
      <c r="AE5" s="326">
        <v>0</v>
      </c>
      <c r="AF5" s="326">
        <v>0</v>
      </c>
      <c r="AG5" s="326">
        <f t="shared" si="1"/>
        <v>0</v>
      </c>
      <c r="AH5" s="326">
        <v>0</v>
      </c>
      <c r="AI5" s="326">
        <v>0</v>
      </c>
      <c r="AJ5" s="326">
        <v>0</v>
      </c>
      <c r="AK5" s="326">
        <v>3895833.333333333</v>
      </c>
      <c r="AL5" s="326">
        <v>687500</v>
      </c>
      <c r="AM5" s="326">
        <v>0</v>
      </c>
      <c r="AN5" s="326">
        <v>0</v>
      </c>
      <c r="AO5" s="326">
        <v>0</v>
      </c>
      <c r="AP5" s="326">
        <v>0</v>
      </c>
      <c r="AQ5" s="326">
        <v>0</v>
      </c>
      <c r="AR5" s="326">
        <v>0</v>
      </c>
      <c r="AS5" s="326">
        <f t="shared" si="2"/>
        <v>4583333.333333333</v>
      </c>
      <c r="AT5" s="326">
        <v>0</v>
      </c>
      <c r="AU5" s="326">
        <v>500000</v>
      </c>
      <c r="AV5" s="326">
        <v>0</v>
      </c>
      <c r="AW5" s="326">
        <v>4675000</v>
      </c>
      <c r="AX5" s="326">
        <v>825000</v>
      </c>
      <c r="AY5" s="326">
        <v>0</v>
      </c>
      <c r="AZ5" s="326">
        <v>0</v>
      </c>
      <c r="BA5" s="326">
        <v>0</v>
      </c>
      <c r="BB5" s="326">
        <v>0</v>
      </c>
      <c r="BC5" s="326">
        <v>0</v>
      </c>
      <c r="BD5" s="326">
        <v>0</v>
      </c>
      <c r="BE5" s="326">
        <f t="shared" si="3"/>
        <v>6000000</v>
      </c>
      <c r="BF5" s="326">
        <v>0</v>
      </c>
      <c r="BG5" s="326">
        <v>500000</v>
      </c>
      <c r="BH5" s="326">
        <v>0</v>
      </c>
      <c r="BI5" s="326">
        <v>779166.66666666663</v>
      </c>
      <c r="BJ5" s="326">
        <v>137500</v>
      </c>
      <c r="BK5" s="326">
        <v>0</v>
      </c>
      <c r="BL5" s="326">
        <v>0</v>
      </c>
      <c r="BM5" s="326">
        <v>0</v>
      </c>
      <c r="BN5" s="326">
        <v>0</v>
      </c>
      <c r="BO5" s="326">
        <v>0</v>
      </c>
      <c r="BP5" s="326">
        <v>0</v>
      </c>
      <c r="BQ5" s="326">
        <f t="shared" si="4"/>
        <v>1416666.6666666665</v>
      </c>
      <c r="BR5" s="326">
        <v>0</v>
      </c>
      <c r="BS5" s="326">
        <v>0</v>
      </c>
      <c r="BT5" s="326">
        <v>0</v>
      </c>
      <c r="BU5" s="326">
        <v>0</v>
      </c>
      <c r="BV5" s="326">
        <v>0</v>
      </c>
      <c r="BW5" s="326">
        <v>0</v>
      </c>
      <c r="BX5" s="326">
        <v>0</v>
      </c>
      <c r="BY5" s="326">
        <v>0</v>
      </c>
      <c r="BZ5" s="326">
        <v>0</v>
      </c>
      <c r="CA5" s="326">
        <v>0</v>
      </c>
      <c r="CB5" s="326">
        <v>0</v>
      </c>
      <c r="CC5" s="326">
        <f t="shared" si="5"/>
        <v>0</v>
      </c>
      <c r="CD5" s="329">
        <v>0</v>
      </c>
      <c r="CE5" s="329">
        <v>0</v>
      </c>
      <c r="CF5" s="329">
        <v>0</v>
      </c>
      <c r="CG5" s="329">
        <v>0</v>
      </c>
      <c r="CH5" s="329">
        <v>0</v>
      </c>
      <c r="CI5" s="329">
        <v>0</v>
      </c>
      <c r="CJ5" s="329">
        <v>0</v>
      </c>
      <c r="CK5" s="329">
        <v>0</v>
      </c>
      <c r="CL5" s="329">
        <v>0</v>
      </c>
      <c r="CM5" s="329">
        <v>0</v>
      </c>
      <c r="CN5" s="329">
        <v>0</v>
      </c>
      <c r="CO5" s="359">
        <f t="shared" si="6"/>
        <v>0</v>
      </c>
      <c r="CP5" s="329">
        <v>0</v>
      </c>
      <c r="CQ5" s="329">
        <v>0</v>
      </c>
      <c r="CR5" s="329">
        <v>0</v>
      </c>
      <c r="CS5" s="329">
        <v>0</v>
      </c>
      <c r="CT5" s="329">
        <v>0</v>
      </c>
      <c r="CU5" s="329">
        <v>0</v>
      </c>
      <c r="CV5" s="329">
        <v>0</v>
      </c>
      <c r="CW5" s="329">
        <v>0</v>
      </c>
      <c r="CX5" s="329">
        <v>0</v>
      </c>
      <c r="CY5" s="329">
        <v>0</v>
      </c>
      <c r="CZ5" s="329">
        <v>0</v>
      </c>
      <c r="DA5" s="359">
        <f t="shared" ref="DA5:DA10" si="11">SUM(CP5:CY5)</f>
        <v>0</v>
      </c>
      <c r="DB5" s="329">
        <v>0</v>
      </c>
      <c r="DC5" s="329">
        <v>0</v>
      </c>
      <c r="DD5" s="329">
        <v>0</v>
      </c>
      <c r="DE5" s="329">
        <v>0</v>
      </c>
      <c r="DF5" s="329">
        <v>0</v>
      </c>
      <c r="DG5" s="329">
        <v>0</v>
      </c>
      <c r="DH5" s="329">
        <v>0</v>
      </c>
      <c r="DI5" s="329">
        <v>0</v>
      </c>
      <c r="DJ5" s="329">
        <v>0</v>
      </c>
      <c r="DK5" s="329">
        <v>0</v>
      </c>
      <c r="DL5" s="329">
        <v>0</v>
      </c>
      <c r="DM5" s="359">
        <f t="shared" si="7"/>
        <v>0</v>
      </c>
      <c r="DN5" s="329">
        <v>0</v>
      </c>
      <c r="DO5" s="329">
        <v>0</v>
      </c>
      <c r="DP5" s="329">
        <v>0</v>
      </c>
      <c r="DQ5" s="329">
        <v>0</v>
      </c>
      <c r="DR5" s="329">
        <v>0</v>
      </c>
      <c r="DS5" s="329">
        <v>0</v>
      </c>
      <c r="DT5" s="329">
        <v>0</v>
      </c>
      <c r="DU5" s="329">
        <v>0</v>
      </c>
      <c r="DV5" s="329">
        <v>0</v>
      </c>
      <c r="DW5" s="329">
        <v>0</v>
      </c>
      <c r="DX5" s="329">
        <v>0</v>
      </c>
      <c r="DY5" s="359">
        <f t="shared" si="8"/>
        <v>0</v>
      </c>
      <c r="DZ5" s="329">
        <v>0</v>
      </c>
      <c r="EA5" s="329">
        <v>0</v>
      </c>
      <c r="EB5" s="329">
        <v>0</v>
      </c>
      <c r="EC5" s="329">
        <v>0</v>
      </c>
      <c r="ED5" s="329">
        <v>0</v>
      </c>
      <c r="EE5" s="329">
        <v>0</v>
      </c>
      <c r="EF5" s="329">
        <v>0</v>
      </c>
      <c r="EG5" s="329">
        <v>0</v>
      </c>
      <c r="EH5" s="329">
        <v>0</v>
      </c>
      <c r="EI5" s="329">
        <v>0</v>
      </c>
      <c r="EJ5" s="329">
        <v>0</v>
      </c>
      <c r="EK5" s="383">
        <f t="shared" si="9"/>
        <v>0</v>
      </c>
    </row>
    <row r="6" spans="1:141" ht="150" x14ac:dyDescent="0.25">
      <c r="A6" s="93"/>
      <c r="B6" s="397"/>
      <c r="C6" s="56"/>
      <c r="D6" s="56"/>
      <c r="E6" s="56" t="s">
        <v>1382</v>
      </c>
      <c r="F6" s="233" t="s">
        <v>1047</v>
      </c>
      <c r="G6" s="400"/>
      <c r="H6" s="400"/>
      <c r="I6" s="56" t="s">
        <v>1050</v>
      </c>
      <c r="J6" s="326">
        <f t="shared" si="10"/>
        <v>235499</v>
      </c>
      <c r="K6" s="326">
        <v>0</v>
      </c>
      <c r="L6" s="326">
        <v>0</v>
      </c>
      <c r="M6" s="326">
        <v>0</v>
      </c>
      <c r="N6" s="326">
        <v>0</v>
      </c>
      <c r="O6" s="326">
        <v>0</v>
      </c>
      <c r="P6" s="326">
        <v>0</v>
      </c>
      <c r="Q6" s="326">
        <v>0</v>
      </c>
      <c r="R6" s="326">
        <v>0</v>
      </c>
      <c r="S6" s="326">
        <v>0</v>
      </c>
      <c r="T6" s="326">
        <v>0</v>
      </c>
      <c r="U6" s="326">
        <f t="shared" si="0"/>
        <v>0</v>
      </c>
      <c r="V6" s="326">
        <v>0</v>
      </c>
      <c r="W6" s="326">
        <v>0</v>
      </c>
      <c r="X6" s="326">
        <v>0</v>
      </c>
      <c r="Y6" s="326">
        <v>0</v>
      </c>
      <c r="Z6" s="326">
        <v>0</v>
      </c>
      <c r="AA6" s="326">
        <v>0</v>
      </c>
      <c r="AB6" s="326">
        <v>0</v>
      </c>
      <c r="AC6" s="326">
        <v>0</v>
      </c>
      <c r="AD6" s="326">
        <v>0</v>
      </c>
      <c r="AE6" s="326">
        <v>0</v>
      </c>
      <c r="AF6" s="326">
        <v>0</v>
      </c>
      <c r="AG6" s="326">
        <f t="shared" si="1"/>
        <v>0</v>
      </c>
      <c r="AH6" s="326">
        <v>0</v>
      </c>
      <c r="AI6" s="326">
        <v>0</v>
      </c>
      <c r="AJ6" s="326">
        <v>0</v>
      </c>
      <c r="AK6" s="326">
        <v>0</v>
      </c>
      <c r="AL6" s="326">
        <v>0</v>
      </c>
      <c r="AM6" s="326">
        <v>0</v>
      </c>
      <c r="AN6" s="326">
        <v>0</v>
      </c>
      <c r="AO6" s="326">
        <v>0</v>
      </c>
      <c r="AP6" s="326">
        <v>0</v>
      </c>
      <c r="AQ6" s="326">
        <v>0</v>
      </c>
      <c r="AR6" s="326">
        <v>0</v>
      </c>
      <c r="AS6" s="326">
        <f t="shared" si="2"/>
        <v>0</v>
      </c>
      <c r="AT6" s="326">
        <v>0</v>
      </c>
      <c r="AU6" s="326">
        <v>0</v>
      </c>
      <c r="AV6" s="326">
        <v>0</v>
      </c>
      <c r="AW6" s="326">
        <v>42500</v>
      </c>
      <c r="AX6" s="326">
        <v>7500</v>
      </c>
      <c r="AY6" s="326">
        <v>0</v>
      </c>
      <c r="AZ6" s="326">
        <v>0</v>
      </c>
      <c r="BA6" s="326">
        <v>0</v>
      </c>
      <c r="BB6" s="326">
        <v>0</v>
      </c>
      <c r="BC6" s="326">
        <v>0</v>
      </c>
      <c r="BD6" s="326">
        <v>0</v>
      </c>
      <c r="BE6" s="326">
        <f t="shared" si="3"/>
        <v>50000</v>
      </c>
      <c r="BF6" s="326">
        <v>0</v>
      </c>
      <c r="BG6" s="326">
        <v>0</v>
      </c>
      <c r="BH6" s="326">
        <v>0</v>
      </c>
      <c r="BI6" s="326">
        <v>157674.15</v>
      </c>
      <c r="BJ6" s="326">
        <v>27824.85</v>
      </c>
      <c r="BK6" s="326">
        <v>0</v>
      </c>
      <c r="BL6" s="326">
        <v>0</v>
      </c>
      <c r="BM6" s="326">
        <v>0</v>
      </c>
      <c r="BN6" s="326">
        <v>0</v>
      </c>
      <c r="BO6" s="326">
        <v>0</v>
      </c>
      <c r="BP6" s="326">
        <v>0</v>
      </c>
      <c r="BQ6" s="326">
        <f t="shared" si="4"/>
        <v>185499</v>
      </c>
      <c r="BR6" s="326">
        <v>0</v>
      </c>
      <c r="BS6" s="326">
        <v>0</v>
      </c>
      <c r="BT6" s="326">
        <v>0</v>
      </c>
      <c r="BU6" s="326">
        <v>0</v>
      </c>
      <c r="BV6" s="326">
        <v>0</v>
      </c>
      <c r="BW6" s="326">
        <v>0</v>
      </c>
      <c r="BX6" s="326">
        <v>0</v>
      </c>
      <c r="BY6" s="326">
        <v>0</v>
      </c>
      <c r="BZ6" s="326">
        <v>0</v>
      </c>
      <c r="CA6" s="326">
        <v>0</v>
      </c>
      <c r="CB6" s="326">
        <v>0</v>
      </c>
      <c r="CC6" s="326">
        <f t="shared" si="5"/>
        <v>0</v>
      </c>
      <c r="CD6" s="329">
        <v>0</v>
      </c>
      <c r="CE6" s="329">
        <v>0</v>
      </c>
      <c r="CF6" s="329">
        <v>0</v>
      </c>
      <c r="CG6" s="329">
        <v>0</v>
      </c>
      <c r="CH6" s="329">
        <v>0</v>
      </c>
      <c r="CI6" s="329">
        <v>0</v>
      </c>
      <c r="CJ6" s="329">
        <v>0</v>
      </c>
      <c r="CK6" s="329">
        <v>0</v>
      </c>
      <c r="CL6" s="329">
        <v>0</v>
      </c>
      <c r="CM6" s="329">
        <v>0</v>
      </c>
      <c r="CN6" s="329">
        <v>0</v>
      </c>
      <c r="CO6" s="359">
        <f t="shared" si="6"/>
        <v>0</v>
      </c>
      <c r="CP6" s="329">
        <v>0</v>
      </c>
      <c r="CQ6" s="329">
        <v>0</v>
      </c>
      <c r="CR6" s="329">
        <v>0</v>
      </c>
      <c r="CS6" s="329">
        <v>0</v>
      </c>
      <c r="CT6" s="329">
        <v>0</v>
      </c>
      <c r="CU6" s="329">
        <v>0</v>
      </c>
      <c r="CV6" s="329">
        <v>0</v>
      </c>
      <c r="CW6" s="329">
        <v>0</v>
      </c>
      <c r="CX6" s="329">
        <v>0</v>
      </c>
      <c r="CY6" s="329">
        <v>0</v>
      </c>
      <c r="CZ6" s="329">
        <v>0</v>
      </c>
      <c r="DA6" s="359">
        <f t="shared" si="11"/>
        <v>0</v>
      </c>
      <c r="DB6" s="329">
        <v>0</v>
      </c>
      <c r="DC6" s="329">
        <v>0</v>
      </c>
      <c r="DD6" s="329">
        <v>0</v>
      </c>
      <c r="DE6" s="329">
        <v>0</v>
      </c>
      <c r="DF6" s="329">
        <v>0</v>
      </c>
      <c r="DG6" s="329">
        <v>0</v>
      </c>
      <c r="DH6" s="329">
        <v>0</v>
      </c>
      <c r="DI6" s="329">
        <v>0</v>
      </c>
      <c r="DJ6" s="329">
        <v>0</v>
      </c>
      <c r="DK6" s="329">
        <v>0</v>
      </c>
      <c r="DL6" s="329">
        <v>0</v>
      </c>
      <c r="DM6" s="359">
        <f t="shared" si="7"/>
        <v>0</v>
      </c>
      <c r="DN6" s="329">
        <v>0</v>
      </c>
      <c r="DO6" s="329">
        <v>0</v>
      </c>
      <c r="DP6" s="329">
        <v>0</v>
      </c>
      <c r="DQ6" s="329">
        <v>0</v>
      </c>
      <c r="DR6" s="329">
        <v>0</v>
      </c>
      <c r="DS6" s="329">
        <v>0</v>
      </c>
      <c r="DT6" s="329">
        <v>0</v>
      </c>
      <c r="DU6" s="329">
        <v>0</v>
      </c>
      <c r="DV6" s="329">
        <v>0</v>
      </c>
      <c r="DW6" s="329">
        <v>0</v>
      </c>
      <c r="DX6" s="329">
        <v>0</v>
      </c>
      <c r="DY6" s="359">
        <f t="shared" si="8"/>
        <v>0</v>
      </c>
      <c r="DZ6" s="329">
        <v>0</v>
      </c>
      <c r="EA6" s="329">
        <v>0</v>
      </c>
      <c r="EB6" s="329">
        <v>0</v>
      </c>
      <c r="EC6" s="329">
        <v>0</v>
      </c>
      <c r="ED6" s="329">
        <v>0</v>
      </c>
      <c r="EE6" s="329">
        <v>0</v>
      </c>
      <c r="EF6" s="329">
        <v>0</v>
      </c>
      <c r="EG6" s="329">
        <v>0</v>
      </c>
      <c r="EH6" s="329">
        <v>0</v>
      </c>
      <c r="EI6" s="329">
        <v>0</v>
      </c>
      <c r="EJ6" s="329">
        <v>0</v>
      </c>
      <c r="EK6" s="383">
        <f t="shared" si="9"/>
        <v>0</v>
      </c>
    </row>
    <row r="7" spans="1:141" ht="150" x14ac:dyDescent="0.25">
      <c r="A7" s="93"/>
      <c r="B7" s="397"/>
      <c r="C7" s="56"/>
      <c r="D7" s="56"/>
      <c r="E7" s="56" t="s">
        <v>1382</v>
      </c>
      <c r="F7" s="233" t="s">
        <v>1049</v>
      </c>
      <c r="G7" s="400"/>
      <c r="H7" s="400"/>
      <c r="I7" s="56" t="s">
        <v>1050</v>
      </c>
      <c r="J7" s="326">
        <f t="shared" si="10"/>
        <v>39865</v>
      </c>
      <c r="K7" s="326">
        <v>0</v>
      </c>
      <c r="L7" s="326">
        <v>0</v>
      </c>
      <c r="M7" s="326">
        <v>0</v>
      </c>
      <c r="N7" s="326">
        <v>0</v>
      </c>
      <c r="O7" s="326">
        <v>0</v>
      </c>
      <c r="P7" s="326">
        <v>0</v>
      </c>
      <c r="Q7" s="326">
        <v>0</v>
      </c>
      <c r="R7" s="326">
        <v>0</v>
      </c>
      <c r="S7" s="326">
        <v>0</v>
      </c>
      <c r="T7" s="326">
        <v>0</v>
      </c>
      <c r="U7" s="326">
        <f t="shared" si="0"/>
        <v>0</v>
      </c>
      <c r="V7" s="326">
        <v>0</v>
      </c>
      <c r="W7" s="326">
        <v>0</v>
      </c>
      <c r="X7" s="326">
        <v>0</v>
      </c>
      <c r="Y7" s="326">
        <v>0</v>
      </c>
      <c r="Z7" s="326">
        <v>0</v>
      </c>
      <c r="AA7" s="326">
        <v>0</v>
      </c>
      <c r="AB7" s="326">
        <v>0</v>
      </c>
      <c r="AC7" s="326">
        <v>0</v>
      </c>
      <c r="AD7" s="326">
        <v>0</v>
      </c>
      <c r="AE7" s="326">
        <v>0</v>
      </c>
      <c r="AF7" s="326">
        <v>0</v>
      </c>
      <c r="AG7" s="326">
        <f t="shared" si="1"/>
        <v>0</v>
      </c>
      <c r="AH7" s="326">
        <v>0</v>
      </c>
      <c r="AI7" s="326">
        <v>0</v>
      </c>
      <c r="AJ7" s="326">
        <v>0</v>
      </c>
      <c r="AK7" s="326">
        <v>0</v>
      </c>
      <c r="AL7" s="326">
        <v>0</v>
      </c>
      <c r="AM7" s="326">
        <v>0</v>
      </c>
      <c r="AN7" s="326">
        <v>0</v>
      </c>
      <c r="AO7" s="326">
        <v>0</v>
      </c>
      <c r="AP7" s="326">
        <v>0</v>
      </c>
      <c r="AQ7" s="326">
        <v>0</v>
      </c>
      <c r="AR7" s="326">
        <v>0</v>
      </c>
      <c r="AS7" s="326">
        <f t="shared" si="2"/>
        <v>0</v>
      </c>
      <c r="AT7" s="326">
        <v>0</v>
      </c>
      <c r="AU7" s="326">
        <v>0</v>
      </c>
      <c r="AV7" s="326">
        <v>0</v>
      </c>
      <c r="AW7" s="326">
        <v>33885.25</v>
      </c>
      <c r="AX7" s="326">
        <v>5979.75</v>
      </c>
      <c r="AY7" s="326">
        <v>0</v>
      </c>
      <c r="AZ7" s="326">
        <v>0</v>
      </c>
      <c r="BA7" s="326">
        <v>0</v>
      </c>
      <c r="BB7" s="326">
        <v>0</v>
      </c>
      <c r="BC7" s="326">
        <v>0</v>
      </c>
      <c r="BD7" s="326">
        <v>0</v>
      </c>
      <c r="BE7" s="326">
        <f t="shared" si="3"/>
        <v>39865</v>
      </c>
      <c r="BF7" s="326">
        <v>0</v>
      </c>
      <c r="BG7" s="326">
        <v>0</v>
      </c>
      <c r="BH7" s="326">
        <v>0</v>
      </c>
      <c r="BI7" s="326">
        <v>0</v>
      </c>
      <c r="BJ7" s="326">
        <v>0</v>
      </c>
      <c r="BK7" s="326">
        <v>0</v>
      </c>
      <c r="BL7" s="326">
        <v>0</v>
      </c>
      <c r="BM7" s="326">
        <v>0</v>
      </c>
      <c r="BN7" s="326">
        <v>0</v>
      </c>
      <c r="BO7" s="326">
        <v>0</v>
      </c>
      <c r="BP7" s="326">
        <v>0</v>
      </c>
      <c r="BQ7" s="326">
        <f t="shared" si="4"/>
        <v>0</v>
      </c>
      <c r="BR7" s="326">
        <v>0</v>
      </c>
      <c r="BS7" s="326">
        <v>0</v>
      </c>
      <c r="BT7" s="326">
        <v>0</v>
      </c>
      <c r="BU7" s="326">
        <v>0</v>
      </c>
      <c r="BV7" s="326">
        <v>0</v>
      </c>
      <c r="BW7" s="326">
        <v>0</v>
      </c>
      <c r="BX7" s="326">
        <v>0</v>
      </c>
      <c r="BY7" s="326">
        <v>0</v>
      </c>
      <c r="BZ7" s="326">
        <v>0</v>
      </c>
      <c r="CA7" s="326">
        <v>0</v>
      </c>
      <c r="CB7" s="326">
        <v>0</v>
      </c>
      <c r="CC7" s="326">
        <f t="shared" si="5"/>
        <v>0</v>
      </c>
      <c r="CD7" s="329">
        <v>0</v>
      </c>
      <c r="CE7" s="329">
        <v>0</v>
      </c>
      <c r="CF7" s="329">
        <v>0</v>
      </c>
      <c r="CG7" s="329">
        <v>0</v>
      </c>
      <c r="CH7" s="329">
        <v>0</v>
      </c>
      <c r="CI7" s="329">
        <v>0</v>
      </c>
      <c r="CJ7" s="329">
        <v>0</v>
      </c>
      <c r="CK7" s="329">
        <v>0</v>
      </c>
      <c r="CL7" s="329">
        <v>0</v>
      </c>
      <c r="CM7" s="329">
        <v>0</v>
      </c>
      <c r="CN7" s="329">
        <v>0</v>
      </c>
      <c r="CO7" s="359">
        <f t="shared" si="6"/>
        <v>0</v>
      </c>
      <c r="CP7" s="329">
        <v>0</v>
      </c>
      <c r="CQ7" s="329">
        <v>0</v>
      </c>
      <c r="CR7" s="329">
        <v>0</v>
      </c>
      <c r="CS7" s="329">
        <v>0</v>
      </c>
      <c r="CT7" s="329">
        <v>0</v>
      </c>
      <c r="CU7" s="329">
        <v>0</v>
      </c>
      <c r="CV7" s="329">
        <v>0</v>
      </c>
      <c r="CW7" s="329">
        <v>0</v>
      </c>
      <c r="CX7" s="329">
        <v>0</v>
      </c>
      <c r="CY7" s="329">
        <v>0</v>
      </c>
      <c r="CZ7" s="329">
        <v>0</v>
      </c>
      <c r="DA7" s="359">
        <f t="shared" si="11"/>
        <v>0</v>
      </c>
      <c r="DB7" s="329">
        <v>0</v>
      </c>
      <c r="DC7" s="329">
        <v>0</v>
      </c>
      <c r="DD7" s="329">
        <v>0</v>
      </c>
      <c r="DE7" s="329">
        <v>0</v>
      </c>
      <c r="DF7" s="329">
        <v>0</v>
      </c>
      <c r="DG7" s="329">
        <v>0</v>
      </c>
      <c r="DH7" s="329">
        <v>0</v>
      </c>
      <c r="DI7" s="329">
        <v>0</v>
      </c>
      <c r="DJ7" s="329">
        <v>0</v>
      </c>
      <c r="DK7" s="329">
        <v>0</v>
      </c>
      <c r="DL7" s="329">
        <v>0</v>
      </c>
      <c r="DM7" s="359">
        <f t="shared" si="7"/>
        <v>0</v>
      </c>
      <c r="DN7" s="329">
        <v>0</v>
      </c>
      <c r="DO7" s="329">
        <v>0</v>
      </c>
      <c r="DP7" s="329">
        <v>0</v>
      </c>
      <c r="DQ7" s="329">
        <v>0</v>
      </c>
      <c r="DR7" s="329">
        <v>0</v>
      </c>
      <c r="DS7" s="329">
        <v>0</v>
      </c>
      <c r="DT7" s="329">
        <v>0</v>
      </c>
      <c r="DU7" s="329">
        <v>0</v>
      </c>
      <c r="DV7" s="329">
        <v>0</v>
      </c>
      <c r="DW7" s="329">
        <v>0</v>
      </c>
      <c r="DX7" s="329">
        <v>0</v>
      </c>
      <c r="DY7" s="359">
        <f t="shared" si="8"/>
        <v>0</v>
      </c>
      <c r="DZ7" s="329">
        <v>0</v>
      </c>
      <c r="EA7" s="329">
        <v>0</v>
      </c>
      <c r="EB7" s="329">
        <v>0</v>
      </c>
      <c r="EC7" s="329">
        <v>0</v>
      </c>
      <c r="ED7" s="329">
        <v>0</v>
      </c>
      <c r="EE7" s="329">
        <v>0</v>
      </c>
      <c r="EF7" s="329">
        <v>0</v>
      </c>
      <c r="EG7" s="329">
        <v>0</v>
      </c>
      <c r="EH7" s="329">
        <v>0</v>
      </c>
      <c r="EI7" s="329">
        <v>0</v>
      </c>
      <c r="EJ7" s="329">
        <v>0</v>
      </c>
      <c r="EK7" s="383">
        <f t="shared" si="9"/>
        <v>0</v>
      </c>
    </row>
    <row r="8" spans="1:141" ht="105" x14ac:dyDescent="0.25">
      <c r="A8" s="93"/>
      <c r="B8" s="397" t="s">
        <v>1153</v>
      </c>
      <c r="C8" s="56"/>
      <c r="D8" s="56"/>
      <c r="E8" s="56" t="s">
        <v>1382</v>
      </c>
      <c r="F8" s="414" t="s">
        <v>1037</v>
      </c>
      <c r="G8" s="400"/>
      <c r="H8" s="400"/>
      <c r="I8" s="56" t="s">
        <v>1578</v>
      </c>
      <c r="J8" s="326">
        <f t="shared" si="10"/>
        <v>4351868.57</v>
      </c>
      <c r="K8" s="326">
        <v>0</v>
      </c>
      <c r="L8" s="326">
        <v>0</v>
      </c>
      <c r="M8" s="326">
        <v>0</v>
      </c>
      <c r="N8" s="326">
        <v>43719.75</v>
      </c>
      <c r="O8" s="326">
        <v>7715.25</v>
      </c>
      <c r="P8" s="326">
        <v>0</v>
      </c>
      <c r="Q8" s="326">
        <v>0</v>
      </c>
      <c r="R8" s="326">
        <v>0</v>
      </c>
      <c r="S8" s="326">
        <v>0</v>
      </c>
      <c r="T8" s="326">
        <v>433.57000000000005</v>
      </c>
      <c r="U8" s="326">
        <f t="shared" si="0"/>
        <v>51868.57</v>
      </c>
      <c r="V8" s="326">
        <v>0</v>
      </c>
      <c r="W8" s="326">
        <v>0</v>
      </c>
      <c r="X8" s="326">
        <v>0</v>
      </c>
      <c r="Y8" s="326">
        <v>0</v>
      </c>
      <c r="Z8" s="326">
        <v>0</v>
      </c>
      <c r="AA8" s="326">
        <v>0</v>
      </c>
      <c r="AB8" s="326">
        <v>0</v>
      </c>
      <c r="AC8" s="326">
        <v>0</v>
      </c>
      <c r="AD8" s="326">
        <v>0</v>
      </c>
      <c r="AE8" s="326">
        <v>0</v>
      </c>
      <c r="AF8" s="326">
        <v>0</v>
      </c>
      <c r="AG8" s="326">
        <f t="shared" si="1"/>
        <v>0</v>
      </c>
      <c r="AH8" s="326">
        <v>0</v>
      </c>
      <c r="AI8" s="326">
        <v>0</v>
      </c>
      <c r="AJ8" s="326">
        <v>0</v>
      </c>
      <c r="AK8" s="326">
        <v>0</v>
      </c>
      <c r="AL8" s="326">
        <v>0</v>
      </c>
      <c r="AM8" s="326">
        <v>0</v>
      </c>
      <c r="AN8" s="326">
        <v>0</v>
      </c>
      <c r="AO8" s="326">
        <v>0</v>
      </c>
      <c r="AP8" s="326">
        <v>0</v>
      </c>
      <c r="AQ8" s="326">
        <v>0</v>
      </c>
      <c r="AR8" s="326">
        <v>0</v>
      </c>
      <c r="AS8" s="326">
        <f t="shared" si="2"/>
        <v>0</v>
      </c>
      <c r="AT8" s="326">
        <v>0</v>
      </c>
      <c r="AU8" s="326">
        <v>450000</v>
      </c>
      <c r="AV8" s="326">
        <v>0</v>
      </c>
      <c r="AW8" s="326">
        <v>1487500</v>
      </c>
      <c r="AX8" s="326">
        <v>262500</v>
      </c>
      <c r="AY8" s="326">
        <v>0</v>
      </c>
      <c r="AZ8" s="326">
        <v>0</v>
      </c>
      <c r="BA8" s="326">
        <v>0</v>
      </c>
      <c r="BB8" s="326">
        <v>0</v>
      </c>
      <c r="BC8" s="326">
        <v>0</v>
      </c>
      <c r="BD8" s="326">
        <v>0</v>
      </c>
      <c r="BE8" s="326">
        <f t="shared" si="3"/>
        <v>2200000</v>
      </c>
      <c r="BF8" s="326">
        <v>0</v>
      </c>
      <c r="BG8" s="326">
        <v>350000</v>
      </c>
      <c r="BH8" s="326">
        <v>0</v>
      </c>
      <c r="BI8" s="326">
        <v>1487500</v>
      </c>
      <c r="BJ8" s="326">
        <v>262500</v>
      </c>
      <c r="BK8" s="326">
        <v>0</v>
      </c>
      <c r="BL8" s="326">
        <v>0</v>
      </c>
      <c r="BM8" s="326">
        <v>0</v>
      </c>
      <c r="BN8" s="326">
        <v>0</v>
      </c>
      <c r="BO8" s="326">
        <v>0</v>
      </c>
      <c r="BP8" s="326">
        <v>0</v>
      </c>
      <c r="BQ8" s="326">
        <f t="shared" si="4"/>
        <v>2100000</v>
      </c>
      <c r="BR8" s="326">
        <v>0</v>
      </c>
      <c r="BS8" s="326">
        <v>0</v>
      </c>
      <c r="BT8" s="326">
        <v>0</v>
      </c>
      <c r="BU8" s="326">
        <v>0</v>
      </c>
      <c r="BV8" s="326">
        <v>0</v>
      </c>
      <c r="BW8" s="326">
        <v>0</v>
      </c>
      <c r="BX8" s="326">
        <v>0</v>
      </c>
      <c r="BY8" s="326">
        <v>0</v>
      </c>
      <c r="BZ8" s="326">
        <v>0</v>
      </c>
      <c r="CA8" s="326">
        <v>0</v>
      </c>
      <c r="CB8" s="326">
        <v>0</v>
      </c>
      <c r="CC8" s="326">
        <f t="shared" si="5"/>
        <v>0</v>
      </c>
      <c r="CD8" s="329">
        <v>0</v>
      </c>
      <c r="CE8" s="329">
        <v>0</v>
      </c>
      <c r="CF8" s="329">
        <v>0</v>
      </c>
      <c r="CG8" s="329">
        <v>0</v>
      </c>
      <c r="CH8" s="329">
        <v>0</v>
      </c>
      <c r="CI8" s="329">
        <v>0</v>
      </c>
      <c r="CJ8" s="329">
        <v>0</v>
      </c>
      <c r="CK8" s="329">
        <v>0</v>
      </c>
      <c r="CL8" s="329">
        <v>0</v>
      </c>
      <c r="CM8" s="329">
        <v>0</v>
      </c>
      <c r="CN8" s="329">
        <v>0</v>
      </c>
      <c r="CO8" s="359">
        <f t="shared" si="6"/>
        <v>0</v>
      </c>
      <c r="CP8" s="329">
        <v>0</v>
      </c>
      <c r="CQ8" s="329">
        <v>0</v>
      </c>
      <c r="CR8" s="329">
        <v>0</v>
      </c>
      <c r="CS8" s="329">
        <v>0</v>
      </c>
      <c r="CT8" s="329">
        <v>0</v>
      </c>
      <c r="CU8" s="329">
        <v>0</v>
      </c>
      <c r="CV8" s="329">
        <v>0</v>
      </c>
      <c r="CW8" s="329">
        <v>0</v>
      </c>
      <c r="CX8" s="329">
        <v>0</v>
      </c>
      <c r="CY8" s="329">
        <v>0</v>
      </c>
      <c r="CZ8" s="329">
        <v>0</v>
      </c>
      <c r="DA8" s="359">
        <f t="shared" si="11"/>
        <v>0</v>
      </c>
      <c r="DB8" s="329">
        <v>0</v>
      </c>
      <c r="DC8" s="329">
        <v>0</v>
      </c>
      <c r="DD8" s="329">
        <v>0</v>
      </c>
      <c r="DE8" s="329">
        <v>0</v>
      </c>
      <c r="DF8" s="329">
        <v>0</v>
      </c>
      <c r="DG8" s="329">
        <v>0</v>
      </c>
      <c r="DH8" s="329">
        <v>0</v>
      </c>
      <c r="DI8" s="329">
        <v>0</v>
      </c>
      <c r="DJ8" s="329">
        <v>0</v>
      </c>
      <c r="DK8" s="329">
        <v>0</v>
      </c>
      <c r="DL8" s="329">
        <v>0</v>
      </c>
      <c r="DM8" s="359">
        <f t="shared" si="7"/>
        <v>0</v>
      </c>
      <c r="DN8" s="329">
        <v>0</v>
      </c>
      <c r="DO8" s="329">
        <v>0</v>
      </c>
      <c r="DP8" s="329">
        <v>0</v>
      </c>
      <c r="DQ8" s="329">
        <v>0</v>
      </c>
      <c r="DR8" s="329">
        <v>0</v>
      </c>
      <c r="DS8" s="329">
        <v>0</v>
      </c>
      <c r="DT8" s="329">
        <v>0</v>
      </c>
      <c r="DU8" s="329">
        <v>0</v>
      </c>
      <c r="DV8" s="329">
        <v>0</v>
      </c>
      <c r="DW8" s="329">
        <v>0</v>
      </c>
      <c r="DX8" s="329">
        <v>0</v>
      </c>
      <c r="DY8" s="359">
        <f t="shared" si="8"/>
        <v>0</v>
      </c>
      <c r="DZ8" s="329">
        <v>0</v>
      </c>
      <c r="EA8" s="329">
        <v>0</v>
      </c>
      <c r="EB8" s="329">
        <v>0</v>
      </c>
      <c r="EC8" s="329">
        <v>0</v>
      </c>
      <c r="ED8" s="329">
        <v>0</v>
      </c>
      <c r="EE8" s="329">
        <v>0</v>
      </c>
      <c r="EF8" s="329">
        <v>0</v>
      </c>
      <c r="EG8" s="329">
        <v>0</v>
      </c>
      <c r="EH8" s="329">
        <v>0</v>
      </c>
      <c r="EI8" s="329">
        <v>0</v>
      </c>
      <c r="EJ8" s="329">
        <v>0</v>
      </c>
      <c r="EK8" s="383">
        <f t="shared" si="9"/>
        <v>0</v>
      </c>
    </row>
    <row r="9" spans="1:141" ht="105" x14ac:dyDescent="0.25">
      <c r="A9" s="93"/>
      <c r="B9" s="397"/>
      <c r="C9" s="56"/>
      <c r="D9" s="56"/>
      <c r="E9" s="56" t="s">
        <v>1384</v>
      </c>
      <c r="F9" s="414" t="s">
        <v>1042</v>
      </c>
      <c r="G9" s="400"/>
      <c r="H9" s="400"/>
      <c r="I9" s="56" t="s">
        <v>1007</v>
      </c>
      <c r="J9" s="326">
        <f t="shared" si="10"/>
        <v>2000000</v>
      </c>
      <c r="K9" s="326">
        <v>0</v>
      </c>
      <c r="L9" s="326">
        <v>0</v>
      </c>
      <c r="M9" s="326">
        <v>0</v>
      </c>
      <c r="N9" s="326">
        <v>0</v>
      </c>
      <c r="O9" s="326">
        <v>0</v>
      </c>
      <c r="P9" s="326">
        <v>0</v>
      </c>
      <c r="Q9" s="326">
        <v>0</v>
      </c>
      <c r="R9" s="326">
        <v>0</v>
      </c>
      <c r="S9" s="326">
        <v>0</v>
      </c>
      <c r="T9" s="326">
        <v>0</v>
      </c>
      <c r="U9" s="326">
        <f>SUM(K9:T9)</f>
        <v>0</v>
      </c>
      <c r="V9" s="326">
        <v>0</v>
      </c>
      <c r="W9" s="326">
        <v>0</v>
      </c>
      <c r="X9" s="326">
        <v>0</v>
      </c>
      <c r="Y9" s="326">
        <v>0</v>
      </c>
      <c r="Z9" s="326">
        <v>0</v>
      </c>
      <c r="AA9" s="326">
        <v>0</v>
      </c>
      <c r="AB9" s="326">
        <v>0</v>
      </c>
      <c r="AC9" s="326">
        <v>0</v>
      </c>
      <c r="AD9" s="326">
        <v>0</v>
      </c>
      <c r="AE9" s="326">
        <v>0</v>
      </c>
      <c r="AF9" s="326">
        <v>0</v>
      </c>
      <c r="AG9" s="326">
        <f>SUM(V9:AF9)</f>
        <v>0</v>
      </c>
      <c r="AH9" s="326">
        <v>0</v>
      </c>
      <c r="AI9" s="326">
        <v>0</v>
      </c>
      <c r="AJ9" s="326">
        <v>0</v>
      </c>
      <c r="AK9" s="326">
        <v>0</v>
      </c>
      <c r="AL9" s="326">
        <v>0</v>
      </c>
      <c r="AM9" s="326">
        <v>0</v>
      </c>
      <c r="AN9" s="326">
        <v>0</v>
      </c>
      <c r="AO9" s="326">
        <v>0</v>
      </c>
      <c r="AP9" s="326">
        <v>0</v>
      </c>
      <c r="AQ9" s="326">
        <v>0</v>
      </c>
      <c r="AR9" s="326">
        <v>0</v>
      </c>
      <c r="AS9" s="326">
        <f>SUM(AH9:AR9)</f>
        <v>0</v>
      </c>
      <c r="AT9" s="326">
        <v>0</v>
      </c>
      <c r="AU9" s="326">
        <v>300000</v>
      </c>
      <c r="AV9" s="326">
        <v>0</v>
      </c>
      <c r="AW9" s="326">
        <v>637500</v>
      </c>
      <c r="AX9" s="326">
        <v>112500</v>
      </c>
      <c r="AY9" s="326">
        <v>0</v>
      </c>
      <c r="AZ9" s="326">
        <v>0</v>
      </c>
      <c r="BA9" s="326">
        <v>0</v>
      </c>
      <c r="BB9" s="326">
        <v>0</v>
      </c>
      <c r="BC9" s="326">
        <v>0</v>
      </c>
      <c r="BD9" s="326">
        <v>0</v>
      </c>
      <c r="BE9" s="326">
        <f>SUM(AT9:BD9)</f>
        <v>1050000</v>
      </c>
      <c r="BF9" s="326">
        <v>0</v>
      </c>
      <c r="BG9" s="326">
        <v>200000</v>
      </c>
      <c r="BH9" s="326">
        <v>0</v>
      </c>
      <c r="BI9" s="326">
        <v>637500</v>
      </c>
      <c r="BJ9" s="326">
        <v>112500</v>
      </c>
      <c r="BK9" s="326">
        <v>0</v>
      </c>
      <c r="BL9" s="326">
        <v>0</v>
      </c>
      <c r="BM9" s="326">
        <v>0</v>
      </c>
      <c r="BN9" s="326">
        <v>0</v>
      </c>
      <c r="BO9" s="326">
        <v>0</v>
      </c>
      <c r="BP9" s="326">
        <v>0</v>
      </c>
      <c r="BQ9" s="326">
        <f>SUM(BF9:BP9)</f>
        <v>950000</v>
      </c>
      <c r="BR9" s="326">
        <v>0</v>
      </c>
      <c r="BS9" s="326">
        <v>0</v>
      </c>
      <c r="BT9" s="326">
        <v>0</v>
      </c>
      <c r="BU9" s="326">
        <v>0</v>
      </c>
      <c r="BV9" s="326">
        <v>0</v>
      </c>
      <c r="BW9" s="326">
        <v>0</v>
      </c>
      <c r="BX9" s="326">
        <v>0</v>
      </c>
      <c r="BY9" s="326">
        <v>0</v>
      </c>
      <c r="BZ9" s="326">
        <v>0</v>
      </c>
      <c r="CA9" s="326">
        <v>0</v>
      </c>
      <c r="CB9" s="326">
        <v>0</v>
      </c>
      <c r="CC9" s="326">
        <f>SUM(BR9:CB9)</f>
        <v>0</v>
      </c>
      <c r="CD9" s="329">
        <v>0</v>
      </c>
      <c r="CE9" s="329">
        <v>0</v>
      </c>
      <c r="CF9" s="329">
        <v>0</v>
      </c>
      <c r="CG9" s="329">
        <v>0</v>
      </c>
      <c r="CH9" s="329">
        <v>0</v>
      </c>
      <c r="CI9" s="329">
        <v>0</v>
      </c>
      <c r="CJ9" s="329">
        <v>0</v>
      </c>
      <c r="CK9" s="329">
        <v>0</v>
      </c>
      <c r="CL9" s="329">
        <v>0</v>
      </c>
      <c r="CM9" s="329">
        <v>0</v>
      </c>
      <c r="CN9" s="329">
        <v>0</v>
      </c>
      <c r="CO9" s="359">
        <f t="shared" si="6"/>
        <v>0</v>
      </c>
      <c r="CP9" s="329">
        <v>0</v>
      </c>
      <c r="CQ9" s="329">
        <v>0</v>
      </c>
      <c r="CR9" s="329">
        <v>0</v>
      </c>
      <c r="CS9" s="329">
        <v>0</v>
      </c>
      <c r="CT9" s="329">
        <v>0</v>
      </c>
      <c r="CU9" s="329">
        <v>0</v>
      </c>
      <c r="CV9" s="329">
        <v>0</v>
      </c>
      <c r="CW9" s="329">
        <v>0</v>
      </c>
      <c r="CX9" s="329">
        <v>0</v>
      </c>
      <c r="CY9" s="329">
        <v>0</v>
      </c>
      <c r="CZ9" s="329">
        <v>0</v>
      </c>
      <c r="DA9" s="359">
        <f t="shared" si="11"/>
        <v>0</v>
      </c>
      <c r="DB9" s="329">
        <v>0</v>
      </c>
      <c r="DC9" s="329">
        <v>0</v>
      </c>
      <c r="DD9" s="329">
        <v>0</v>
      </c>
      <c r="DE9" s="329">
        <v>0</v>
      </c>
      <c r="DF9" s="329">
        <v>0</v>
      </c>
      <c r="DG9" s="329">
        <v>0</v>
      </c>
      <c r="DH9" s="329">
        <v>0</v>
      </c>
      <c r="DI9" s="329">
        <v>0</v>
      </c>
      <c r="DJ9" s="329">
        <v>0</v>
      </c>
      <c r="DK9" s="329">
        <v>0</v>
      </c>
      <c r="DL9" s="329">
        <v>0</v>
      </c>
      <c r="DM9" s="359">
        <f t="shared" si="7"/>
        <v>0</v>
      </c>
      <c r="DN9" s="329">
        <v>0</v>
      </c>
      <c r="DO9" s="329">
        <v>0</v>
      </c>
      <c r="DP9" s="329">
        <v>0</v>
      </c>
      <c r="DQ9" s="329">
        <v>0</v>
      </c>
      <c r="DR9" s="329">
        <v>0</v>
      </c>
      <c r="DS9" s="329">
        <v>0</v>
      </c>
      <c r="DT9" s="329">
        <v>0</v>
      </c>
      <c r="DU9" s="329">
        <v>0</v>
      </c>
      <c r="DV9" s="329">
        <v>0</v>
      </c>
      <c r="DW9" s="329">
        <v>0</v>
      </c>
      <c r="DX9" s="329">
        <v>0</v>
      </c>
      <c r="DY9" s="359">
        <f t="shared" si="8"/>
        <v>0</v>
      </c>
      <c r="DZ9" s="329">
        <v>0</v>
      </c>
      <c r="EA9" s="329">
        <v>0</v>
      </c>
      <c r="EB9" s="329">
        <v>0</v>
      </c>
      <c r="EC9" s="329">
        <v>0</v>
      </c>
      <c r="ED9" s="329">
        <v>0</v>
      </c>
      <c r="EE9" s="329">
        <v>0</v>
      </c>
      <c r="EF9" s="329">
        <v>0</v>
      </c>
      <c r="EG9" s="329">
        <v>0</v>
      </c>
      <c r="EH9" s="329">
        <v>0</v>
      </c>
      <c r="EI9" s="329">
        <v>0</v>
      </c>
      <c r="EJ9" s="329">
        <v>0</v>
      </c>
      <c r="EK9" s="383">
        <f t="shared" si="9"/>
        <v>0</v>
      </c>
    </row>
    <row r="10" spans="1:141" ht="105.75" thickBot="1" x14ac:dyDescent="0.3">
      <c r="A10" s="94"/>
      <c r="B10" s="415"/>
      <c r="C10" s="416"/>
      <c r="D10" s="416"/>
      <c r="E10" s="416" t="s">
        <v>1384</v>
      </c>
      <c r="F10" s="417" t="s">
        <v>1048</v>
      </c>
      <c r="G10" s="418"/>
      <c r="H10" s="418"/>
      <c r="I10" s="416" t="s">
        <v>1051</v>
      </c>
      <c r="J10" s="419">
        <f t="shared" si="10"/>
        <v>138929.02666666667</v>
      </c>
      <c r="K10" s="419">
        <v>0</v>
      </c>
      <c r="L10" s="419">
        <v>0</v>
      </c>
      <c r="M10" s="419">
        <v>0</v>
      </c>
      <c r="N10" s="419">
        <v>0</v>
      </c>
      <c r="O10" s="419">
        <v>0</v>
      </c>
      <c r="P10" s="419">
        <v>0</v>
      </c>
      <c r="Q10" s="419">
        <v>0</v>
      </c>
      <c r="R10" s="419">
        <v>0</v>
      </c>
      <c r="S10" s="419">
        <v>0</v>
      </c>
      <c r="T10" s="419">
        <v>2920.36</v>
      </c>
      <c r="U10" s="419">
        <f>SUM(K10:T10)</f>
        <v>2920.36</v>
      </c>
      <c r="V10" s="419">
        <v>0</v>
      </c>
      <c r="W10" s="419">
        <v>0</v>
      </c>
      <c r="X10" s="419">
        <v>0</v>
      </c>
      <c r="Y10" s="419">
        <v>37282.71</v>
      </c>
      <c r="Z10" s="419">
        <v>6579.29</v>
      </c>
      <c r="AA10" s="419">
        <v>0</v>
      </c>
      <c r="AB10" s="419">
        <v>0</v>
      </c>
      <c r="AC10" s="419">
        <v>0</v>
      </c>
      <c r="AD10" s="419">
        <v>0</v>
      </c>
      <c r="AE10" s="419">
        <v>0</v>
      </c>
      <c r="AF10" s="419">
        <v>0</v>
      </c>
      <c r="AG10" s="419">
        <f>SUM(V10:AF10)</f>
        <v>43862</v>
      </c>
      <c r="AH10" s="419">
        <v>0</v>
      </c>
      <c r="AI10" s="419">
        <v>0</v>
      </c>
      <c r="AJ10" s="419">
        <v>0</v>
      </c>
      <c r="AK10" s="419">
        <v>78324.666666666672</v>
      </c>
      <c r="AL10" s="419">
        <v>13822</v>
      </c>
      <c r="AM10" s="419">
        <v>0</v>
      </c>
      <c r="AN10" s="419">
        <v>0</v>
      </c>
      <c r="AO10" s="419">
        <v>0</v>
      </c>
      <c r="AP10" s="419">
        <v>0</v>
      </c>
      <c r="AQ10" s="419">
        <v>0</v>
      </c>
      <c r="AR10" s="419">
        <v>0</v>
      </c>
      <c r="AS10" s="419">
        <f>SUM(AH10:AR10)</f>
        <v>92146.666666666672</v>
      </c>
      <c r="AT10" s="419">
        <v>0</v>
      </c>
      <c r="AU10" s="419">
        <v>0</v>
      </c>
      <c r="AV10" s="419">
        <v>0</v>
      </c>
      <c r="AW10" s="419">
        <v>0</v>
      </c>
      <c r="AX10" s="419">
        <v>0</v>
      </c>
      <c r="AY10" s="419">
        <v>0</v>
      </c>
      <c r="AZ10" s="419">
        <v>0</v>
      </c>
      <c r="BA10" s="419">
        <v>0</v>
      </c>
      <c r="BB10" s="419">
        <v>0</v>
      </c>
      <c r="BC10" s="419">
        <v>0</v>
      </c>
      <c r="BD10" s="419">
        <v>0</v>
      </c>
      <c r="BE10" s="419">
        <f>SUM(AT10:BD10)</f>
        <v>0</v>
      </c>
      <c r="BF10" s="419">
        <v>0</v>
      </c>
      <c r="BG10" s="419">
        <v>0</v>
      </c>
      <c r="BH10" s="419">
        <v>0</v>
      </c>
      <c r="BI10" s="419">
        <v>0</v>
      </c>
      <c r="BJ10" s="419">
        <v>0</v>
      </c>
      <c r="BK10" s="419">
        <v>0</v>
      </c>
      <c r="BL10" s="419">
        <v>0</v>
      </c>
      <c r="BM10" s="419">
        <v>0</v>
      </c>
      <c r="BN10" s="419">
        <v>0</v>
      </c>
      <c r="BO10" s="419">
        <v>0</v>
      </c>
      <c r="BP10" s="419">
        <v>0</v>
      </c>
      <c r="BQ10" s="419">
        <f>SUM(BF10:BP10)</f>
        <v>0</v>
      </c>
      <c r="BR10" s="419">
        <v>0</v>
      </c>
      <c r="BS10" s="419">
        <v>0</v>
      </c>
      <c r="BT10" s="419">
        <v>0</v>
      </c>
      <c r="BU10" s="419">
        <v>0</v>
      </c>
      <c r="BV10" s="419">
        <v>0</v>
      </c>
      <c r="BW10" s="419">
        <v>0</v>
      </c>
      <c r="BX10" s="419">
        <v>0</v>
      </c>
      <c r="BY10" s="419">
        <v>0</v>
      </c>
      <c r="BZ10" s="419">
        <v>0</v>
      </c>
      <c r="CA10" s="419">
        <v>0</v>
      </c>
      <c r="CB10" s="419">
        <v>0</v>
      </c>
      <c r="CC10" s="419">
        <f>SUM(BR10:CB10)</f>
        <v>0</v>
      </c>
      <c r="CD10" s="419">
        <v>0</v>
      </c>
      <c r="CE10" s="419">
        <v>0</v>
      </c>
      <c r="CF10" s="419">
        <v>0</v>
      </c>
      <c r="CG10" s="419">
        <v>0</v>
      </c>
      <c r="CH10" s="419">
        <v>0</v>
      </c>
      <c r="CI10" s="419">
        <v>0</v>
      </c>
      <c r="CJ10" s="419">
        <v>0</v>
      </c>
      <c r="CK10" s="419">
        <v>0</v>
      </c>
      <c r="CL10" s="419">
        <v>0</v>
      </c>
      <c r="CM10" s="419">
        <v>0</v>
      </c>
      <c r="CN10" s="419">
        <v>0</v>
      </c>
      <c r="CO10" s="420">
        <f t="shared" si="6"/>
        <v>0</v>
      </c>
      <c r="CP10" s="419">
        <v>0</v>
      </c>
      <c r="CQ10" s="419">
        <v>0</v>
      </c>
      <c r="CR10" s="419">
        <v>0</v>
      </c>
      <c r="CS10" s="419">
        <v>0</v>
      </c>
      <c r="CT10" s="419">
        <v>0</v>
      </c>
      <c r="CU10" s="419">
        <v>0</v>
      </c>
      <c r="CV10" s="419">
        <v>0</v>
      </c>
      <c r="CW10" s="419">
        <v>0</v>
      </c>
      <c r="CX10" s="419">
        <v>0</v>
      </c>
      <c r="CY10" s="419">
        <v>0</v>
      </c>
      <c r="CZ10" s="419">
        <v>0</v>
      </c>
      <c r="DA10" s="420">
        <f t="shared" si="11"/>
        <v>0</v>
      </c>
      <c r="DB10" s="419">
        <v>0</v>
      </c>
      <c r="DC10" s="419">
        <v>0</v>
      </c>
      <c r="DD10" s="419">
        <v>0</v>
      </c>
      <c r="DE10" s="419">
        <v>0</v>
      </c>
      <c r="DF10" s="419">
        <v>0</v>
      </c>
      <c r="DG10" s="419">
        <v>0</v>
      </c>
      <c r="DH10" s="419">
        <v>0</v>
      </c>
      <c r="DI10" s="419">
        <v>0</v>
      </c>
      <c r="DJ10" s="419">
        <v>0</v>
      </c>
      <c r="DK10" s="419">
        <v>0</v>
      </c>
      <c r="DL10" s="419">
        <v>0</v>
      </c>
      <c r="DM10" s="420">
        <f t="shared" si="7"/>
        <v>0</v>
      </c>
      <c r="DN10" s="419">
        <v>0</v>
      </c>
      <c r="DO10" s="419">
        <v>0</v>
      </c>
      <c r="DP10" s="419">
        <v>0</v>
      </c>
      <c r="DQ10" s="419">
        <v>0</v>
      </c>
      <c r="DR10" s="419">
        <v>0</v>
      </c>
      <c r="DS10" s="419">
        <v>0</v>
      </c>
      <c r="DT10" s="419">
        <v>0</v>
      </c>
      <c r="DU10" s="419">
        <v>0</v>
      </c>
      <c r="DV10" s="419">
        <v>0</v>
      </c>
      <c r="DW10" s="419">
        <v>0</v>
      </c>
      <c r="DX10" s="419">
        <v>0</v>
      </c>
      <c r="DY10" s="420">
        <f t="shared" si="8"/>
        <v>0</v>
      </c>
      <c r="DZ10" s="419">
        <v>0</v>
      </c>
      <c r="EA10" s="419">
        <v>0</v>
      </c>
      <c r="EB10" s="419">
        <v>0</v>
      </c>
      <c r="EC10" s="419">
        <v>0</v>
      </c>
      <c r="ED10" s="419">
        <v>0</v>
      </c>
      <c r="EE10" s="419">
        <v>0</v>
      </c>
      <c r="EF10" s="419">
        <v>0</v>
      </c>
      <c r="EG10" s="419">
        <v>0</v>
      </c>
      <c r="EH10" s="419">
        <v>0</v>
      </c>
      <c r="EI10" s="419">
        <v>0</v>
      </c>
      <c r="EJ10" s="419">
        <v>0</v>
      </c>
      <c r="EK10" s="383">
        <f t="shared" si="9"/>
        <v>0</v>
      </c>
    </row>
    <row r="11" spans="1:141" ht="15.75" thickBot="1" x14ac:dyDescent="0.3">
      <c r="A11" s="106" t="s">
        <v>1209</v>
      </c>
      <c r="B11" s="179"/>
      <c r="C11" s="179"/>
      <c r="D11" s="179"/>
      <c r="E11" s="179"/>
      <c r="F11" s="421"/>
      <c r="G11" s="422"/>
      <c r="H11" s="423"/>
      <c r="I11" s="423"/>
      <c r="J11" s="424">
        <f>SUM(J3:J10)</f>
        <v>25120493.956666667</v>
      </c>
      <c r="K11" s="425">
        <f t="shared" ref="K11:BV11" si="12">SUM(K3:K10)</f>
        <v>0</v>
      </c>
      <c r="L11" s="425">
        <f t="shared" si="12"/>
        <v>647993.68999999994</v>
      </c>
      <c r="M11" s="425">
        <f t="shared" si="12"/>
        <v>0</v>
      </c>
      <c r="N11" s="425">
        <f t="shared" si="12"/>
        <v>297061.40999999997</v>
      </c>
      <c r="O11" s="425">
        <f t="shared" si="12"/>
        <v>52422.59</v>
      </c>
      <c r="P11" s="425">
        <f t="shared" si="12"/>
        <v>0</v>
      </c>
      <c r="Q11" s="425">
        <f t="shared" si="12"/>
        <v>0</v>
      </c>
      <c r="R11" s="425">
        <f t="shared" si="12"/>
        <v>0</v>
      </c>
      <c r="S11" s="425">
        <f t="shared" si="12"/>
        <v>0</v>
      </c>
      <c r="T11" s="425">
        <f t="shared" si="12"/>
        <v>11643.6</v>
      </c>
      <c r="U11" s="425">
        <f t="shared" si="12"/>
        <v>1009121.2899999999</v>
      </c>
      <c r="V11" s="425">
        <f t="shared" si="12"/>
        <v>0</v>
      </c>
      <c r="W11" s="425">
        <f t="shared" si="12"/>
        <v>0</v>
      </c>
      <c r="X11" s="425">
        <f t="shared" si="12"/>
        <v>0</v>
      </c>
      <c r="Y11" s="425">
        <f t="shared" si="12"/>
        <v>37282.71</v>
      </c>
      <c r="Z11" s="425">
        <f t="shared" si="12"/>
        <v>6579.29</v>
      </c>
      <c r="AA11" s="425">
        <f t="shared" si="12"/>
        <v>0</v>
      </c>
      <c r="AB11" s="425">
        <f t="shared" si="12"/>
        <v>0</v>
      </c>
      <c r="AC11" s="425">
        <f t="shared" si="12"/>
        <v>0</v>
      </c>
      <c r="AD11" s="425">
        <f t="shared" si="12"/>
        <v>0</v>
      </c>
      <c r="AE11" s="425">
        <f t="shared" si="12"/>
        <v>0</v>
      </c>
      <c r="AF11" s="425">
        <f t="shared" si="12"/>
        <v>0</v>
      </c>
      <c r="AG11" s="425">
        <f t="shared" si="12"/>
        <v>43862</v>
      </c>
      <c r="AH11" s="425">
        <f t="shared" si="12"/>
        <v>0</v>
      </c>
      <c r="AI11" s="425">
        <f t="shared" si="12"/>
        <v>0</v>
      </c>
      <c r="AJ11" s="425">
        <f t="shared" si="12"/>
        <v>0</v>
      </c>
      <c r="AK11" s="425">
        <f t="shared" si="12"/>
        <v>3974157.9999999995</v>
      </c>
      <c r="AL11" s="425">
        <f t="shared" si="12"/>
        <v>701322</v>
      </c>
      <c r="AM11" s="425">
        <f t="shared" si="12"/>
        <v>0</v>
      </c>
      <c r="AN11" s="425">
        <f t="shared" si="12"/>
        <v>0</v>
      </c>
      <c r="AO11" s="425">
        <f t="shared" si="12"/>
        <v>0</v>
      </c>
      <c r="AP11" s="425">
        <f t="shared" si="12"/>
        <v>0</v>
      </c>
      <c r="AQ11" s="425">
        <f t="shared" si="12"/>
        <v>0</v>
      </c>
      <c r="AR11" s="425">
        <f t="shared" si="12"/>
        <v>0</v>
      </c>
      <c r="AS11" s="425">
        <f t="shared" si="12"/>
        <v>4675480</v>
      </c>
      <c r="AT11" s="425">
        <f t="shared" si="12"/>
        <v>0</v>
      </c>
      <c r="AU11" s="425">
        <f t="shared" si="12"/>
        <v>1950000</v>
      </c>
      <c r="AV11" s="425">
        <f t="shared" si="12"/>
        <v>0</v>
      </c>
      <c r="AW11" s="425">
        <f t="shared" si="12"/>
        <v>8661385.25</v>
      </c>
      <c r="AX11" s="425">
        <f t="shared" si="12"/>
        <v>1528479.75</v>
      </c>
      <c r="AY11" s="425">
        <f t="shared" si="12"/>
        <v>0</v>
      </c>
      <c r="AZ11" s="425">
        <f t="shared" si="12"/>
        <v>0</v>
      </c>
      <c r="BA11" s="425">
        <f t="shared" si="12"/>
        <v>0</v>
      </c>
      <c r="BB11" s="425">
        <f t="shared" si="12"/>
        <v>0</v>
      </c>
      <c r="BC11" s="425">
        <f t="shared" si="12"/>
        <v>0</v>
      </c>
      <c r="BD11" s="425">
        <f t="shared" si="12"/>
        <v>0</v>
      </c>
      <c r="BE11" s="425">
        <f t="shared" si="12"/>
        <v>12139865</v>
      </c>
      <c r="BF11" s="425">
        <f t="shared" si="12"/>
        <v>0</v>
      </c>
      <c r="BG11" s="425">
        <f t="shared" si="12"/>
        <v>1550000</v>
      </c>
      <c r="BH11" s="425">
        <f t="shared" si="12"/>
        <v>0</v>
      </c>
      <c r="BI11" s="425">
        <f t="shared" si="12"/>
        <v>4846840.8166666664</v>
      </c>
      <c r="BJ11" s="425">
        <f t="shared" si="12"/>
        <v>855324.85</v>
      </c>
      <c r="BK11" s="425">
        <f t="shared" si="12"/>
        <v>0</v>
      </c>
      <c r="BL11" s="425">
        <f t="shared" si="12"/>
        <v>0</v>
      </c>
      <c r="BM11" s="425">
        <f t="shared" si="12"/>
        <v>0</v>
      </c>
      <c r="BN11" s="425">
        <f t="shared" si="12"/>
        <v>0</v>
      </c>
      <c r="BO11" s="425">
        <f t="shared" si="12"/>
        <v>0</v>
      </c>
      <c r="BP11" s="425">
        <f t="shared" si="12"/>
        <v>0</v>
      </c>
      <c r="BQ11" s="425">
        <f t="shared" si="12"/>
        <v>7252165.666666666</v>
      </c>
      <c r="BR11" s="425">
        <f t="shared" si="12"/>
        <v>0</v>
      </c>
      <c r="BS11" s="425">
        <f t="shared" si="12"/>
        <v>0</v>
      </c>
      <c r="BT11" s="425">
        <f t="shared" si="12"/>
        <v>0</v>
      </c>
      <c r="BU11" s="425">
        <f t="shared" si="12"/>
        <v>0</v>
      </c>
      <c r="BV11" s="425">
        <f t="shared" si="12"/>
        <v>0</v>
      </c>
      <c r="BW11" s="425">
        <f t="shared" ref="BW11:EH11" si="13">SUM(BW3:BW10)</f>
        <v>0</v>
      </c>
      <c r="BX11" s="425">
        <f t="shared" si="13"/>
        <v>0</v>
      </c>
      <c r="BY11" s="425">
        <f t="shared" si="13"/>
        <v>0</v>
      </c>
      <c r="BZ11" s="425">
        <f t="shared" si="13"/>
        <v>0</v>
      </c>
      <c r="CA11" s="425">
        <f t="shared" si="13"/>
        <v>0</v>
      </c>
      <c r="CB11" s="425">
        <f t="shared" si="13"/>
        <v>0</v>
      </c>
      <c r="CC11" s="425">
        <f t="shared" si="13"/>
        <v>0</v>
      </c>
      <c r="CD11" s="425">
        <f t="shared" si="13"/>
        <v>0</v>
      </c>
      <c r="CE11" s="425">
        <f t="shared" si="13"/>
        <v>0</v>
      </c>
      <c r="CF11" s="425">
        <f t="shared" si="13"/>
        <v>0</v>
      </c>
      <c r="CG11" s="425">
        <f t="shared" si="13"/>
        <v>0</v>
      </c>
      <c r="CH11" s="425">
        <f t="shared" si="13"/>
        <v>0</v>
      </c>
      <c r="CI11" s="425">
        <f t="shared" si="13"/>
        <v>0</v>
      </c>
      <c r="CJ11" s="425">
        <f t="shared" si="13"/>
        <v>0</v>
      </c>
      <c r="CK11" s="425">
        <f t="shared" si="13"/>
        <v>0</v>
      </c>
      <c r="CL11" s="425">
        <f t="shared" si="13"/>
        <v>0</v>
      </c>
      <c r="CM11" s="425">
        <f t="shared" si="13"/>
        <v>0</v>
      </c>
      <c r="CN11" s="425">
        <f t="shared" si="13"/>
        <v>0</v>
      </c>
      <c r="CO11" s="425">
        <f t="shared" si="13"/>
        <v>0</v>
      </c>
      <c r="CP11" s="425">
        <f t="shared" si="13"/>
        <v>0</v>
      </c>
      <c r="CQ11" s="425">
        <f t="shared" si="13"/>
        <v>0</v>
      </c>
      <c r="CR11" s="425">
        <f t="shared" si="13"/>
        <v>0</v>
      </c>
      <c r="CS11" s="425">
        <f t="shared" si="13"/>
        <v>0</v>
      </c>
      <c r="CT11" s="425">
        <f t="shared" si="13"/>
        <v>0</v>
      </c>
      <c r="CU11" s="425">
        <f t="shared" si="13"/>
        <v>0</v>
      </c>
      <c r="CV11" s="425">
        <f t="shared" si="13"/>
        <v>0</v>
      </c>
      <c r="CW11" s="425">
        <f t="shared" si="13"/>
        <v>0</v>
      </c>
      <c r="CX11" s="425">
        <f t="shared" si="13"/>
        <v>0</v>
      </c>
      <c r="CY11" s="425">
        <f t="shared" si="13"/>
        <v>0</v>
      </c>
      <c r="CZ11" s="425">
        <f t="shared" si="13"/>
        <v>0</v>
      </c>
      <c r="DA11" s="425">
        <f t="shared" si="13"/>
        <v>0</v>
      </c>
      <c r="DB11" s="425">
        <f t="shared" si="13"/>
        <v>0</v>
      </c>
      <c r="DC11" s="425">
        <f t="shared" si="13"/>
        <v>0</v>
      </c>
      <c r="DD11" s="425">
        <f t="shared" si="13"/>
        <v>0</v>
      </c>
      <c r="DE11" s="425">
        <f t="shared" si="13"/>
        <v>0</v>
      </c>
      <c r="DF11" s="425">
        <f t="shared" si="13"/>
        <v>0</v>
      </c>
      <c r="DG11" s="425">
        <f t="shared" si="13"/>
        <v>0</v>
      </c>
      <c r="DH11" s="425">
        <f t="shared" si="13"/>
        <v>0</v>
      </c>
      <c r="DI11" s="425">
        <f t="shared" si="13"/>
        <v>0</v>
      </c>
      <c r="DJ11" s="425">
        <f t="shared" si="13"/>
        <v>0</v>
      </c>
      <c r="DK11" s="425">
        <f t="shared" si="13"/>
        <v>0</v>
      </c>
      <c r="DL11" s="425">
        <f t="shared" si="13"/>
        <v>0</v>
      </c>
      <c r="DM11" s="425">
        <f t="shared" si="13"/>
        <v>0</v>
      </c>
      <c r="DN11" s="425">
        <f t="shared" si="13"/>
        <v>0</v>
      </c>
      <c r="DO11" s="425">
        <f t="shared" si="13"/>
        <v>0</v>
      </c>
      <c r="DP11" s="425">
        <f t="shared" si="13"/>
        <v>0</v>
      </c>
      <c r="DQ11" s="425">
        <f t="shared" si="13"/>
        <v>0</v>
      </c>
      <c r="DR11" s="425">
        <f t="shared" si="13"/>
        <v>0</v>
      </c>
      <c r="DS11" s="425">
        <f t="shared" si="13"/>
        <v>0</v>
      </c>
      <c r="DT11" s="425">
        <f t="shared" si="13"/>
        <v>0</v>
      </c>
      <c r="DU11" s="425">
        <f t="shared" si="13"/>
        <v>0</v>
      </c>
      <c r="DV11" s="425">
        <f t="shared" si="13"/>
        <v>0</v>
      </c>
      <c r="DW11" s="425">
        <f t="shared" si="13"/>
        <v>0</v>
      </c>
      <c r="DX11" s="425">
        <f t="shared" si="13"/>
        <v>0</v>
      </c>
      <c r="DY11" s="425">
        <f t="shared" si="13"/>
        <v>0</v>
      </c>
      <c r="DZ11" s="425">
        <f t="shared" si="13"/>
        <v>0</v>
      </c>
      <c r="EA11" s="425">
        <f t="shared" si="13"/>
        <v>0</v>
      </c>
      <c r="EB11" s="425">
        <f t="shared" si="13"/>
        <v>0</v>
      </c>
      <c r="EC11" s="425">
        <f t="shared" si="13"/>
        <v>0</v>
      </c>
      <c r="ED11" s="425">
        <f t="shared" si="13"/>
        <v>0</v>
      </c>
      <c r="EE11" s="425">
        <f t="shared" si="13"/>
        <v>0</v>
      </c>
      <c r="EF11" s="425">
        <f t="shared" si="13"/>
        <v>0</v>
      </c>
      <c r="EG11" s="425">
        <f t="shared" si="13"/>
        <v>0</v>
      </c>
      <c r="EH11" s="425">
        <f t="shared" si="13"/>
        <v>0</v>
      </c>
      <c r="EI11" s="425">
        <f>SUM(EI3:EI10)</f>
        <v>0</v>
      </c>
      <c r="EJ11" s="425">
        <f>SUM(EJ3:EJ10)</f>
        <v>0</v>
      </c>
      <c r="EK11" s="426">
        <v>0</v>
      </c>
    </row>
  </sheetData>
  <sheetProtection algorithmName="SHA-512" hashValue="9yEsqCMAPeRpoF5i51X1ks7htxVZbv4Jp4UJZLBuOngu+BhVnMFFToDkffNBXOpU5Cp3vuNG2K8Tj2XbYKihYA==" saltValue="CcNiBGckFPd4iy351m7+JQ==" spinCount="100000" sheet="1" objects="1" scenarios="1"/>
  <autoFilter ref="A2:EK11"/>
  <mergeCells count="11">
    <mergeCell ref="CD1:CN1"/>
    <mergeCell ref="CP1:CZ1"/>
    <mergeCell ref="DB1:DL1"/>
    <mergeCell ref="DN1:DX1"/>
    <mergeCell ref="DZ1:EJ1"/>
    <mergeCell ref="BR1:CB1"/>
    <mergeCell ref="K1:T1"/>
    <mergeCell ref="V1:AF1"/>
    <mergeCell ref="AH1:AR1"/>
    <mergeCell ref="AT1:BD1"/>
    <mergeCell ref="BF1:BP1"/>
  </mergeCells>
  <pageMargins left="0.25" right="0.25" top="0.75" bottom="0.75" header="0.3" footer="0.3"/>
  <pageSetup paperSize="9" scale="31" fitToWidth="3" orientation="landscape" r:id="rId1"/>
  <headerFooter>
    <oddFooter>&amp;LPríloha č. 1_TIOP&amp;R&amp;P l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19"/>
  <sheetViews>
    <sheetView zoomScale="70" zoomScaleNormal="70" workbookViewId="0">
      <pane ySplit="2" topLeftCell="A3" activePane="bottomLeft" state="frozen"/>
      <selection pane="bottomLeft" activeCell="P6" sqref="P6"/>
    </sheetView>
  </sheetViews>
  <sheetFormatPr defaultRowHeight="15" x14ac:dyDescent="0.25"/>
  <cols>
    <col min="1" max="1" width="10.140625" customWidth="1"/>
    <col min="2" max="4" width="9.140625" style="108"/>
    <col min="5" max="5" width="8.7109375" style="108"/>
    <col min="6" max="7" width="19.140625" style="108" customWidth="1"/>
    <col min="8" max="9" width="9.140625" style="108"/>
    <col min="10" max="10" width="18.28515625" bestFit="1" customWidth="1"/>
    <col min="11" max="11" width="6.85546875" bestFit="1" customWidth="1"/>
    <col min="12" max="12" width="11.42578125" bestFit="1" customWidth="1"/>
    <col min="13" max="13" width="9.5703125" bestFit="1" customWidth="1"/>
    <col min="14" max="14" width="7.140625" bestFit="1" customWidth="1"/>
    <col min="15" max="15" width="10.140625" bestFit="1" customWidth="1"/>
    <col min="16" max="16" width="11.140625" bestFit="1" customWidth="1"/>
    <col min="17" max="17" width="7.7109375" bestFit="1" customWidth="1"/>
    <col min="18" max="18" width="10.7109375" bestFit="1" customWidth="1"/>
    <col min="19" max="19" width="11.140625" bestFit="1" customWidth="1"/>
    <col min="20" max="20" width="10.5703125" bestFit="1" customWidth="1"/>
    <col min="21" max="21" width="12.42578125" bestFit="1" customWidth="1"/>
    <col min="22" max="22" width="6.85546875" bestFit="1" customWidth="1"/>
    <col min="23" max="23" width="11.42578125" bestFit="1" customWidth="1"/>
    <col min="24" max="24" width="9.5703125" bestFit="1" customWidth="1"/>
    <col min="25" max="25" width="7.140625" bestFit="1" customWidth="1"/>
    <col min="26" max="26" width="10.140625" bestFit="1" customWidth="1"/>
    <col min="27" max="27" width="11.140625" bestFit="1" customWidth="1"/>
    <col min="28" max="28" width="7.7109375" bestFit="1" customWidth="1"/>
    <col min="29" max="29" width="10.7109375" bestFit="1" customWidth="1"/>
    <col min="30" max="30" width="11.140625" bestFit="1" customWidth="1"/>
    <col min="31" max="31" width="8.140625" bestFit="1" customWidth="1"/>
    <col min="32" max="32" width="9.5703125" bestFit="1" customWidth="1"/>
    <col min="33" max="33" width="10.28515625" bestFit="1" customWidth="1"/>
    <col min="34" max="34" width="6.85546875" bestFit="1" customWidth="1"/>
    <col min="35" max="35" width="12" bestFit="1" customWidth="1"/>
    <col min="36" max="36" width="9.5703125" bestFit="1" customWidth="1"/>
    <col min="37" max="37" width="13" bestFit="1" customWidth="1"/>
    <col min="38" max="38" width="12" bestFit="1" customWidth="1"/>
    <col min="39" max="39" width="11.140625" bestFit="1" customWidth="1"/>
    <col min="40" max="40" width="7.7109375" bestFit="1" customWidth="1"/>
    <col min="41" max="41" width="10.7109375" bestFit="1" customWidth="1"/>
    <col min="42" max="42" width="11.140625" bestFit="1" customWidth="1"/>
    <col min="43" max="43" width="8.140625" bestFit="1" customWidth="1"/>
    <col min="44" max="44" width="12" bestFit="1" customWidth="1"/>
    <col min="45" max="45" width="13" bestFit="1" customWidth="1"/>
    <col min="46" max="46" width="10.5703125" bestFit="1" customWidth="1"/>
    <col min="47" max="47" width="12" bestFit="1" customWidth="1"/>
    <col min="48" max="48" width="9.5703125" bestFit="1" customWidth="1"/>
    <col min="49" max="49" width="13" bestFit="1" customWidth="1"/>
    <col min="50" max="50" width="12" bestFit="1" customWidth="1"/>
    <col min="51" max="51" width="11.140625" bestFit="1" customWidth="1"/>
    <col min="52" max="52" width="7.7109375" bestFit="1" customWidth="1"/>
    <col min="53" max="53" width="10.7109375" bestFit="1" customWidth="1"/>
    <col min="54" max="54" width="11.140625" bestFit="1" customWidth="1"/>
    <col min="55" max="55" width="8.140625" bestFit="1" customWidth="1"/>
    <col min="56" max="56" width="12" bestFit="1" customWidth="1"/>
    <col min="57" max="57" width="13" bestFit="1" customWidth="1"/>
    <col min="58" max="59" width="12" bestFit="1" customWidth="1"/>
    <col min="60" max="60" width="9.5703125" bestFit="1" customWidth="1"/>
    <col min="61" max="62" width="12" bestFit="1" customWidth="1"/>
    <col min="63" max="63" width="11.140625" bestFit="1" customWidth="1"/>
    <col min="64" max="64" width="7.7109375" bestFit="1" customWidth="1"/>
    <col min="65" max="65" width="10.7109375" bestFit="1" customWidth="1"/>
    <col min="66" max="66" width="11.140625" bestFit="1" customWidth="1"/>
    <col min="67" max="67" width="8.140625" bestFit="1" customWidth="1"/>
    <col min="68" max="68" width="12" bestFit="1" customWidth="1"/>
    <col min="69" max="69" width="13" bestFit="1" customWidth="1"/>
    <col min="70" max="70" width="12" bestFit="1" customWidth="1"/>
    <col min="71" max="71" width="11.42578125" bestFit="1" customWidth="1"/>
    <col min="72" max="72" width="9.5703125" bestFit="1" customWidth="1"/>
    <col min="73" max="73" width="7.140625" bestFit="1" customWidth="1"/>
    <col min="74" max="74" width="10.140625" bestFit="1" customWidth="1"/>
    <col min="75" max="75" width="11.140625" bestFit="1" customWidth="1"/>
    <col min="76" max="76" width="7.7109375" bestFit="1" customWidth="1"/>
    <col min="77" max="77" width="10.7109375" bestFit="1" customWidth="1"/>
    <col min="78" max="78" width="11.140625" bestFit="1" customWidth="1"/>
    <col min="79" max="79" width="8.140625" bestFit="1" customWidth="1"/>
    <col min="80" max="80" width="7.28515625" bestFit="1" customWidth="1"/>
    <col min="81" max="81" width="12" bestFit="1" customWidth="1"/>
    <col min="82" max="82" width="6.85546875" bestFit="1" customWidth="1"/>
    <col min="83" max="83" width="11.42578125" bestFit="1" customWidth="1"/>
    <col min="84" max="84" width="9.5703125" bestFit="1" customWidth="1"/>
    <col min="85" max="85" width="7.140625" bestFit="1" customWidth="1"/>
    <col min="86" max="86" width="10.140625" bestFit="1" customWidth="1"/>
    <col min="87" max="87" width="11.140625" bestFit="1" customWidth="1"/>
    <col min="88" max="88" width="7.7109375" bestFit="1" customWidth="1"/>
    <col min="89" max="89" width="10.7109375" bestFit="1" customWidth="1"/>
    <col min="90" max="90" width="11.140625" bestFit="1" customWidth="1"/>
    <col min="91" max="91" width="8.140625" bestFit="1" customWidth="1"/>
    <col min="92" max="92" width="7.28515625" bestFit="1" customWidth="1"/>
    <col min="93" max="93" width="10.28515625" bestFit="1" customWidth="1"/>
    <col min="94" max="94" width="6.85546875" bestFit="1" customWidth="1"/>
    <col min="95" max="95" width="11.42578125" bestFit="1" customWidth="1"/>
    <col min="96" max="96" width="9.5703125" bestFit="1" customWidth="1"/>
    <col min="97" max="97" width="7.140625" bestFit="1" customWidth="1"/>
    <col min="98" max="98" width="10.140625" bestFit="1" customWidth="1"/>
    <col min="99" max="99" width="11.140625" bestFit="1" customWidth="1"/>
    <col min="100" max="100" width="7.7109375" bestFit="1" customWidth="1"/>
    <col min="101" max="101" width="10.7109375" bestFit="1" customWidth="1"/>
    <col min="102" max="102" width="11.140625" bestFit="1" customWidth="1"/>
    <col min="103" max="103" width="8.140625" bestFit="1" customWidth="1"/>
    <col min="104" max="104" width="7.28515625" bestFit="1" customWidth="1"/>
    <col min="105" max="105" width="10.28515625" bestFit="1" customWidth="1"/>
    <col min="106" max="106" width="6.85546875" bestFit="1" customWidth="1"/>
    <col min="107" max="107" width="11.42578125" bestFit="1" customWidth="1"/>
    <col min="108" max="108" width="9.5703125" bestFit="1" customWidth="1"/>
    <col min="109" max="109" width="7.140625" bestFit="1" customWidth="1"/>
    <col min="110" max="110" width="10.140625" bestFit="1" customWidth="1"/>
    <col min="111" max="111" width="11.140625" bestFit="1" customWidth="1"/>
    <col min="112" max="112" width="7.7109375" bestFit="1" customWidth="1"/>
    <col min="113" max="113" width="10.7109375" bestFit="1" customWidth="1"/>
    <col min="114" max="114" width="11.140625" bestFit="1" customWidth="1"/>
    <col min="115" max="115" width="8.140625" bestFit="1" customWidth="1"/>
    <col min="116" max="116" width="7.28515625" bestFit="1" customWidth="1"/>
    <col min="117" max="117" width="10.28515625" bestFit="1" customWidth="1"/>
    <col min="118" max="118" width="6.85546875" bestFit="1" customWidth="1"/>
    <col min="119" max="119" width="11.42578125" bestFit="1" customWidth="1"/>
    <col min="120" max="120" width="9.5703125" bestFit="1" customWidth="1"/>
    <col min="121" max="121" width="7.140625" bestFit="1" customWidth="1"/>
    <col min="122" max="122" width="10.140625" bestFit="1" customWidth="1"/>
    <col min="123" max="123" width="11.140625" bestFit="1" customWidth="1"/>
    <col min="124" max="124" width="7.7109375" bestFit="1" customWidth="1"/>
    <col min="125" max="125" width="10.7109375" bestFit="1" customWidth="1"/>
    <col min="126" max="126" width="11.140625" bestFit="1" customWidth="1"/>
    <col min="127" max="127" width="8.140625" bestFit="1" customWidth="1"/>
    <col min="128" max="128" width="7.28515625" bestFit="1" customWidth="1"/>
    <col min="129" max="129" width="10.28515625" bestFit="1" customWidth="1"/>
    <col min="130" max="130" width="6.85546875" bestFit="1" customWidth="1"/>
    <col min="131" max="131" width="11.42578125" bestFit="1" customWidth="1"/>
    <col min="132" max="132" width="9.5703125" bestFit="1" customWidth="1"/>
    <col min="133" max="133" width="7.140625" bestFit="1" customWidth="1"/>
    <col min="134" max="134" width="10.140625" bestFit="1" customWidth="1"/>
    <col min="135" max="135" width="11.140625" bestFit="1" customWidth="1"/>
    <col min="136" max="136" width="7.7109375" bestFit="1" customWidth="1"/>
    <col min="137" max="137" width="10.7109375" bestFit="1" customWidth="1"/>
    <col min="138" max="138" width="11.140625" bestFit="1" customWidth="1"/>
    <col min="139" max="139" width="8.140625" bestFit="1" customWidth="1"/>
    <col min="140" max="140" width="7.28515625" bestFit="1" customWidth="1"/>
    <col min="141" max="141" width="10.28515625" bestFit="1" customWidth="1"/>
  </cols>
  <sheetData>
    <row r="1" spans="1:141" s="14" customFormat="1" x14ac:dyDescent="0.25">
      <c r="A1" s="96"/>
      <c r="B1" s="112"/>
      <c r="C1" s="112"/>
      <c r="D1" s="112"/>
      <c r="E1" s="112"/>
      <c r="F1" s="113"/>
      <c r="G1" s="107"/>
      <c r="H1" s="114"/>
      <c r="I1" s="115"/>
      <c r="J1" s="86"/>
      <c r="K1" s="499" t="s">
        <v>1053</v>
      </c>
      <c r="L1" s="500"/>
      <c r="M1" s="500"/>
      <c r="N1" s="500"/>
      <c r="O1" s="500"/>
      <c r="P1" s="500"/>
      <c r="Q1" s="500"/>
      <c r="R1" s="500"/>
      <c r="S1" s="500"/>
      <c r="T1" s="501"/>
      <c r="U1" s="97" t="s">
        <v>1054</v>
      </c>
      <c r="V1" s="492" t="s">
        <v>1119</v>
      </c>
      <c r="W1" s="493"/>
      <c r="X1" s="493"/>
      <c r="Y1" s="493"/>
      <c r="Z1" s="493"/>
      <c r="AA1" s="493"/>
      <c r="AB1" s="493"/>
      <c r="AC1" s="493"/>
      <c r="AD1" s="493"/>
      <c r="AE1" s="493"/>
      <c r="AF1" s="494"/>
      <c r="AG1" s="98">
        <v>2021</v>
      </c>
      <c r="AH1" s="495" t="s">
        <v>1118</v>
      </c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99">
        <v>2022</v>
      </c>
      <c r="AT1" s="495" t="s">
        <v>1117</v>
      </c>
      <c r="AU1" s="495"/>
      <c r="AV1" s="495"/>
      <c r="AW1" s="495"/>
      <c r="AX1" s="495"/>
      <c r="AY1" s="495"/>
      <c r="AZ1" s="495"/>
      <c r="BA1" s="495"/>
      <c r="BB1" s="495"/>
      <c r="BC1" s="495"/>
      <c r="BD1" s="496"/>
      <c r="BE1" s="99">
        <v>2023</v>
      </c>
      <c r="BF1" s="495" t="s">
        <v>1116</v>
      </c>
      <c r="BG1" s="495"/>
      <c r="BH1" s="495"/>
      <c r="BI1" s="495"/>
      <c r="BJ1" s="495"/>
      <c r="BK1" s="495"/>
      <c r="BL1" s="495"/>
      <c r="BM1" s="495"/>
      <c r="BN1" s="495"/>
      <c r="BO1" s="495"/>
      <c r="BP1" s="496"/>
      <c r="BQ1" s="99">
        <v>2024</v>
      </c>
      <c r="BR1" s="495" t="s">
        <v>1120</v>
      </c>
      <c r="BS1" s="495"/>
      <c r="BT1" s="495"/>
      <c r="BU1" s="495"/>
      <c r="BV1" s="495"/>
      <c r="BW1" s="495"/>
      <c r="BX1" s="495"/>
      <c r="BY1" s="495"/>
      <c r="BZ1" s="495"/>
      <c r="CA1" s="495"/>
      <c r="CB1" s="496"/>
      <c r="CC1" s="100">
        <v>2025</v>
      </c>
      <c r="CD1" s="495" t="s">
        <v>1121</v>
      </c>
      <c r="CE1" s="495"/>
      <c r="CF1" s="495"/>
      <c r="CG1" s="495"/>
      <c r="CH1" s="495"/>
      <c r="CI1" s="495"/>
      <c r="CJ1" s="495"/>
      <c r="CK1" s="495"/>
      <c r="CL1" s="495"/>
      <c r="CM1" s="495"/>
      <c r="CN1" s="496"/>
      <c r="CO1" s="100">
        <v>2026</v>
      </c>
      <c r="CP1" s="495" t="s">
        <v>1122</v>
      </c>
      <c r="CQ1" s="495"/>
      <c r="CR1" s="495"/>
      <c r="CS1" s="495"/>
      <c r="CT1" s="495"/>
      <c r="CU1" s="495"/>
      <c r="CV1" s="495"/>
      <c r="CW1" s="495"/>
      <c r="CX1" s="495"/>
      <c r="CY1" s="495"/>
      <c r="CZ1" s="496"/>
      <c r="DA1" s="100">
        <v>2027</v>
      </c>
      <c r="DB1" s="495" t="s">
        <v>1123</v>
      </c>
      <c r="DC1" s="495"/>
      <c r="DD1" s="495"/>
      <c r="DE1" s="495"/>
      <c r="DF1" s="495"/>
      <c r="DG1" s="495"/>
      <c r="DH1" s="495"/>
      <c r="DI1" s="495"/>
      <c r="DJ1" s="495"/>
      <c r="DK1" s="495"/>
      <c r="DL1" s="496"/>
      <c r="DM1" s="100">
        <v>2028</v>
      </c>
      <c r="DN1" s="495" t="s">
        <v>1125</v>
      </c>
      <c r="DO1" s="495"/>
      <c r="DP1" s="495"/>
      <c r="DQ1" s="495"/>
      <c r="DR1" s="495"/>
      <c r="DS1" s="495"/>
      <c r="DT1" s="495"/>
      <c r="DU1" s="495"/>
      <c r="DV1" s="495"/>
      <c r="DW1" s="495"/>
      <c r="DX1" s="496"/>
      <c r="DY1" s="100">
        <v>2029</v>
      </c>
      <c r="DZ1" s="495" t="s">
        <v>1124</v>
      </c>
      <c r="EA1" s="495"/>
      <c r="EB1" s="495"/>
      <c r="EC1" s="495"/>
      <c r="ED1" s="495"/>
      <c r="EE1" s="495"/>
      <c r="EF1" s="495"/>
      <c r="EG1" s="495"/>
      <c r="EH1" s="495"/>
      <c r="EI1" s="495"/>
      <c r="EJ1" s="496"/>
      <c r="EK1" s="100">
        <v>2030</v>
      </c>
    </row>
    <row r="2" spans="1:141" s="14" customFormat="1" ht="30.75" thickBot="1" x14ac:dyDescent="0.3">
      <c r="A2" s="413"/>
      <c r="B2" s="116" t="s">
        <v>383</v>
      </c>
      <c r="C2" s="116" t="s">
        <v>335</v>
      </c>
      <c r="D2" s="116" t="s">
        <v>288</v>
      </c>
      <c r="E2" s="116" t="s">
        <v>1318</v>
      </c>
      <c r="F2" s="116" t="s">
        <v>337</v>
      </c>
      <c r="G2" s="157" t="s">
        <v>931</v>
      </c>
      <c r="H2" s="294" t="s">
        <v>310</v>
      </c>
      <c r="I2" s="295" t="s">
        <v>941</v>
      </c>
      <c r="J2" s="375" t="s">
        <v>939</v>
      </c>
      <c r="K2" s="376" t="s">
        <v>940</v>
      </c>
      <c r="L2" s="376" t="s">
        <v>1055</v>
      </c>
      <c r="M2" s="376" t="s">
        <v>1056</v>
      </c>
      <c r="N2" s="376" t="s">
        <v>1057</v>
      </c>
      <c r="O2" s="376" t="s">
        <v>1058</v>
      </c>
      <c r="P2" s="376" t="s">
        <v>1059</v>
      </c>
      <c r="Q2" s="376" t="s">
        <v>929</v>
      </c>
      <c r="R2" s="376" t="s">
        <v>1060</v>
      </c>
      <c r="S2" s="376" t="s">
        <v>1059</v>
      </c>
      <c r="T2" s="376" t="s">
        <v>1061</v>
      </c>
      <c r="U2" s="377" t="s">
        <v>1062</v>
      </c>
      <c r="V2" s="376" t="s">
        <v>940</v>
      </c>
      <c r="W2" s="376" t="s">
        <v>1055</v>
      </c>
      <c r="X2" s="376" t="s">
        <v>1056</v>
      </c>
      <c r="Y2" s="376" t="s">
        <v>1057</v>
      </c>
      <c r="Z2" s="376" t="s">
        <v>1058</v>
      </c>
      <c r="AA2" s="376" t="s">
        <v>1059</v>
      </c>
      <c r="AB2" s="376" t="s">
        <v>929</v>
      </c>
      <c r="AC2" s="376" t="s">
        <v>1060</v>
      </c>
      <c r="AD2" s="376" t="s">
        <v>1059</v>
      </c>
      <c r="AE2" s="376" t="s">
        <v>1063</v>
      </c>
      <c r="AF2" s="376" t="s">
        <v>1061</v>
      </c>
      <c r="AG2" s="377" t="s">
        <v>1062</v>
      </c>
      <c r="AH2" s="376" t="s">
        <v>940</v>
      </c>
      <c r="AI2" s="376" t="s">
        <v>1055</v>
      </c>
      <c r="AJ2" s="376" t="s">
        <v>1056</v>
      </c>
      <c r="AK2" s="376" t="s">
        <v>1057</v>
      </c>
      <c r="AL2" s="376" t="s">
        <v>1058</v>
      </c>
      <c r="AM2" s="376" t="s">
        <v>1059</v>
      </c>
      <c r="AN2" s="376" t="s">
        <v>929</v>
      </c>
      <c r="AO2" s="376" t="s">
        <v>1060</v>
      </c>
      <c r="AP2" s="376" t="s">
        <v>1059</v>
      </c>
      <c r="AQ2" s="376" t="s">
        <v>1063</v>
      </c>
      <c r="AR2" s="376" t="s">
        <v>1061</v>
      </c>
      <c r="AS2" s="377" t="s">
        <v>1062</v>
      </c>
      <c r="AT2" s="376" t="s">
        <v>940</v>
      </c>
      <c r="AU2" s="376" t="s">
        <v>1055</v>
      </c>
      <c r="AV2" s="376" t="s">
        <v>1056</v>
      </c>
      <c r="AW2" s="376" t="s">
        <v>1057</v>
      </c>
      <c r="AX2" s="376" t="s">
        <v>1058</v>
      </c>
      <c r="AY2" s="376" t="s">
        <v>1059</v>
      </c>
      <c r="AZ2" s="376" t="s">
        <v>929</v>
      </c>
      <c r="BA2" s="376" t="s">
        <v>1060</v>
      </c>
      <c r="BB2" s="376" t="s">
        <v>1059</v>
      </c>
      <c r="BC2" s="376" t="s">
        <v>1063</v>
      </c>
      <c r="BD2" s="376" t="s">
        <v>1061</v>
      </c>
      <c r="BE2" s="377" t="s">
        <v>1062</v>
      </c>
      <c r="BF2" s="376" t="s">
        <v>940</v>
      </c>
      <c r="BG2" s="376" t="s">
        <v>1055</v>
      </c>
      <c r="BH2" s="376" t="s">
        <v>1056</v>
      </c>
      <c r="BI2" s="376" t="s">
        <v>1057</v>
      </c>
      <c r="BJ2" s="376" t="s">
        <v>1058</v>
      </c>
      <c r="BK2" s="376" t="s">
        <v>1059</v>
      </c>
      <c r="BL2" s="376" t="s">
        <v>929</v>
      </c>
      <c r="BM2" s="376" t="s">
        <v>1060</v>
      </c>
      <c r="BN2" s="376" t="s">
        <v>1059</v>
      </c>
      <c r="BO2" s="376" t="s">
        <v>1063</v>
      </c>
      <c r="BP2" s="376" t="s">
        <v>1061</v>
      </c>
      <c r="BQ2" s="377" t="s">
        <v>1062</v>
      </c>
      <c r="BR2" s="376" t="s">
        <v>940</v>
      </c>
      <c r="BS2" s="376" t="s">
        <v>1055</v>
      </c>
      <c r="BT2" s="376" t="s">
        <v>1056</v>
      </c>
      <c r="BU2" s="376" t="s">
        <v>1057</v>
      </c>
      <c r="BV2" s="376" t="s">
        <v>1058</v>
      </c>
      <c r="BW2" s="376" t="s">
        <v>1059</v>
      </c>
      <c r="BX2" s="376" t="s">
        <v>929</v>
      </c>
      <c r="BY2" s="376" t="s">
        <v>1060</v>
      </c>
      <c r="BZ2" s="376" t="s">
        <v>1059</v>
      </c>
      <c r="CA2" s="376" t="s">
        <v>1063</v>
      </c>
      <c r="CB2" s="376" t="s">
        <v>1061</v>
      </c>
      <c r="CC2" s="378" t="s">
        <v>1062</v>
      </c>
      <c r="CD2" s="376" t="s">
        <v>940</v>
      </c>
      <c r="CE2" s="376" t="s">
        <v>1055</v>
      </c>
      <c r="CF2" s="376" t="s">
        <v>1056</v>
      </c>
      <c r="CG2" s="376" t="s">
        <v>1057</v>
      </c>
      <c r="CH2" s="376" t="s">
        <v>1058</v>
      </c>
      <c r="CI2" s="376" t="s">
        <v>1059</v>
      </c>
      <c r="CJ2" s="376" t="s">
        <v>929</v>
      </c>
      <c r="CK2" s="376" t="s">
        <v>1060</v>
      </c>
      <c r="CL2" s="376" t="s">
        <v>1059</v>
      </c>
      <c r="CM2" s="376" t="s">
        <v>1063</v>
      </c>
      <c r="CN2" s="376" t="s">
        <v>1061</v>
      </c>
      <c r="CO2" s="378" t="s">
        <v>1062</v>
      </c>
      <c r="CP2" s="376" t="s">
        <v>940</v>
      </c>
      <c r="CQ2" s="376" t="s">
        <v>1055</v>
      </c>
      <c r="CR2" s="376" t="s">
        <v>1056</v>
      </c>
      <c r="CS2" s="376" t="s">
        <v>1057</v>
      </c>
      <c r="CT2" s="376" t="s">
        <v>1058</v>
      </c>
      <c r="CU2" s="376" t="s">
        <v>1059</v>
      </c>
      <c r="CV2" s="376" t="s">
        <v>929</v>
      </c>
      <c r="CW2" s="376" t="s">
        <v>1060</v>
      </c>
      <c r="CX2" s="376" t="s">
        <v>1059</v>
      </c>
      <c r="CY2" s="376" t="s">
        <v>1063</v>
      </c>
      <c r="CZ2" s="376" t="s">
        <v>1061</v>
      </c>
      <c r="DA2" s="378" t="s">
        <v>1062</v>
      </c>
      <c r="DB2" s="376" t="s">
        <v>940</v>
      </c>
      <c r="DC2" s="376" t="s">
        <v>1055</v>
      </c>
      <c r="DD2" s="376" t="s">
        <v>1056</v>
      </c>
      <c r="DE2" s="376" t="s">
        <v>1057</v>
      </c>
      <c r="DF2" s="376" t="s">
        <v>1058</v>
      </c>
      <c r="DG2" s="376" t="s">
        <v>1059</v>
      </c>
      <c r="DH2" s="376" t="s">
        <v>929</v>
      </c>
      <c r="DI2" s="376" t="s">
        <v>1060</v>
      </c>
      <c r="DJ2" s="376" t="s">
        <v>1059</v>
      </c>
      <c r="DK2" s="376" t="s">
        <v>1063</v>
      </c>
      <c r="DL2" s="376" t="s">
        <v>1061</v>
      </c>
      <c r="DM2" s="378" t="s">
        <v>1062</v>
      </c>
      <c r="DN2" s="376" t="s">
        <v>940</v>
      </c>
      <c r="DO2" s="376" t="s">
        <v>1055</v>
      </c>
      <c r="DP2" s="376" t="s">
        <v>1056</v>
      </c>
      <c r="DQ2" s="376" t="s">
        <v>1057</v>
      </c>
      <c r="DR2" s="376" t="s">
        <v>1058</v>
      </c>
      <c r="DS2" s="376" t="s">
        <v>1059</v>
      </c>
      <c r="DT2" s="376" t="s">
        <v>929</v>
      </c>
      <c r="DU2" s="376" t="s">
        <v>1060</v>
      </c>
      <c r="DV2" s="376" t="s">
        <v>1059</v>
      </c>
      <c r="DW2" s="376" t="s">
        <v>1063</v>
      </c>
      <c r="DX2" s="376" t="s">
        <v>1061</v>
      </c>
      <c r="DY2" s="378" t="s">
        <v>1062</v>
      </c>
      <c r="DZ2" s="376" t="s">
        <v>940</v>
      </c>
      <c r="EA2" s="376" t="s">
        <v>1055</v>
      </c>
      <c r="EB2" s="376" t="s">
        <v>1056</v>
      </c>
      <c r="EC2" s="376" t="s">
        <v>1057</v>
      </c>
      <c r="ED2" s="376" t="s">
        <v>1058</v>
      </c>
      <c r="EE2" s="376" t="s">
        <v>1059</v>
      </c>
      <c r="EF2" s="376" t="s">
        <v>929</v>
      </c>
      <c r="EG2" s="376" t="s">
        <v>1060</v>
      </c>
      <c r="EH2" s="376" t="s">
        <v>1059</v>
      </c>
      <c r="EI2" s="376" t="s">
        <v>1063</v>
      </c>
      <c r="EJ2" s="376" t="s">
        <v>1061</v>
      </c>
      <c r="EK2" s="378" t="s">
        <v>1062</v>
      </c>
    </row>
    <row r="3" spans="1:141" s="151" customFormat="1" ht="120" x14ac:dyDescent="0.25">
      <c r="A3" s="429"/>
      <c r="B3" s="400"/>
      <c r="C3" s="56"/>
      <c r="D3" s="56"/>
      <c r="E3" s="56"/>
      <c r="F3" s="233" t="s">
        <v>1010</v>
      </c>
      <c r="G3" s="400"/>
      <c r="H3" s="400"/>
      <c r="I3" s="56" t="s">
        <v>1008</v>
      </c>
      <c r="J3" s="326">
        <f>SUM(U3,AG3,AS3,BE3,BQ3,CC3)</f>
        <v>73528000</v>
      </c>
      <c r="K3" s="326">
        <v>0</v>
      </c>
      <c r="L3" s="326">
        <v>0</v>
      </c>
      <c r="M3" s="326">
        <v>0</v>
      </c>
      <c r="N3" s="326">
        <v>0</v>
      </c>
      <c r="O3" s="326">
        <v>0</v>
      </c>
      <c r="P3" s="326">
        <v>0</v>
      </c>
      <c r="Q3" s="326">
        <v>0</v>
      </c>
      <c r="R3" s="326">
        <v>0</v>
      </c>
      <c r="S3" s="326">
        <v>0</v>
      </c>
      <c r="T3" s="326">
        <v>0</v>
      </c>
      <c r="U3" s="326">
        <f>SUM(K3:T3)</f>
        <v>0</v>
      </c>
      <c r="V3" s="326">
        <v>0</v>
      </c>
      <c r="W3" s="326">
        <v>0</v>
      </c>
      <c r="X3" s="326">
        <v>0</v>
      </c>
      <c r="Y3" s="326">
        <v>0</v>
      </c>
      <c r="Z3" s="326">
        <v>0</v>
      </c>
      <c r="AA3" s="326">
        <v>0</v>
      </c>
      <c r="AB3" s="326">
        <v>0</v>
      </c>
      <c r="AC3" s="326">
        <v>0</v>
      </c>
      <c r="AD3" s="326">
        <v>0</v>
      </c>
      <c r="AE3" s="326">
        <v>0</v>
      </c>
      <c r="AF3" s="326">
        <v>0</v>
      </c>
      <c r="AG3" s="326">
        <f>SUM(V3:AF3)</f>
        <v>0</v>
      </c>
      <c r="AH3" s="326">
        <v>0</v>
      </c>
      <c r="AI3" s="326">
        <v>3794500</v>
      </c>
      <c r="AJ3" s="326">
        <v>0</v>
      </c>
      <c r="AK3" s="326">
        <v>12410000</v>
      </c>
      <c r="AL3" s="326">
        <v>2190000</v>
      </c>
      <c r="AM3" s="326">
        <v>0</v>
      </c>
      <c r="AN3" s="326">
        <v>0</v>
      </c>
      <c r="AO3" s="326">
        <v>0</v>
      </c>
      <c r="AP3" s="326">
        <v>0</v>
      </c>
      <c r="AQ3" s="326">
        <v>0</v>
      </c>
      <c r="AR3" s="326">
        <v>0</v>
      </c>
      <c r="AS3" s="326">
        <f>SUM(AH3:AR3)</f>
        <v>18394500</v>
      </c>
      <c r="AT3" s="326">
        <v>0</v>
      </c>
      <c r="AU3" s="326">
        <v>9086800</v>
      </c>
      <c r="AV3" s="326">
        <v>0</v>
      </c>
      <c r="AW3" s="326">
        <v>29784000</v>
      </c>
      <c r="AX3" s="326">
        <v>5256000</v>
      </c>
      <c r="AY3" s="326">
        <v>0</v>
      </c>
      <c r="AZ3" s="326">
        <v>0</v>
      </c>
      <c r="BA3" s="326">
        <v>0</v>
      </c>
      <c r="BB3" s="326">
        <v>0</v>
      </c>
      <c r="BC3" s="326">
        <v>0</v>
      </c>
      <c r="BD3" s="326">
        <v>0</v>
      </c>
      <c r="BE3" s="326">
        <f>SUM(AT3:BD3)</f>
        <v>44126800</v>
      </c>
      <c r="BF3" s="326">
        <v>0</v>
      </c>
      <c r="BG3" s="326">
        <v>2246700</v>
      </c>
      <c r="BH3" s="326">
        <v>0</v>
      </c>
      <c r="BI3" s="326">
        <v>7446000</v>
      </c>
      <c r="BJ3" s="326">
        <v>1314000</v>
      </c>
      <c r="BK3" s="326">
        <v>0</v>
      </c>
      <c r="BL3" s="326">
        <v>0</v>
      </c>
      <c r="BM3" s="326">
        <v>0</v>
      </c>
      <c r="BN3" s="326">
        <v>0</v>
      </c>
      <c r="BO3" s="326">
        <v>0</v>
      </c>
      <c r="BP3" s="326">
        <v>0</v>
      </c>
      <c r="BQ3" s="326">
        <f>SUM(BF3:BP3)</f>
        <v>11006700</v>
      </c>
      <c r="BR3" s="326">
        <v>0</v>
      </c>
      <c r="BS3" s="326">
        <v>0</v>
      </c>
      <c r="BT3" s="326">
        <v>0</v>
      </c>
      <c r="BU3" s="326">
        <v>0</v>
      </c>
      <c r="BV3" s="326">
        <v>0</v>
      </c>
      <c r="BW3" s="326">
        <v>0</v>
      </c>
      <c r="BX3" s="326">
        <v>0</v>
      </c>
      <c r="BY3" s="326">
        <v>0</v>
      </c>
      <c r="BZ3" s="326">
        <v>0</v>
      </c>
      <c r="CA3" s="326">
        <v>0</v>
      </c>
      <c r="CB3" s="326">
        <v>0</v>
      </c>
      <c r="CC3" s="326">
        <f>SUM(BR3:CB3)</f>
        <v>0</v>
      </c>
      <c r="CD3" s="326">
        <v>0</v>
      </c>
      <c r="CE3" s="326">
        <v>0</v>
      </c>
      <c r="CF3" s="326">
        <v>0</v>
      </c>
      <c r="CG3" s="326">
        <v>0</v>
      </c>
      <c r="CH3" s="326">
        <v>0</v>
      </c>
      <c r="CI3" s="326">
        <v>0</v>
      </c>
      <c r="CJ3" s="326">
        <v>0</v>
      </c>
      <c r="CK3" s="326">
        <v>0</v>
      </c>
      <c r="CL3" s="326">
        <v>0</v>
      </c>
      <c r="CM3" s="326">
        <v>0</v>
      </c>
      <c r="CN3" s="326">
        <v>0</v>
      </c>
      <c r="CO3" s="326">
        <f>SUM(CD3:CN3)</f>
        <v>0</v>
      </c>
      <c r="CP3" s="326">
        <v>0</v>
      </c>
      <c r="CQ3" s="326">
        <v>0</v>
      </c>
      <c r="CR3" s="326">
        <v>0</v>
      </c>
      <c r="CS3" s="326">
        <v>0</v>
      </c>
      <c r="CT3" s="326">
        <v>0</v>
      </c>
      <c r="CU3" s="326">
        <v>0</v>
      </c>
      <c r="CV3" s="326">
        <v>0</v>
      </c>
      <c r="CW3" s="326">
        <v>0</v>
      </c>
      <c r="CX3" s="326">
        <v>0</v>
      </c>
      <c r="CY3" s="326">
        <v>0</v>
      </c>
      <c r="CZ3" s="326">
        <v>0</v>
      </c>
      <c r="DA3" s="326">
        <f>SUM(CP3:CZ3)</f>
        <v>0</v>
      </c>
      <c r="DB3" s="326">
        <v>0</v>
      </c>
      <c r="DC3" s="326">
        <v>0</v>
      </c>
      <c r="DD3" s="326">
        <v>0</v>
      </c>
      <c r="DE3" s="326">
        <v>0</v>
      </c>
      <c r="DF3" s="326">
        <v>0</v>
      </c>
      <c r="DG3" s="326">
        <v>0</v>
      </c>
      <c r="DH3" s="326">
        <v>0</v>
      </c>
      <c r="DI3" s="326">
        <v>0</v>
      </c>
      <c r="DJ3" s="326">
        <v>0</v>
      </c>
      <c r="DK3" s="326">
        <v>0</v>
      </c>
      <c r="DL3" s="326">
        <v>0</v>
      </c>
      <c r="DM3" s="326">
        <f>SUM(DB3:DL3)</f>
        <v>0</v>
      </c>
      <c r="DN3" s="326">
        <v>0</v>
      </c>
      <c r="DO3" s="326">
        <v>0</v>
      </c>
      <c r="DP3" s="326">
        <v>0</v>
      </c>
      <c r="DQ3" s="326">
        <v>0</v>
      </c>
      <c r="DR3" s="326">
        <v>0</v>
      </c>
      <c r="DS3" s="326">
        <v>0</v>
      </c>
      <c r="DT3" s="326">
        <v>0</v>
      </c>
      <c r="DU3" s="326">
        <v>0</v>
      </c>
      <c r="DV3" s="326">
        <v>0</v>
      </c>
      <c r="DW3" s="326">
        <v>0</v>
      </c>
      <c r="DX3" s="326">
        <v>0</v>
      </c>
      <c r="DY3" s="326">
        <f>SUM(DN3:DX3)</f>
        <v>0</v>
      </c>
      <c r="DZ3" s="326">
        <v>0</v>
      </c>
      <c r="EA3" s="326">
        <v>0</v>
      </c>
      <c r="EB3" s="326">
        <v>0</v>
      </c>
      <c r="EC3" s="326">
        <v>0</v>
      </c>
      <c r="ED3" s="326">
        <v>0</v>
      </c>
      <c r="EE3" s="326">
        <v>0</v>
      </c>
      <c r="EF3" s="326">
        <v>0</v>
      </c>
      <c r="EG3" s="326">
        <v>0</v>
      </c>
      <c r="EH3" s="326">
        <v>0</v>
      </c>
      <c r="EI3" s="326">
        <v>0</v>
      </c>
      <c r="EJ3" s="326">
        <v>0</v>
      </c>
      <c r="EK3" s="408">
        <f>SUM(DZ3:EJ3)</f>
        <v>0</v>
      </c>
    </row>
    <row r="4" spans="1:141" s="151" customFormat="1" ht="60" x14ac:dyDescent="0.25">
      <c r="A4" s="429"/>
      <c r="B4" s="400"/>
      <c r="C4" s="56"/>
      <c r="D4" s="56"/>
      <c r="E4" s="56" t="s">
        <v>1385</v>
      </c>
      <c r="F4" s="233" t="s">
        <v>1026</v>
      </c>
      <c r="G4" s="400"/>
      <c r="H4" s="400"/>
      <c r="I4" s="56" t="s">
        <v>1052</v>
      </c>
      <c r="J4" s="326">
        <f>SUM(U4,AG4,AS4,BE4,BQ4,CC4)</f>
        <v>9128700</v>
      </c>
      <c r="K4" s="326">
        <v>0</v>
      </c>
      <c r="L4" s="326">
        <v>0</v>
      </c>
      <c r="M4" s="326">
        <v>0</v>
      </c>
      <c r="N4" s="326">
        <v>0</v>
      </c>
      <c r="O4" s="326">
        <v>0</v>
      </c>
      <c r="P4" s="326">
        <v>0</v>
      </c>
      <c r="Q4" s="326">
        <v>0</v>
      </c>
      <c r="R4" s="326">
        <v>0</v>
      </c>
      <c r="S4" s="326">
        <v>0</v>
      </c>
      <c r="T4" s="326">
        <v>0</v>
      </c>
      <c r="U4" s="326">
        <f>SUM(K4:T4)</f>
        <v>0</v>
      </c>
      <c r="V4" s="326">
        <v>0</v>
      </c>
      <c r="W4" s="326">
        <v>0</v>
      </c>
      <c r="X4" s="326">
        <v>0</v>
      </c>
      <c r="Y4" s="326">
        <v>0</v>
      </c>
      <c r="Z4" s="326">
        <v>0</v>
      </c>
      <c r="AA4" s="326">
        <v>0</v>
      </c>
      <c r="AB4" s="326">
        <v>0</v>
      </c>
      <c r="AC4" s="326">
        <v>0</v>
      </c>
      <c r="AD4" s="326">
        <v>0</v>
      </c>
      <c r="AE4" s="326">
        <v>0</v>
      </c>
      <c r="AF4" s="326">
        <v>0</v>
      </c>
      <c r="AG4" s="326">
        <f>SUM(V4:AF4)</f>
        <v>0</v>
      </c>
      <c r="AH4" s="326">
        <v>0</v>
      </c>
      <c r="AI4" s="326">
        <v>0</v>
      </c>
      <c r="AJ4" s="326">
        <v>0</v>
      </c>
      <c r="AK4" s="326">
        <v>3879697.5</v>
      </c>
      <c r="AL4" s="326">
        <v>684652.5</v>
      </c>
      <c r="AM4" s="326">
        <v>0</v>
      </c>
      <c r="AN4" s="326">
        <v>0</v>
      </c>
      <c r="AO4" s="326">
        <v>0</v>
      </c>
      <c r="AP4" s="326">
        <v>0</v>
      </c>
      <c r="AQ4" s="326">
        <v>0</v>
      </c>
      <c r="AR4" s="326">
        <v>0</v>
      </c>
      <c r="AS4" s="326">
        <f>SUM(AH4:AR4)</f>
        <v>4564350</v>
      </c>
      <c r="AT4" s="326">
        <v>0</v>
      </c>
      <c r="AU4" s="326">
        <v>91287</v>
      </c>
      <c r="AV4" s="326">
        <v>0</v>
      </c>
      <c r="AW4" s="326">
        <v>3802103.55</v>
      </c>
      <c r="AX4" s="326">
        <v>670959.44999999995</v>
      </c>
      <c r="AY4" s="326">
        <v>0</v>
      </c>
      <c r="AZ4" s="326">
        <v>0</v>
      </c>
      <c r="BA4" s="326">
        <v>0</v>
      </c>
      <c r="BB4" s="326">
        <v>0</v>
      </c>
      <c r="BC4" s="326">
        <v>0</v>
      </c>
      <c r="BD4" s="326">
        <v>0</v>
      </c>
      <c r="BE4" s="326">
        <f>SUM(AT4:BD4)</f>
        <v>4564350</v>
      </c>
      <c r="BF4" s="326">
        <v>0</v>
      </c>
      <c r="BG4" s="326">
        <v>0</v>
      </c>
      <c r="BH4" s="326">
        <v>0</v>
      </c>
      <c r="BI4" s="326">
        <v>0</v>
      </c>
      <c r="BJ4" s="326">
        <v>0</v>
      </c>
      <c r="BK4" s="326">
        <v>0</v>
      </c>
      <c r="BL4" s="326">
        <v>0</v>
      </c>
      <c r="BM4" s="326">
        <v>0</v>
      </c>
      <c r="BN4" s="326">
        <v>0</v>
      </c>
      <c r="BO4" s="326">
        <v>0</v>
      </c>
      <c r="BP4" s="326">
        <v>0</v>
      </c>
      <c r="BQ4" s="326">
        <f>SUM(BF4:BP4)</f>
        <v>0</v>
      </c>
      <c r="BR4" s="326">
        <v>0</v>
      </c>
      <c r="BS4" s="326">
        <v>0</v>
      </c>
      <c r="BT4" s="326">
        <v>0</v>
      </c>
      <c r="BU4" s="326">
        <v>0</v>
      </c>
      <c r="BV4" s="326">
        <v>0</v>
      </c>
      <c r="BW4" s="326">
        <v>0</v>
      </c>
      <c r="BX4" s="326">
        <v>0</v>
      </c>
      <c r="BY4" s="326">
        <v>0</v>
      </c>
      <c r="BZ4" s="326">
        <v>0</v>
      </c>
      <c r="CA4" s="326">
        <v>0</v>
      </c>
      <c r="CB4" s="326">
        <v>0</v>
      </c>
      <c r="CC4" s="326">
        <f>SUM(BR4:CB4)</f>
        <v>0</v>
      </c>
      <c r="CD4" s="326">
        <v>0</v>
      </c>
      <c r="CE4" s="326">
        <v>0</v>
      </c>
      <c r="CF4" s="326">
        <v>0</v>
      </c>
      <c r="CG4" s="326">
        <v>0</v>
      </c>
      <c r="CH4" s="326">
        <v>0</v>
      </c>
      <c r="CI4" s="326">
        <v>0</v>
      </c>
      <c r="CJ4" s="326">
        <v>0</v>
      </c>
      <c r="CK4" s="326">
        <v>0</v>
      </c>
      <c r="CL4" s="326">
        <v>0</v>
      </c>
      <c r="CM4" s="326">
        <v>0</v>
      </c>
      <c r="CN4" s="326">
        <v>0</v>
      </c>
      <c r="CO4" s="326">
        <f>SUM(CD4:CN4)</f>
        <v>0</v>
      </c>
      <c r="CP4" s="326">
        <v>0</v>
      </c>
      <c r="CQ4" s="326">
        <v>0</v>
      </c>
      <c r="CR4" s="326">
        <v>0</v>
      </c>
      <c r="CS4" s="326">
        <v>0</v>
      </c>
      <c r="CT4" s="326">
        <v>0</v>
      </c>
      <c r="CU4" s="326">
        <v>0</v>
      </c>
      <c r="CV4" s="326">
        <v>0</v>
      </c>
      <c r="CW4" s="326">
        <v>0</v>
      </c>
      <c r="CX4" s="326">
        <v>0</v>
      </c>
      <c r="CY4" s="326">
        <v>0</v>
      </c>
      <c r="CZ4" s="326">
        <v>0</v>
      </c>
      <c r="DA4" s="326">
        <f>SUM(CP4:CZ4)</f>
        <v>0</v>
      </c>
      <c r="DB4" s="326">
        <v>0</v>
      </c>
      <c r="DC4" s="326">
        <v>0</v>
      </c>
      <c r="DD4" s="326">
        <v>0</v>
      </c>
      <c r="DE4" s="326">
        <v>0</v>
      </c>
      <c r="DF4" s="326">
        <v>0</v>
      </c>
      <c r="DG4" s="326">
        <v>0</v>
      </c>
      <c r="DH4" s="326">
        <v>0</v>
      </c>
      <c r="DI4" s="326">
        <v>0</v>
      </c>
      <c r="DJ4" s="326">
        <v>0</v>
      </c>
      <c r="DK4" s="326">
        <v>0</v>
      </c>
      <c r="DL4" s="326">
        <v>0</v>
      </c>
      <c r="DM4" s="326">
        <f>SUM(DB4:DL4)</f>
        <v>0</v>
      </c>
      <c r="DN4" s="326">
        <v>0</v>
      </c>
      <c r="DO4" s="326">
        <v>0</v>
      </c>
      <c r="DP4" s="326">
        <v>0</v>
      </c>
      <c r="DQ4" s="326">
        <v>0</v>
      </c>
      <c r="DR4" s="326">
        <v>0</v>
      </c>
      <c r="DS4" s="326">
        <v>0</v>
      </c>
      <c r="DT4" s="326">
        <v>0</v>
      </c>
      <c r="DU4" s="326">
        <v>0</v>
      </c>
      <c r="DV4" s="326">
        <v>0</v>
      </c>
      <c r="DW4" s="326">
        <v>0</v>
      </c>
      <c r="DX4" s="326">
        <v>0</v>
      </c>
      <c r="DY4" s="326">
        <f>SUM(DN4:DX4)</f>
        <v>0</v>
      </c>
      <c r="DZ4" s="326">
        <v>0</v>
      </c>
      <c r="EA4" s="326">
        <v>0</v>
      </c>
      <c r="EB4" s="326">
        <v>0</v>
      </c>
      <c r="EC4" s="326">
        <v>0</v>
      </c>
      <c r="ED4" s="326">
        <v>0</v>
      </c>
      <c r="EE4" s="326">
        <v>0</v>
      </c>
      <c r="EF4" s="326">
        <v>0</v>
      </c>
      <c r="EG4" s="326">
        <v>0</v>
      </c>
      <c r="EH4" s="326">
        <v>0</v>
      </c>
      <c r="EI4" s="326">
        <v>0</v>
      </c>
      <c r="EJ4" s="326">
        <v>0</v>
      </c>
      <c r="EK4" s="341">
        <f>SUM(DZ4:EJ4)</f>
        <v>0</v>
      </c>
    </row>
    <row r="5" spans="1:141" s="151" customFormat="1" ht="120" x14ac:dyDescent="0.25">
      <c r="A5" s="429"/>
      <c r="B5" s="400"/>
      <c r="C5" s="56"/>
      <c r="D5" s="56"/>
      <c r="E5" s="56"/>
      <c r="F5" s="233" t="s">
        <v>1027</v>
      </c>
      <c r="G5" s="400"/>
      <c r="H5" s="400"/>
      <c r="I5" s="56" t="s">
        <v>933</v>
      </c>
      <c r="J5" s="326">
        <f>SUM(U5,AG5,AS5,BE5,BQ5,CC5)</f>
        <v>8900000</v>
      </c>
      <c r="K5" s="326">
        <v>0</v>
      </c>
      <c r="L5" s="326">
        <v>0</v>
      </c>
      <c r="M5" s="326">
        <v>0</v>
      </c>
      <c r="N5" s="326">
        <v>0</v>
      </c>
      <c r="O5" s="326">
        <v>0</v>
      </c>
      <c r="P5" s="326">
        <v>0</v>
      </c>
      <c r="Q5" s="326">
        <v>0</v>
      </c>
      <c r="R5" s="326">
        <v>0</v>
      </c>
      <c r="S5" s="326">
        <v>0</v>
      </c>
      <c r="T5" s="326">
        <v>0</v>
      </c>
      <c r="U5" s="326">
        <f>SUM(K5:T5)</f>
        <v>0</v>
      </c>
      <c r="V5" s="326">
        <v>0</v>
      </c>
      <c r="W5" s="326">
        <v>0</v>
      </c>
      <c r="X5" s="326">
        <v>0</v>
      </c>
      <c r="Y5" s="326">
        <v>0</v>
      </c>
      <c r="Z5" s="326">
        <v>0</v>
      </c>
      <c r="AA5" s="326">
        <v>0</v>
      </c>
      <c r="AB5" s="326">
        <v>0</v>
      </c>
      <c r="AC5" s="326">
        <v>0</v>
      </c>
      <c r="AD5" s="326">
        <v>0</v>
      </c>
      <c r="AE5" s="326">
        <v>0</v>
      </c>
      <c r="AF5" s="326">
        <v>0</v>
      </c>
      <c r="AG5" s="326">
        <f>SUM(V5:AF5)</f>
        <v>0</v>
      </c>
      <c r="AH5" s="326">
        <v>0</v>
      </c>
      <c r="AI5" s="326">
        <v>50000</v>
      </c>
      <c r="AJ5" s="326">
        <v>0</v>
      </c>
      <c r="AK5" s="326">
        <v>2805000</v>
      </c>
      <c r="AL5" s="326">
        <v>495000</v>
      </c>
      <c r="AM5" s="326">
        <v>0</v>
      </c>
      <c r="AN5" s="326">
        <v>0</v>
      </c>
      <c r="AO5" s="326">
        <v>0</v>
      </c>
      <c r="AP5" s="326">
        <v>0</v>
      </c>
      <c r="AQ5" s="326">
        <v>0</v>
      </c>
      <c r="AR5" s="326">
        <v>0</v>
      </c>
      <c r="AS5" s="326">
        <f>SUM(AH5:AR5)</f>
        <v>3350000</v>
      </c>
      <c r="AT5" s="326">
        <v>0</v>
      </c>
      <c r="AU5" s="326">
        <v>50000</v>
      </c>
      <c r="AV5" s="326">
        <v>0</v>
      </c>
      <c r="AW5" s="326">
        <v>3740000</v>
      </c>
      <c r="AX5" s="326">
        <v>660000</v>
      </c>
      <c r="AY5" s="326">
        <v>0</v>
      </c>
      <c r="AZ5" s="326">
        <v>0</v>
      </c>
      <c r="BA5" s="326">
        <v>0</v>
      </c>
      <c r="BB5" s="326">
        <v>0</v>
      </c>
      <c r="BC5" s="326">
        <v>0</v>
      </c>
      <c r="BD5" s="326">
        <v>0</v>
      </c>
      <c r="BE5" s="326">
        <f>SUM(AT5:BD5)</f>
        <v>4450000</v>
      </c>
      <c r="BF5" s="326">
        <v>0</v>
      </c>
      <c r="BG5" s="326">
        <v>88000</v>
      </c>
      <c r="BH5" s="326">
        <v>0</v>
      </c>
      <c r="BI5" s="326">
        <v>860200</v>
      </c>
      <c r="BJ5" s="326">
        <v>151800</v>
      </c>
      <c r="BK5" s="326">
        <v>0</v>
      </c>
      <c r="BL5" s="326">
        <v>0</v>
      </c>
      <c r="BM5" s="326">
        <v>0</v>
      </c>
      <c r="BN5" s="326">
        <v>0</v>
      </c>
      <c r="BO5" s="326">
        <v>0</v>
      </c>
      <c r="BP5" s="326">
        <v>0</v>
      </c>
      <c r="BQ5" s="326">
        <f>SUM(BF5:BP5)</f>
        <v>1100000</v>
      </c>
      <c r="BR5" s="326">
        <v>0</v>
      </c>
      <c r="BS5" s="326">
        <v>0</v>
      </c>
      <c r="BT5" s="326">
        <v>0</v>
      </c>
      <c r="BU5" s="326">
        <v>0</v>
      </c>
      <c r="BV5" s="326">
        <v>0</v>
      </c>
      <c r="BW5" s="326">
        <v>0</v>
      </c>
      <c r="BX5" s="326">
        <v>0</v>
      </c>
      <c r="BY5" s="326">
        <v>0</v>
      </c>
      <c r="BZ5" s="326">
        <v>0</v>
      </c>
      <c r="CA5" s="326">
        <v>0</v>
      </c>
      <c r="CB5" s="326">
        <v>0</v>
      </c>
      <c r="CC5" s="326">
        <f>SUM(BR5:CB5)</f>
        <v>0</v>
      </c>
      <c r="CD5" s="326">
        <v>0</v>
      </c>
      <c r="CE5" s="326">
        <v>0</v>
      </c>
      <c r="CF5" s="326">
        <v>0</v>
      </c>
      <c r="CG5" s="326">
        <v>0</v>
      </c>
      <c r="CH5" s="326">
        <v>0</v>
      </c>
      <c r="CI5" s="326">
        <v>0</v>
      </c>
      <c r="CJ5" s="326">
        <v>0</v>
      </c>
      <c r="CK5" s="326">
        <v>0</v>
      </c>
      <c r="CL5" s="326">
        <v>0</v>
      </c>
      <c r="CM5" s="326">
        <v>0</v>
      </c>
      <c r="CN5" s="326">
        <v>0</v>
      </c>
      <c r="CO5" s="326">
        <f>SUM(CD5:CN5)</f>
        <v>0</v>
      </c>
      <c r="CP5" s="326">
        <v>0</v>
      </c>
      <c r="CQ5" s="326">
        <v>0</v>
      </c>
      <c r="CR5" s="326">
        <v>0</v>
      </c>
      <c r="CS5" s="326">
        <v>0</v>
      </c>
      <c r="CT5" s="326">
        <v>0</v>
      </c>
      <c r="CU5" s="326">
        <v>0</v>
      </c>
      <c r="CV5" s="326">
        <v>0</v>
      </c>
      <c r="CW5" s="326">
        <v>0</v>
      </c>
      <c r="CX5" s="326">
        <v>0</v>
      </c>
      <c r="CY5" s="326">
        <v>0</v>
      </c>
      <c r="CZ5" s="326">
        <v>0</v>
      </c>
      <c r="DA5" s="326">
        <f>SUM(CP5:CZ5)</f>
        <v>0</v>
      </c>
      <c r="DB5" s="326">
        <v>0</v>
      </c>
      <c r="DC5" s="326">
        <v>0</v>
      </c>
      <c r="DD5" s="326">
        <v>0</v>
      </c>
      <c r="DE5" s="326">
        <v>0</v>
      </c>
      <c r="DF5" s="326">
        <v>0</v>
      </c>
      <c r="DG5" s="326">
        <v>0</v>
      </c>
      <c r="DH5" s="326">
        <v>0</v>
      </c>
      <c r="DI5" s="326">
        <v>0</v>
      </c>
      <c r="DJ5" s="326">
        <v>0</v>
      </c>
      <c r="DK5" s="326">
        <v>0</v>
      </c>
      <c r="DL5" s="326">
        <v>0</v>
      </c>
      <c r="DM5" s="326">
        <f>SUM(DB5:DL5)</f>
        <v>0</v>
      </c>
      <c r="DN5" s="326">
        <v>0</v>
      </c>
      <c r="DO5" s="326">
        <v>0</v>
      </c>
      <c r="DP5" s="326">
        <v>0</v>
      </c>
      <c r="DQ5" s="326">
        <v>0</v>
      </c>
      <c r="DR5" s="326">
        <v>0</v>
      </c>
      <c r="DS5" s="326">
        <v>0</v>
      </c>
      <c r="DT5" s="326">
        <v>0</v>
      </c>
      <c r="DU5" s="326">
        <v>0</v>
      </c>
      <c r="DV5" s="326">
        <v>0</v>
      </c>
      <c r="DW5" s="326">
        <v>0</v>
      </c>
      <c r="DX5" s="326">
        <v>0</v>
      </c>
      <c r="DY5" s="326">
        <f>SUM(DN5:DX5)</f>
        <v>0</v>
      </c>
      <c r="DZ5" s="326">
        <v>0</v>
      </c>
      <c r="EA5" s="326">
        <v>0</v>
      </c>
      <c r="EB5" s="326">
        <v>0</v>
      </c>
      <c r="EC5" s="326">
        <v>0</v>
      </c>
      <c r="ED5" s="326">
        <v>0</v>
      </c>
      <c r="EE5" s="326">
        <v>0</v>
      </c>
      <c r="EF5" s="326">
        <v>0</v>
      </c>
      <c r="EG5" s="326">
        <v>0</v>
      </c>
      <c r="EH5" s="326">
        <v>0</v>
      </c>
      <c r="EI5" s="326">
        <v>0</v>
      </c>
      <c r="EJ5" s="326">
        <v>0</v>
      </c>
      <c r="EK5" s="341">
        <f>SUM(DZ5:EJ5)</f>
        <v>0</v>
      </c>
    </row>
    <row r="6" spans="1:141" s="151" customFormat="1" ht="165" x14ac:dyDescent="0.25">
      <c r="A6" s="429"/>
      <c r="B6" s="400"/>
      <c r="C6" s="56"/>
      <c r="D6" s="56"/>
      <c r="E6" s="56" t="s">
        <v>1386</v>
      </c>
      <c r="F6" s="233" t="s">
        <v>1033</v>
      </c>
      <c r="G6" s="400"/>
      <c r="H6" s="400"/>
      <c r="I6" s="56" t="s">
        <v>1050</v>
      </c>
      <c r="J6" s="326">
        <f>SUM(U6,AG6,AS6,BE6,BQ6,CC6)</f>
        <v>5378688.9199999999</v>
      </c>
      <c r="K6" s="326">
        <v>0</v>
      </c>
      <c r="L6" s="326">
        <v>0</v>
      </c>
      <c r="M6" s="326">
        <v>0</v>
      </c>
      <c r="N6" s="326">
        <v>0</v>
      </c>
      <c r="O6" s="326">
        <v>0</v>
      </c>
      <c r="P6" s="326">
        <v>0</v>
      </c>
      <c r="Q6" s="326">
        <v>0</v>
      </c>
      <c r="R6" s="326">
        <v>0</v>
      </c>
      <c r="S6" s="326">
        <v>0</v>
      </c>
      <c r="T6" s="326">
        <v>11688.92</v>
      </c>
      <c r="U6" s="326">
        <f>SUM(K6:T6)</f>
        <v>11688.92</v>
      </c>
      <c r="V6" s="326">
        <v>0</v>
      </c>
      <c r="W6" s="326">
        <v>0</v>
      </c>
      <c r="X6" s="326">
        <v>0</v>
      </c>
      <c r="Y6" s="326">
        <v>0</v>
      </c>
      <c r="Z6" s="326">
        <v>0</v>
      </c>
      <c r="AA6" s="326">
        <v>0</v>
      </c>
      <c r="AB6" s="326">
        <v>0</v>
      </c>
      <c r="AC6" s="326">
        <v>0</v>
      </c>
      <c r="AD6" s="326">
        <v>0</v>
      </c>
      <c r="AE6" s="326">
        <v>0</v>
      </c>
      <c r="AF6" s="326">
        <v>19000</v>
      </c>
      <c r="AG6" s="326">
        <f>SUM(V6:AF6)</f>
        <v>19000</v>
      </c>
      <c r="AH6" s="326">
        <v>0</v>
      </c>
      <c r="AI6" s="326">
        <v>0</v>
      </c>
      <c r="AJ6" s="326">
        <v>0</v>
      </c>
      <c r="AK6" s="326">
        <v>0</v>
      </c>
      <c r="AL6" s="326">
        <v>0</v>
      </c>
      <c r="AM6" s="326">
        <v>0</v>
      </c>
      <c r="AN6" s="326">
        <v>0</v>
      </c>
      <c r="AO6" s="326">
        <v>0</v>
      </c>
      <c r="AP6" s="326">
        <v>0</v>
      </c>
      <c r="AQ6" s="326">
        <v>0</v>
      </c>
      <c r="AR6" s="326">
        <v>0</v>
      </c>
      <c r="AS6" s="326">
        <f>SUM(AH6:AR6)</f>
        <v>0</v>
      </c>
      <c r="AT6" s="326">
        <v>0</v>
      </c>
      <c r="AU6" s="326">
        <v>0</v>
      </c>
      <c r="AV6" s="326">
        <v>0</v>
      </c>
      <c r="AW6" s="326">
        <v>0</v>
      </c>
      <c r="AX6" s="326">
        <v>0</v>
      </c>
      <c r="AY6" s="326">
        <v>0</v>
      </c>
      <c r="AZ6" s="326">
        <v>0</v>
      </c>
      <c r="BA6" s="326">
        <v>0</v>
      </c>
      <c r="BB6" s="326">
        <v>0</v>
      </c>
      <c r="BC6" s="326">
        <v>0</v>
      </c>
      <c r="BD6" s="326">
        <v>0</v>
      </c>
      <c r="BE6" s="326">
        <f>SUM(AT6:BD6)</f>
        <v>0</v>
      </c>
      <c r="BF6" s="326">
        <v>4348000</v>
      </c>
      <c r="BG6" s="326">
        <v>0</v>
      </c>
      <c r="BH6" s="326">
        <v>0</v>
      </c>
      <c r="BI6" s="326">
        <v>0</v>
      </c>
      <c r="BJ6" s="326">
        <v>0</v>
      </c>
      <c r="BK6" s="326">
        <v>0</v>
      </c>
      <c r="BL6" s="326">
        <v>0</v>
      </c>
      <c r="BM6" s="326">
        <v>0</v>
      </c>
      <c r="BN6" s="326">
        <v>0</v>
      </c>
      <c r="BO6" s="326">
        <v>0</v>
      </c>
      <c r="BP6" s="326">
        <v>0</v>
      </c>
      <c r="BQ6" s="326">
        <f>SUM(BF6:BP6)</f>
        <v>4348000</v>
      </c>
      <c r="BR6" s="326">
        <v>1000000</v>
      </c>
      <c r="BS6" s="326">
        <v>0</v>
      </c>
      <c r="BT6" s="326">
        <v>0</v>
      </c>
      <c r="BU6" s="326">
        <v>0</v>
      </c>
      <c r="BV6" s="326">
        <v>0</v>
      </c>
      <c r="BW6" s="326">
        <v>0</v>
      </c>
      <c r="BX6" s="326">
        <v>0</v>
      </c>
      <c r="BY6" s="326">
        <v>0</v>
      </c>
      <c r="BZ6" s="326">
        <v>0</v>
      </c>
      <c r="CA6" s="326">
        <v>0</v>
      </c>
      <c r="CB6" s="326">
        <v>0</v>
      </c>
      <c r="CC6" s="326">
        <f>SUM(BR6:CB6)</f>
        <v>1000000</v>
      </c>
      <c r="CD6" s="326">
        <v>0</v>
      </c>
      <c r="CE6" s="326">
        <v>0</v>
      </c>
      <c r="CF6" s="326">
        <v>0</v>
      </c>
      <c r="CG6" s="326">
        <v>0</v>
      </c>
      <c r="CH6" s="326">
        <v>0</v>
      </c>
      <c r="CI6" s="326">
        <v>0</v>
      </c>
      <c r="CJ6" s="326">
        <v>0</v>
      </c>
      <c r="CK6" s="326">
        <v>0</v>
      </c>
      <c r="CL6" s="326">
        <v>0</v>
      </c>
      <c r="CM6" s="326">
        <v>0</v>
      </c>
      <c r="CN6" s="326">
        <v>0</v>
      </c>
      <c r="CO6" s="326">
        <f>SUM(CD6:CN6)</f>
        <v>0</v>
      </c>
      <c r="CP6" s="326">
        <v>0</v>
      </c>
      <c r="CQ6" s="326">
        <v>0</v>
      </c>
      <c r="CR6" s="326">
        <v>0</v>
      </c>
      <c r="CS6" s="326">
        <v>0</v>
      </c>
      <c r="CT6" s="326">
        <v>0</v>
      </c>
      <c r="CU6" s="326">
        <v>0</v>
      </c>
      <c r="CV6" s="326">
        <v>0</v>
      </c>
      <c r="CW6" s="326">
        <v>0</v>
      </c>
      <c r="CX6" s="326">
        <v>0</v>
      </c>
      <c r="CY6" s="326">
        <v>0</v>
      </c>
      <c r="CZ6" s="326">
        <v>0</v>
      </c>
      <c r="DA6" s="326">
        <f>SUM(CP6:CZ6)</f>
        <v>0</v>
      </c>
      <c r="DB6" s="326">
        <v>0</v>
      </c>
      <c r="DC6" s="326">
        <v>0</v>
      </c>
      <c r="DD6" s="326">
        <v>0</v>
      </c>
      <c r="DE6" s="326">
        <v>0</v>
      </c>
      <c r="DF6" s="326">
        <v>0</v>
      </c>
      <c r="DG6" s="326">
        <v>0</v>
      </c>
      <c r="DH6" s="326">
        <v>0</v>
      </c>
      <c r="DI6" s="326">
        <v>0</v>
      </c>
      <c r="DJ6" s="326">
        <v>0</v>
      </c>
      <c r="DK6" s="326">
        <v>0</v>
      </c>
      <c r="DL6" s="326">
        <v>0</v>
      </c>
      <c r="DM6" s="326">
        <f>SUM(DB6:DL6)</f>
        <v>0</v>
      </c>
      <c r="DN6" s="326">
        <v>0</v>
      </c>
      <c r="DO6" s="326">
        <v>0</v>
      </c>
      <c r="DP6" s="326">
        <v>0</v>
      </c>
      <c r="DQ6" s="326">
        <v>0</v>
      </c>
      <c r="DR6" s="326">
        <v>0</v>
      </c>
      <c r="DS6" s="326">
        <v>0</v>
      </c>
      <c r="DT6" s="326">
        <v>0</v>
      </c>
      <c r="DU6" s="326">
        <v>0</v>
      </c>
      <c r="DV6" s="326">
        <v>0</v>
      </c>
      <c r="DW6" s="326">
        <v>0</v>
      </c>
      <c r="DX6" s="326">
        <v>0</v>
      </c>
      <c r="DY6" s="326">
        <f>SUM(DN6:DX6)</f>
        <v>0</v>
      </c>
      <c r="DZ6" s="326">
        <v>0</v>
      </c>
      <c r="EA6" s="326">
        <v>0</v>
      </c>
      <c r="EB6" s="326">
        <v>0</v>
      </c>
      <c r="EC6" s="326">
        <v>0</v>
      </c>
      <c r="ED6" s="326">
        <v>0</v>
      </c>
      <c r="EE6" s="326">
        <v>0</v>
      </c>
      <c r="EF6" s="326">
        <v>0</v>
      </c>
      <c r="EG6" s="326">
        <v>0</v>
      </c>
      <c r="EH6" s="326">
        <v>0</v>
      </c>
      <c r="EI6" s="326">
        <v>0</v>
      </c>
      <c r="EJ6" s="326">
        <v>0</v>
      </c>
      <c r="EK6" s="341">
        <f>SUM(DZ6:EJ6)</f>
        <v>0</v>
      </c>
    </row>
    <row r="7" spans="1:141" s="151" customFormat="1" ht="60" x14ac:dyDescent="0.25">
      <c r="A7" s="429"/>
      <c r="B7" s="400"/>
      <c r="C7" s="56"/>
      <c r="D7" s="56"/>
      <c r="E7" s="56" t="s">
        <v>1387</v>
      </c>
      <c r="F7" s="233" t="s">
        <v>1044</v>
      </c>
      <c r="G7" s="400"/>
      <c r="H7" s="400"/>
      <c r="I7" s="56" t="s">
        <v>1008</v>
      </c>
      <c r="J7" s="326">
        <f>SUM(U7,AG7,AS7,BE7,BQ7,CC7)</f>
        <v>510000</v>
      </c>
      <c r="K7" s="326">
        <v>0</v>
      </c>
      <c r="L7" s="326">
        <v>0</v>
      </c>
      <c r="M7" s="326">
        <v>0</v>
      </c>
      <c r="N7" s="326">
        <v>0</v>
      </c>
      <c r="O7" s="326">
        <v>0</v>
      </c>
      <c r="P7" s="326">
        <v>0</v>
      </c>
      <c r="Q7" s="326">
        <v>0</v>
      </c>
      <c r="R7" s="326">
        <v>0</v>
      </c>
      <c r="S7" s="326">
        <v>0</v>
      </c>
      <c r="T7" s="326">
        <v>0</v>
      </c>
      <c r="U7" s="326">
        <f>SUM(K7:T7)</f>
        <v>0</v>
      </c>
      <c r="V7" s="326" t="s">
        <v>1313</v>
      </c>
      <c r="W7" s="326">
        <v>0</v>
      </c>
      <c r="X7" s="326">
        <v>0</v>
      </c>
      <c r="Y7" s="326">
        <v>0</v>
      </c>
      <c r="Z7" s="326">
        <v>0</v>
      </c>
      <c r="AA7" s="326">
        <v>0</v>
      </c>
      <c r="AB7" s="326">
        <v>0</v>
      </c>
      <c r="AC7" s="326">
        <v>0</v>
      </c>
      <c r="AD7" s="326">
        <v>0</v>
      </c>
      <c r="AE7" s="326">
        <v>0</v>
      </c>
      <c r="AF7" s="326">
        <v>0</v>
      </c>
      <c r="AG7" s="326">
        <f>SUM(V7:AF7)</f>
        <v>0</v>
      </c>
      <c r="AH7" s="326">
        <v>0</v>
      </c>
      <c r="AI7" s="326">
        <v>0</v>
      </c>
      <c r="AJ7" s="326">
        <v>0</v>
      </c>
      <c r="AK7" s="326">
        <v>0</v>
      </c>
      <c r="AL7" s="326">
        <v>0</v>
      </c>
      <c r="AM7" s="326">
        <v>0</v>
      </c>
      <c r="AN7" s="326">
        <v>0</v>
      </c>
      <c r="AO7" s="326">
        <v>0</v>
      </c>
      <c r="AP7" s="326">
        <v>0</v>
      </c>
      <c r="AQ7" s="326">
        <v>0</v>
      </c>
      <c r="AR7" s="326">
        <v>0</v>
      </c>
      <c r="AS7" s="326">
        <f>SUM(AH7:AR7)</f>
        <v>0</v>
      </c>
      <c r="AT7" s="326">
        <v>510000</v>
      </c>
      <c r="AU7" s="326">
        <v>0</v>
      </c>
      <c r="AV7" s="326">
        <v>0</v>
      </c>
      <c r="AW7" s="326">
        <v>0</v>
      </c>
      <c r="AX7" s="326">
        <v>0</v>
      </c>
      <c r="AY7" s="326">
        <v>0</v>
      </c>
      <c r="AZ7" s="326">
        <v>0</v>
      </c>
      <c r="BA7" s="326">
        <v>0</v>
      </c>
      <c r="BB7" s="326">
        <v>0</v>
      </c>
      <c r="BC7" s="326">
        <v>0</v>
      </c>
      <c r="BD7" s="326">
        <v>0</v>
      </c>
      <c r="BE7" s="326">
        <f>SUM(AT7:BD7)</f>
        <v>510000</v>
      </c>
      <c r="BF7" s="326">
        <v>0</v>
      </c>
      <c r="BG7" s="326">
        <v>0</v>
      </c>
      <c r="BH7" s="326">
        <v>0</v>
      </c>
      <c r="BI7" s="326">
        <v>0</v>
      </c>
      <c r="BJ7" s="326">
        <v>0</v>
      </c>
      <c r="BK7" s="326">
        <v>0</v>
      </c>
      <c r="BL7" s="326">
        <v>0</v>
      </c>
      <c r="BM7" s="326">
        <v>0</v>
      </c>
      <c r="BN7" s="326">
        <v>0</v>
      </c>
      <c r="BO7" s="326">
        <v>0</v>
      </c>
      <c r="BP7" s="326">
        <v>0</v>
      </c>
      <c r="BQ7" s="326">
        <f>SUM(BF7:BP7)</f>
        <v>0</v>
      </c>
      <c r="BR7" s="326">
        <v>0</v>
      </c>
      <c r="BS7" s="326">
        <v>0</v>
      </c>
      <c r="BT7" s="326">
        <v>0</v>
      </c>
      <c r="BU7" s="326">
        <v>0</v>
      </c>
      <c r="BV7" s="326">
        <v>0</v>
      </c>
      <c r="BW7" s="326">
        <v>0</v>
      </c>
      <c r="BX7" s="326">
        <v>0</v>
      </c>
      <c r="BY7" s="326">
        <v>0</v>
      </c>
      <c r="BZ7" s="326">
        <v>0</v>
      </c>
      <c r="CA7" s="326">
        <v>0</v>
      </c>
      <c r="CB7" s="326">
        <v>0</v>
      </c>
      <c r="CC7" s="326">
        <f>SUM(BR7:CB7)</f>
        <v>0</v>
      </c>
      <c r="CD7" s="326">
        <v>0</v>
      </c>
      <c r="CE7" s="326">
        <v>0</v>
      </c>
      <c r="CF7" s="326">
        <v>0</v>
      </c>
      <c r="CG7" s="326">
        <v>0</v>
      </c>
      <c r="CH7" s="326">
        <v>0</v>
      </c>
      <c r="CI7" s="326">
        <v>0</v>
      </c>
      <c r="CJ7" s="326">
        <v>0</v>
      </c>
      <c r="CK7" s="326">
        <v>0</v>
      </c>
      <c r="CL7" s="326">
        <v>0</v>
      </c>
      <c r="CM7" s="326">
        <v>0</v>
      </c>
      <c r="CN7" s="326">
        <v>0</v>
      </c>
      <c r="CO7" s="326">
        <f>SUM(CD7:CN7)</f>
        <v>0</v>
      </c>
      <c r="CP7" s="326">
        <v>0</v>
      </c>
      <c r="CQ7" s="326">
        <v>0</v>
      </c>
      <c r="CR7" s="326">
        <v>0</v>
      </c>
      <c r="CS7" s="326">
        <v>0</v>
      </c>
      <c r="CT7" s="326">
        <v>0</v>
      </c>
      <c r="CU7" s="326">
        <v>0</v>
      </c>
      <c r="CV7" s="326">
        <v>0</v>
      </c>
      <c r="CW7" s="326">
        <v>0</v>
      </c>
      <c r="CX7" s="326">
        <v>0</v>
      </c>
      <c r="CY7" s="326">
        <v>0</v>
      </c>
      <c r="CZ7" s="326">
        <v>0</v>
      </c>
      <c r="DA7" s="326">
        <f>SUM(CP7:CZ7)</f>
        <v>0</v>
      </c>
      <c r="DB7" s="326">
        <v>0</v>
      </c>
      <c r="DC7" s="326">
        <v>0</v>
      </c>
      <c r="DD7" s="326">
        <v>0</v>
      </c>
      <c r="DE7" s="326">
        <v>0</v>
      </c>
      <c r="DF7" s="326">
        <v>0</v>
      </c>
      <c r="DG7" s="326">
        <v>0</v>
      </c>
      <c r="DH7" s="326">
        <v>0</v>
      </c>
      <c r="DI7" s="326">
        <v>0</v>
      </c>
      <c r="DJ7" s="326">
        <v>0</v>
      </c>
      <c r="DK7" s="326">
        <v>0</v>
      </c>
      <c r="DL7" s="326">
        <v>0</v>
      </c>
      <c r="DM7" s="326">
        <f>SUM(DB7:DL7)</f>
        <v>0</v>
      </c>
      <c r="DN7" s="326">
        <v>0</v>
      </c>
      <c r="DO7" s="326">
        <v>0</v>
      </c>
      <c r="DP7" s="326">
        <v>0</v>
      </c>
      <c r="DQ7" s="326">
        <v>0</v>
      </c>
      <c r="DR7" s="326">
        <v>0</v>
      </c>
      <c r="DS7" s="326">
        <v>0</v>
      </c>
      <c r="DT7" s="326">
        <v>0</v>
      </c>
      <c r="DU7" s="326">
        <v>0</v>
      </c>
      <c r="DV7" s="326">
        <v>0</v>
      </c>
      <c r="DW7" s="326">
        <v>0</v>
      </c>
      <c r="DX7" s="326">
        <v>0</v>
      </c>
      <c r="DY7" s="326">
        <f>SUM(DN7:DX7)</f>
        <v>0</v>
      </c>
      <c r="DZ7" s="326">
        <v>0</v>
      </c>
      <c r="EA7" s="326">
        <v>0</v>
      </c>
      <c r="EB7" s="326">
        <v>0</v>
      </c>
      <c r="EC7" s="326">
        <v>0</v>
      </c>
      <c r="ED7" s="326">
        <v>0</v>
      </c>
      <c r="EE7" s="326">
        <v>0</v>
      </c>
      <c r="EF7" s="326">
        <v>0</v>
      </c>
      <c r="EG7" s="326">
        <v>0</v>
      </c>
      <c r="EH7" s="326">
        <v>0</v>
      </c>
      <c r="EI7" s="326">
        <v>0</v>
      </c>
      <c r="EJ7" s="326">
        <v>0</v>
      </c>
      <c r="EK7" s="341">
        <f>SUM(DZ7:EJ7)</f>
        <v>0</v>
      </c>
    </row>
    <row r="8" spans="1:141" s="151" customFormat="1" ht="90.75" thickBot="1" x14ac:dyDescent="0.3">
      <c r="A8" s="430"/>
      <c r="B8" s="416"/>
      <c r="C8" s="416"/>
      <c r="D8" s="416"/>
      <c r="E8" s="416" t="s">
        <v>1388</v>
      </c>
      <c r="F8" s="189" t="s">
        <v>1183</v>
      </c>
      <c r="G8" s="418"/>
      <c r="H8" s="416"/>
      <c r="I8" s="416" t="s">
        <v>1197</v>
      </c>
      <c r="J8" s="419">
        <f>SUM(U8,AG8,AS8,BE8,BQ8,CC8,CO8,DA8,DM8,DY8,EK8)</f>
        <v>22387377.579999998</v>
      </c>
      <c r="K8" s="419">
        <v>0</v>
      </c>
      <c r="L8" s="419">
        <v>0</v>
      </c>
      <c r="M8" s="419">
        <v>0</v>
      </c>
      <c r="N8" s="419">
        <v>0</v>
      </c>
      <c r="O8" s="419">
        <v>0</v>
      </c>
      <c r="P8" s="419">
        <v>0</v>
      </c>
      <c r="Q8" s="419">
        <v>0</v>
      </c>
      <c r="R8" s="419">
        <v>0</v>
      </c>
      <c r="S8" s="419">
        <v>0</v>
      </c>
      <c r="T8" s="419">
        <v>390000</v>
      </c>
      <c r="U8" s="419">
        <f>K8+L8+M8+N8+O8+P8+Q8+R8+S8+T8</f>
        <v>390000</v>
      </c>
      <c r="V8" s="419">
        <v>0</v>
      </c>
      <c r="W8" s="419">
        <v>0</v>
      </c>
      <c r="X8" s="419">
        <v>0</v>
      </c>
      <c r="Y8" s="419">
        <v>0</v>
      </c>
      <c r="Z8" s="419">
        <v>0</v>
      </c>
      <c r="AA8" s="419">
        <v>0</v>
      </c>
      <c r="AB8" s="419">
        <v>0</v>
      </c>
      <c r="AC8" s="419">
        <v>0</v>
      </c>
      <c r="AD8" s="419">
        <v>0</v>
      </c>
      <c r="AE8" s="419">
        <v>0</v>
      </c>
      <c r="AF8" s="419">
        <v>25900</v>
      </c>
      <c r="AG8" s="419">
        <f>V8+W8+X8+Y8+Z8+AA8+AB8+AC8+AD8+AE8+AF8</f>
        <v>25900</v>
      </c>
      <c r="AH8" s="419">
        <v>0</v>
      </c>
      <c r="AI8" s="419">
        <v>0</v>
      </c>
      <c r="AJ8" s="419">
        <v>0</v>
      </c>
      <c r="AK8" s="419">
        <v>0</v>
      </c>
      <c r="AL8" s="419">
        <v>0</v>
      </c>
      <c r="AM8" s="419">
        <v>0</v>
      </c>
      <c r="AN8" s="419">
        <v>0</v>
      </c>
      <c r="AO8" s="419">
        <v>0</v>
      </c>
      <c r="AP8" s="419">
        <v>0</v>
      </c>
      <c r="AQ8" s="419">
        <v>0</v>
      </c>
      <c r="AR8" s="419">
        <v>3295721.64</v>
      </c>
      <c r="AS8" s="419">
        <f>AH8+AI8+AJ8+AK8+AL8+AM8+AN8+AO8+AP8+AQ8+AR8</f>
        <v>3295721.64</v>
      </c>
      <c r="AT8" s="419">
        <v>0</v>
      </c>
      <c r="AU8" s="419">
        <v>0</v>
      </c>
      <c r="AV8" s="419">
        <v>0</v>
      </c>
      <c r="AW8" s="419">
        <v>0</v>
      </c>
      <c r="AX8" s="419">
        <v>0</v>
      </c>
      <c r="AY8" s="419">
        <v>0</v>
      </c>
      <c r="AZ8" s="419">
        <v>0</v>
      </c>
      <c r="BA8" s="419">
        <v>0</v>
      </c>
      <c r="BB8" s="419">
        <v>0</v>
      </c>
      <c r="BC8" s="419">
        <v>0</v>
      </c>
      <c r="BD8" s="419">
        <v>8788591.0299999993</v>
      </c>
      <c r="BE8" s="419">
        <f>AT8+AU8+AV8+AW8+AX8+AY8+AZ8+BA8+BB8+BC8+BD8</f>
        <v>8788591.0299999993</v>
      </c>
      <c r="BF8" s="419">
        <v>0</v>
      </c>
      <c r="BG8" s="419">
        <v>0</v>
      </c>
      <c r="BH8" s="419">
        <v>0</v>
      </c>
      <c r="BI8" s="419">
        <v>0</v>
      </c>
      <c r="BJ8" s="419">
        <v>0</v>
      </c>
      <c r="BK8" s="419">
        <v>0</v>
      </c>
      <c r="BL8" s="419">
        <v>0</v>
      </c>
      <c r="BM8" s="419">
        <v>0</v>
      </c>
      <c r="BN8" s="419">
        <v>0</v>
      </c>
      <c r="BO8" s="419">
        <v>0</v>
      </c>
      <c r="BP8" s="419">
        <v>9887164.9100000001</v>
      </c>
      <c r="BQ8" s="419">
        <f>BF8+BG8+BH8+BI8+BJ8+BK8+BL8+BM8+BN8+BO8+BP8</f>
        <v>9887164.9100000001</v>
      </c>
      <c r="BR8" s="419">
        <v>0</v>
      </c>
      <c r="BS8" s="419">
        <v>0</v>
      </c>
      <c r="BT8" s="419">
        <v>0</v>
      </c>
      <c r="BU8" s="419">
        <v>0</v>
      </c>
      <c r="BV8" s="419">
        <v>0</v>
      </c>
      <c r="BW8" s="419">
        <v>0</v>
      </c>
      <c r="BX8" s="419">
        <v>0</v>
      </c>
      <c r="BY8" s="419">
        <v>0</v>
      </c>
      <c r="BZ8" s="419">
        <v>0</v>
      </c>
      <c r="CA8" s="419">
        <v>0</v>
      </c>
      <c r="CB8" s="419">
        <v>0</v>
      </c>
      <c r="CC8" s="419">
        <v>0</v>
      </c>
      <c r="CD8" s="419">
        <v>0</v>
      </c>
      <c r="CE8" s="419">
        <v>0</v>
      </c>
      <c r="CF8" s="419">
        <v>0</v>
      </c>
      <c r="CG8" s="419">
        <v>0</v>
      </c>
      <c r="CH8" s="419">
        <v>0</v>
      </c>
      <c r="CI8" s="419">
        <v>0</v>
      </c>
      <c r="CJ8" s="419">
        <v>0</v>
      </c>
      <c r="CK8" s="419">
        <v>0</v>
      </c>
      <c r="CL8" s="419">
        <v>0</v>
      </c>
      <c r="CM8" s="419">
        <v>0</v>
      </c>
      <c r="CN8" s="419">
        <v>0</v>
      </c>
      <c r="CO8" s="419">
        <f>CD8+CE8+CF8+CG8+CH8+CI8+CJ8+CK8+CL8+CM8+CN8</f>
        <v>0</v>
      </c>
      <c r="CP8" s="419">
        <v>0</v>
      </c>
      <c r="CQ8" s="419">
        <v>0</v>
      </c>
      <c r="CR8" s="419">
        <v>0</v>
      </c>
      <c r="CS8" s="419">
        <v>0</v>
      </c>
      <c r="CT8" s="419">
        <v>0</v>
      </c>
      <c r="CU8" s="419">
        <v>0</v>
      </c>
      <c r="CV8" s="419">
        <v>0</v>
      </c>
      <c r="CW8" s="419">
        <v>0</v>
      </c>
      <c r="CX8" s="419">
        <v>0</v>
      </c>
      <c r="CY8" s="419">
        <v>0</v>
      </c>
      <c r="CZ8" s="419">
        <v>0</v>
      </c>
      <c r="DA8" s="419">
        <f>CP8+CQ8+CR8+CS8+CT8+CU8+CV8+CW8+CX8+CY8+CZ8</f>
        <v>0</v>
      </c>
      <c r="DB8" s="419">
        <v>0</v>
      </c>
      <c r="DC8" s="419">
        <v>0</v>
      </c>
      <c r="DD8" s="419">
        <v>0</v>
      </c>
      <c r="DE8" s="419">
        <v>0</v>
      </c>
      <c r="DF8" s="419">
        <v>0</v>
      </c>
      <c r="DG8" s="419">
        <v>0</v>
      </c>
      <c r="DH8" s="419">
        <v>0</v>
      </c>
      <c r="DI8" s="419">
        <v>0</v>
      </c>
      <c r="DJ8" s="419">
        <v>0</v>
      </c>
      <c r="DK8" s="419">
        <v>0</v>
      </c>
      <c r="DL8" s="419">
        <v>0</v>
      </c>
      <c r="DM8" s="419">
        <f>DB8+DC8+DD8+DE8+DF8+DG8+DH8+DI8+DJ8+DK8+DL8</f>
        <v>0</v>
      </c>
      <c r="DN8" s="419">
        <v>0</v>
      </c>
      <c r="DO8" s="419">
        <v>0</v>
      </c>
      <c r="DP8" s="419">
        <v>0</v>
      </c>
      <c r="DQ8" s="419">
        <v>0</v>
      </c>
      <c r="DR8" s="419">
        <v>0</v>
      </c>
      <c r="DS8" s="419">
        <v>0</v>
      </c>
      <c r="DT8" s="419">
        <v>0</v>
      </c>
      <c r="DU8" s="419">
        <v>0</v>
      </c>
      <c r="DV8" s="419">
        <v>0</v>
      </c>
      <c r="DW8" s="419">
        <v>0</v>
      </c>
      <c r="DX8" s="419">
        <v>0</v>
      </c>
      <c r="DY8" s="419">
        <f>DN8+DO8+DP8+DQ8+DR8+DS8+DT8+DU8+DV8+DW8+DX8</f>
        <v>0</v>
      </c>
      <c r="DZ8" s="419">
        <v>0</v>
      </c>
      <c r="EA8" s="419">
        <v>0</v>
      </c>
      <c r="EB8" s="419">
        <v>0</v>
      </c>
      <c r="EC8" s="419">
        <v>0</v>
      </c>
      <c r="ED8" s="419">
        <v>0</v>
      </c>
      <c r="EE8" s="419">
        <v>0</v>
      </c>
      <c r="EF8" s="419">
        <v>0</v>
      </c>
      <c r="EG8" s="419">
        <v>0</v>
      </c>
      <c r="EH8" s="419">
        <v>0</v>
      </c>
      <c r="EI8" s="419">
        <v>0</v>
      </c>
      <c r="EJ8" s="419">
        <v>0</v>
      </c>
      <c r="EK8" s="427">
        <f>DZ8+EA8+EB8+EC8+ED8+EE8+EF8+EG8+EH8+EI8+EJ8</f>
        <v>0</v>
      </c>
    </row>
    <row r="9" spans="1:141" s="151" customFormat="1" ht="15.75" thickBot="1" x14ac:dyDescent="0.3">
      <c r="A9" s="106" t="s">
        <v>1209</v>
      </c>
      <c r="B9" s="428"/>
      <c r="C9" s="428"/>
      <c r="D9" s="428"/>
      <c r="E9" s="428"/>
      <c r="F9" s="428"/>
      <c r="G9" s="428"/>
      <c r="H9" s="428"/>
      <c r="I9" s="428"/>
      <c r="J9" s="409">
        <f>SUM(J3:J8)</f>
        <v>119832766.5</v>
      </c>
      <c r="K9" s="342">
        <f t="shared" ref="K9:BV9" si="0">SUM(K3:K8)</f>
        <v>0</v>
      </c>
      <c r="L9" s="342">
        <f t="shared" si="0"/>
        <v>0</v>
      </c>
      <c r="M9" s="342">
        <f t="shared" si="0"/>
        <v>0</v>
      </c>
      <c r="N9" s="342">
        <f t="shared" si="0"/>
        <v>0</v>
      </c>
      <c r="O9" s="342">
        <f t="shared" si="0"/>
        <v>0</v>
      </c>
      <c r="P9" s="342">
        <f t="shared" si="0"/>
        <v>0</v>
      </c>
      <c r="Q9" s="342">
        <f t="shared" si="0"/>
        <v>0</v>
      </c>
      <c r="R9" s="342">
        <f t="shared" si="0"/>
        <v>0</v>
      </c>
      <c r="S9" s="342">
        <f t="shared" si="0"/>
        <v>0</v>
      </c>
      <c r="T9" s="342">
        <f t="shared" si="0"/>
        <v>401688.92</v>
      </c>
      <c r="U9" s="342">
        <f t="shared" si="0"/>
        <v>401688.92</v>
      </c>
      <c r="V9" s="342">
        <f t="shared" si="0"/>
        <v>0</v>
      </c>
      <c r="W9" s="342">
        <f t="shared" si="0"/>
        <v>0</v>
      </c>
      <c r="X9" s="342">
        <f t="shared" si="0"/>
        <v>0</v>
      </c>
      <c r="Y9" s="342">
        <f t="shared" si="0"/>
        <v>0</v>
      </c>
      <c r="Z9" s="342">
        <f t="shared" si="0"/>
        <v>0</v>
      </c>
      <c r="AA9" s="342">
        <f t="shared" si="0"/>
        <v>0</v>
      </c>
      <c r="AB9" s="342">
        <f t="shared" si="0"/>
        <v>0</v>
      </c>
      <c r="AC9" s="342">
        <f t="shared" si="0"/>
        <v>0</v>
      </c>
      <c r="AD9" s="342">
        <f t="shared" si="0"/>
        <v>0</v>
      </c>
      <c r="AE9" s="342">
        <f t="shared" si="0"/>
        <v>0</v>
      </c>
      <c r="AF9" s="342">
        <f t="shared" si="0"/>
        <v>44900</v>
      </c>
      <c r="AG9" s="342">
        <f t="shared" si="0"/>
        <v>44900</v>
      </c>
      <c r="AH9" s="342">
        <f t="shared" si="0"/>
        <v>0</v>
      </c>
      <c r="AI9" s="342">
        <f t="shared" si="0"/>
        <v>3844500</v>
      </c>
      <c r="AJ9" s="342">
        <f t="shared" si="0"/>
        <v>0</v>
      </c>
      <c r="AK9" s="342">
        <f t="shared" si="0"/>
        <v>19094697.5</v>
      </c>
      <c r="AL9" s="342">
        <f t="shared" si="0"/>
        <v>3369652.5</v>
      </c>
      <c r="AM9" s="342">
        <f t="shared" si="0"/>
        <v>0</v>
      </c>
      <c r="AN9" s="342">
        <f t="shared" si="0"/>
        <v>0</v>
      </c>
      <c r="AO9" s="342">
        <f t="shared" si="0"/>
        <v>0</v>
      </c>
      <c r="AP9" s="342">
        <f t="shared" si="0"/>
        <v>0</v>
      </c>
      <c r="AQ9" s="342">
        <f t="shared" si="0"/>
        <v>0</v>
      </c>
      <c r="AR9" s="342">
        <f t="shared" si="0"/>
        <v>3295721.64</v>
      </c>
      <c r="AS9" s="342">
        <f t="shared" si="0"/>
        <v>29604571.640000001</v>
      </c>
      <c r="AT9" s="342">
        <f t="shared" si="0"/>
        <v>510000</v>
      </c>
      <c r="AU9" s="342">
        <f t="shared" si="0"/>
        <v>9228087</v>
      </c>
      <c r="AV9" s="342">
        <f t="shared" si="0"/>
        <v>0</v>
      </c>
      <c r="AW9" s="342">
        <f t="shared" si="0"/>
        <v>37326103.549999997</v>
      </c>
      <c r="AX9" s="342">
        <f t="shared" si="0"/>
        <v>6586959.4500000002</v>
      </c>
      <c r="AY9" s="342">
        <f t="shared" si="0"/>
        <v>0</v>
      </c>
      <c r="AZ9" s="342">
        <f t="shared" si="0"/>
        <v>0</v>
      </c>
      <c r="BA9" s="342">
        <f t="shared" si="0"/>
        <v>0</v>
      </c>
      <c r="BB9" s="342">
        <f t="shared" si="0"/>
        <v>0</v>
      </c>
      <c r="BC9" s="342">
        <f t="shared" si="0"/>
        <v>0</v>
      </c>
      <c r="BD9" s="342">
        <f t="shared" si="0"/>
        <v>8788591.0299999993</v>
      </c>
      <c r="BE9" s="342">
        <f t="shared" si="0"/>
        <v>62439741.030000001</v>
      </c>
      <c r="BF9" s="342">
        <f t="shared" si="0"/>
        <v>4348000</v>
      </c>
      <c r="BG9" s="342">
        <f t="shared" si="0"/>
        <v>2334700</v>
      </c>
      <c r="BH9" s="342">
        <f t="shared" si="0"/>
        <v>0</v>
      </c>
      <c r="BI9" s="342">
        <f t="shared" si="0"/>
        <v>8306200</v>
      </c>
      <c r="BJ9" s="342">
        <f t="shared" si="0"/>
        <v>1465800</v>
      </c>
      <c r="BK9" s="342">
        <f t="shared" si="0"/>
        <v>0</v>
      </c>
      <c r="BL9" s="342">
        <f t="shared" si="0"/>
        <v>0</v>
      </c>
      <c r="BM9" s="342">
        <f t="shared" si="0"/>
        <v>0</v>
      </c>
      <c r="BN9" s="342">
        <f t="shared" si="0"/>
        <v>0</v>
      </c>
      <c r="BO9" s="342">
        <f t="shared" si="0"/>
        <v>0</v>
      </c>
      <c r="BP9" s="342">
        <f t="shared" si="0"/>
        <v>9887164.9100000001</v>
      </c>
      <c r="BQ9" s="342">
        <f t="shared" si="0"/>
        <v>26341864.91</v>
      </c>
      <c r="BR9" s="342">
        <f t="shared" si="0"/>
        <v>1000000</v>
      </c>
      <c r="BS9" s="342">
        <f t="shared" si="0"/>
        <v>0</v>
      </c>
      <c r="BT9" s="342">
        <f t="shared" si="0"/>
        <v>0</v>
      </c>
      <c r="BU9" s="342">
        <f t="shared" si="0"/>
        <v>0</v>
      </c>
      <c r="BV9" s="342">
        <f t="shared" si="0"/>
        <v>0</v>
      </c>
      <c r="BW9" s="342">
        <f t="shared" ref="BW9:EH9" si="1">SUM(BW3:BW8)</f>
        <v>0</v>
      </c>
      <c r="BX9" s="342">
        <f t="shared" si="1"/>
        <v>0</v>
      </c>
      <c r="BY9" s="342">
        <f t="shared" si="1"/>
        <v>0</v>
      </c>
      <c r="BZ9" s="342">
        <f t="shared" si="1"/>
        <v>0</v>
      </c>
      <c r="CA9" s="342">
        <f t="shared" si="1"/>
        <v>0</v>
      </c>
      <c r="CB9" s="342">
        <f t="shared" si="1"/>
        <v>0</v>
      </c>
      <c r="CC9" s="342">
        <f t="shared" si="1"/>
        <v>1000000</v>
      </c>
      <c r="CD9" s="342">
        <f t="shared" si="1"/>
        <v>0</v>
      </c>
      <c r="CE9" s="342">
        <f t="shared" si="1"/>
        <v>0</v>
      </c>
      <c r="CF9" s="342">
        <f t="shared" si="1"/>
        <v>0</v>
      </c>
      <c r="CG9" s="342">
        <f t="shared" si="1"/>
        <v>0</v>
      </c>
      <c r="CH9" s="342">
        <f t="shared" si="1"/>
        <v>0</v>
      </c>
      <c r="CI9" s="342">
        <f t="shared" si="1"/>
        <v>0</v>
      </c>
      <c r="CJ9" s="342">
        <f t="shared" si="1"/>
        <v>0</v>
      </c>
      <c r="CK9" s="342">
        <f t="shared" si="1"/>
        <v>0</v>
      </c>
      <c r="CL9" s="342">
        <f t="shared" si="1"/>
        <v>0</v>
      </c>
      <c r="CM9" s="342">
        <f t="shared" si="1"/>
        <v>0</v>
      </c>
      <c r="CN9" s="342">
        <f t="shared" si="1"/>
        <v>0</v>
      </c>
      <c r="CO9" s="342">
        <f t="shared" si="1"/>
        <v>0</v>
      </c>
      <c r="CP9" s="342">
        <f t="shared" si="1"/>
        <v>0</v>
      </c>
      <c r="CQ9" s="342">
        <f t="shared" si="1"/>
        <v>0</v>
      </c>
      <c r="CR9" s="342">
        <f t="shared" si="1"/>
        <v>0</v>
      </c>
      <c r="CS9" s="342">
        <f t="shared" si="1"/>
        <v>0</v>
      </c>
      <c r="CT9" s="342">
        <f t="shared" si="1"/>
        <v>0</v>
      </c>
      <c r="CU9" s="342">
        <f t="shared" si="1"/>
        <v>0</v>
      </c>
      <c r="CV9" s="342">
        <f t="shared" si="1"/>
        <v>0</v>
      </c>
      <c r="CW9" s="342">
        <f t="shared" si="1"/>
        <v>0</v>
      </c>
      <c r="CX9" s="342">
        <f t="shared" si="1"/>
        <v>0</v>
      </c>
      <c r="CY9" s="342">
        <f t="shared" si="1"/>
        <v>0</v>
      </c>
      <c r="CZ9" s="342">
        <f t="shared" si="1"/>
        <v>0</v>
      </c>
      <c r="DA9" s="342">
        <f t="shared" si="1"/>
        <v>0</v>
      </c>
      <c r="DB9" s="342">
        <f t="shared" si="1"/>
        <v>0</v>
      </c>
      <c r="DC9" s="342">
        <f t="shared" si="1"/>
        <v>0</v>
      </c>
      <c r="DD9" s="342">
        <f t="shared" si="1"/>
        <v>0</v>
      </c>
      <c r="DE9" s="342">
        <f t="shared" si="1"/>
        <v>0</v>
      </c>
      <c r="DF9" s="342">
        <f t="shared" si="1"/>
        <v>0</v>
      </c>
      <c r="DG9" s="342">
        <f t="shared" si="1"/>
        <v>0</v>
      </c>
      <c r="DH9" s="342">
        <f t="shared" si="1"/>
        <v>0</v>
      </c>
      <c r="DI9" s="342">
        <f t="shared" si="1"/>
        <v>0</v>
      </c>
      <c r="DJ9" s="342">
        <f t="shared" si="1"/>
        <v>0</v>
      </c>
      <c r="DK9" s="342">
        <f t="shared" si="1"/>
        <v>0</v>
      </c>
      <c r="DL9" s="342">
        <f t="shared" si="1"/>
        <v>0</v>
      </c>
      <c r="DM9" s="342">
        <f t="shared" si="1"/>
        <v>0</v>
      </c>
      <c r="DN9" s="342">
        <f t="shared" si="1"/>
        <v>0</v>
      </c>
      <c r="DO9" s="342">
        <f t="shared" si="1"/>
        <v>0</v>
      </c>
      <c r="DP9" s="342">
        <f t="shared" si="1"/>
        <v>0</v>
      </c>
      <c r="DQ9" s="342">
        <f t="shared" si="1"/>
        <v>0</v>
      </c>
      <c r="DR9" s="342">
        <f t="shared" si="1"/>
        <v>0</v>
      </c>
      <c r="DS9" s="342">
        <f t="shared" si="1"/>
        <v>0</v>
      </c>
      <c r="DT9" s="342">
        <f t="shared" si="1"/>
        <v>0</v>
      </c>
      <c r="DU9" s="342">
        <f t="shared" si="1"/>
        <v>0</v>
      </c>
      <c r="DV9" s="342">
        <f t="shared" si="1"/>
        <v>0</v>
      </c>
      <c r="DW9" s="342">
        <f t="shared" si="1"/>
        <v>0</v>
      </c>
      <c r="DX9" s="342">
        <f t="shared" si="1"/>
        <v>0</v>
      </c>
      <c r="DY9" s="342">
        <f t="shared" si="1"/>
        <v>0</v>
      </c>
      <c r="DZ9" s="342">
        <f t="shared" si="1"/>
        <v>0</v>
      </c>
      <c r="EA9" s="342">
        <f t="shared" si="1"/>
        <v>0</v>
      </c>
      <c r="EB9" s="342">
        <f t="shared" si="1"/>
        <v>0</v>
      </c>
      <c r="EC9" s="342">
        <f t="shared" si="1"/>
        <v>0</v>
      </c>
      <c r="ED9" s="342">
        <f t="shared" si="1"/>
        <v>0</v>
      </c>
      <c r="EE9" s="342">
        <f t="shared" si="1"/>
        <v>0</v>
      </c>
      <c r="EF9" s="342">
        <f t="shared" si="1"/>
        <v>0</v>
      </c>
      <c r="EG9" s="342">
        <f t="shared" si="1"/>
        <v>0</v>
      </c>
      <c r="EH9" s="342">
        <f t="shared" si="1"/>
        <v>0</v>
      </c>
      <c r="EI9" s="342">
        <f>SUM(EI3:EI8)</f>
        <v>0</v>
      </c>
      <c r="EJ9" s="342">
        <f>SUM(EJ3:EJ8)</f>
        <v>0</v>
      </c>
      <c r="EK9" s="343">
        <f>SUM(EK3:EK8)</f>
        <v>0</v>
      </c>
    </row>
    <row r="10" spans="1:141" s="151" customFormat="1" ht="15.75" thickBot="1" x14ac:dyDescent="0.3">
      <c r="A10"/>
      <c r="B10" s="108"/>
      <c r="C10" s="108"/>
      <c r="D10" s="108"/>
      <c r="E10" s="108"/>
      <c r="F10" s="108"/>
      <c r="G10" s="108"/>
      <c r="H10" s="108"/>
      <c r="I10" s="108"/>
    </row>
    <row r="11" spans="1:141" s="151" customFormat="1" ht="45" x14ac:dyDescent="0.25">
      <c r="A11" s="506" t="s">
        <v>1470</v>
      </c>
      <c r="B11" s="399"/>
      <c r="C11" s="399"/>
      <c r="D11" s="399"/>
      <c r="E11" s="399"/>
      <c r="F11" s="202" t="s">
        <v>1469</v>
      </c>
      <c r="G11" s="398"/>
      <c r="H11" s="399"/>
      <c r="I11" s="399"/>
      <c r="J11" s="431"/>
    </row>
    <row r="12" spans="1:141" s="151" customFormat="1" ht="45.75" thickBot="1" x14ac:dyDescent="0.3">
      <c r="A12" s="507"/>
      <c r="B12" s="418"/>
      <c r="C12" s="418"/>
      <c r="D12" s="418"/>
      <c r="E12" s="418"/>
      <c r="F12" s="211" t="s">
        <v>1471</v>
      </c>
      <c r="G12" s="432"/>
      <c r="H12" s="418"/>
      <c r="I12" s="418"/>
      <c r="J12" s="433">
        <v>4750000</v>
      </c>
    </row>
    <row r="19" spans="43:43" x14ac:dyDescent="0.25">
      <c r="AQ19" s="35"/>
    </row>
  </sheetData>
  <sheetProtection algorithmName="SHA-512" hashValue="aTw5YAxzO+J3d+u3SRbC0j5Ippu3XjaTHU6vAcdZnymnLCQk7VVgxtemlayLrxiA/gfrKVJ5fEPs8XrswCmXlw==" saltValue="0aXXujCIoZrhIMVU/JqoIg==" spinCount="100000" sheet="1" objects="1" scenarios="1"/>
  <autoFilter ref="A2:EK2"/>
  <mergeCells count="12">
    <mergeCell ref="A11:A12"/>
    <mergeCell ref="BR1:CB1"/>
    <mergeCell ref="K1:T1"/>
    <mergeCell ref="V1:AF1"/>
    <mergeCell ref="AH1:AR1"/>
    <mergeCell ref="AT1:BD1"/>
    <mergeCell ref="BF1:BP1"/>
    <mergeCell ref="CD1:CN1"/>
    <mergeCell ref="CP1:CZ1"/>
    <mergeCell ref="DB1:DL1"/>
    <mergeCell ref="DN1:DX1"/>
    <mergeCell ref="DZ1:EJ1"/>
  </mergeCells>
  <pageMargins left="0.25" right="0.25" top="0.75" bottom="0.75" header="0.3" footer="0.3"/>
  <pageSetup paperSize="9" scale="30" fitToWidth="3" orientation="landscape" r:id="rId1"/>
  <headerFooter>
    <oddFooter>&amp;LPríloha č. 1_IT, Budovy, iné projekty&amp;R&amp;P l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="80" zoomScaleNormal="80" workbookViewId="0">
      <pane ySplit="1" topLeftCell="A2" activePane="bottomLeft" state="frozen"/>
      <selection pane="bottomLeft" activeCell="E50" sqref="E50"/>
    </sheetView>
  </sheetViews>
  <sheetFormatPr defaultRowHeight="15" x14ac:dyDescent="0.25"/>
  <cols>
    <col min="1" max="1" width="62.85546875" bestFit="1" customWidth="1"/>
    <col min="2" max="2" width="13.5703125" bestFit="1" customWidth="1"/>
    <col min="3" max="4" width="14.28515625" bestFit="1" customWidth="1"/>
    <col min="5" max="5" width="13.5703125" bestFit="1" customWidth="1"/>
    <col min="6" max="8" width="14.28515625" bestFit="1" customWidth="1"/>
    <col min="9" max="12" width="13.5703125" bestFit="1" customWidth="1"/>
  </cols>
  <sheetData>
    <row r="1" spans="1:11" ht="15.75" thickBot="1" x14ac:dyDescent="0.3">
      <c r="B1" s="11">
        <v>2021</v>
      </c>
      <c r="C1" s="11">
        <v>2022</v>
      </c>
      <c r="D1" s="11">
        <v>2023</v>
      </c>
      <c r="E1" s="11">
        <v>2024</v>
      </c>
      <c r="F1" s="11">
        <v>2025</v>
      </c>
      <c r="G1" s="11">
        <v>2026</v>
      </c>
      <c r="H1" s="11">
        <v>2027</v>
      </c>
      <c r="I1" s="11">
        <v>2028</v>
      </c>
      <c r="J1" s="11">
        <v>2029</v>
      </c>
      <c r="K1" s="11">
        <v>2030</v>
      </c>
    </row>
    <row r="2" spans="1:11" s="14" customFormat="1" x14ac:dyDescent="0.25">
      <c r="A2" s="146" t="s">
        <v>1129</v>
      </c>
      <c r="B2" s="462">
        <f>Harmonogram!AJ17</f>
        <v>175609715.06000003</v>
      </c>
      <c r="C2" s="463">
        <f>Harmonogram!AV17</f>
        <v>368907724.75</v>
      </c>
      <c r="D2" s="463">
        <f>Harmonogram!BH17</f>
        <v>354703199.99999994</v>
      </c>
      <c r="E2" s="463">
        <f>Harmonogram!BT17</f>
        <v>80651456.329999998</v>
      </c>
      <c r="F2" s="463">
        <f>Harmonogram!CF17</f>
        <v>2861956</v>
      </c>
      <c r="G2" s="463">
        <f>Harmonogram!CR17</f>
        <v>0</v>
      </c>
      <c r="H2" s="463">
        <f>Harmonogram!DD17</f>
        <v>0</v>
      </c>
      <c r="I2" s="463">
        <f>Harmonogram!DP17</f>
        <v>0</v>
      </c>
      <c r="J2" s="463">
        <f>Harmonogram!EB17</f>
        <v>0</v>
      </c>
      <c r="K2" s="464">
        <f>Harmonogram!EN17</f>
        <v>0</v>
      </c>
    </row>
    <row r="3" spans="1:11" s="14" customFormat="1" x14ac:dyDescent="0.25">
      <c r="A3" s="93" t="s">
        <v>1299</v>
      </c>
      <c r="B3" s="465">
        <f>Harmonogram!AJ56</f>
        <v>2708312.9</v>
      </c>
      <c r="C3" s="466">
        <f>Harmonogram!AV56</f>
        <v>72211429.092946053</v>
      </c>
      <c r="D3" s="466">
        <f>Harmonogram!BH56</f>
        <v>182032654.86991113</v>
      </c>
      <c r="E3" s="466">
        <f>Harmonogram!BT56</f>
        <v>252112400.02714285</v>
      </c>
      <c r="F3" s="466">
        <f>Harmonogram!CF56</f>
        <v>403232600</v>
      </c>
      <c r="G3" s="466">
        <f>Harmonogram!CR56</f>
        <v>407493559.98000002</v>
      </c>
      <c r="H3" s="466">
        <f>Harmonogram!DD56</f>
        <v>115550000</v>
      </c>
      <c r="I3" s="466">
        <f>Harmonogram!DP56</f>
        <v>54973000</v>
      </c>
      <c r="J3" s="466">
        <f>Harmonogram!EB56</f>
        <v>0</v>
      </c>
      <c r="K3" s="467">
        <f>Harmonogram!EN56</f>
        <v>0</v>
      </c>
    </row>
    <row r="4" spans="1:11" s="14" customFormat="1" x14ac:dyDescent="0.25">
      <c r="A4" s="93" t="s">
        <v>1244</v>
      </c>
      <c r="B4" s="465">
        <f>Harmonogram!AJ57</f>
        <v>3679337.87</v>
      </c>
      <c r="C4" s="466">
        <f>Harmonogram!AV57</f>
        <v>10357294</v>
      </c>
      <c r="D4" s="466">
        <f>Harmonogram!BH57</f>
        <v>4032722</v>
      </c>
      <c r="E4" s="466">
        <f>Harmonogram!BT57</f>
        <v>2000000</v>
      </c>
      <c r="F4" s="466">
        <f>Harmonogram!CF57</f>
        <v>3710000</v>
      </c>
      <c r="G4" s="466">
        <f>Harmonogram!CR57</f>
        <v>0</v>
      </c>
      <c r="H4" s="466">
        <f>Harmonogram!DD57</f>
        <v>0</v>
      </c>
      <c r="I4" s="466">
        <f>Harmonogram!DP57</f>
        <v>0</v>
      </c>
      <c r="J4" s="466">
        <f>Harmonogram!EB57</f>
        <v>0</v>
      </c>
      <c r="K4" s="467">
        <f>Harmonogram!EN57</f>
        <v>0</v>
      </c>
    </row>
    <row r="5" spans="1:11" s="14" customFormat="1" x14ac:dyDescent="0.25">
      <c r="A5" s="147" t="s">
        <v>1306</v>
      </c>
      <c r="B5" s="468">
        <f t="shared" ref="B5:K5" si="0">SUM(B3:B4)</f>
        <v>6387650.7699999996</v>
      </c>
      <c r="C5" s="469">
        <f t="shared" si="0"/>
        <v>82568723.092946053</v>
      </c>
      <c r="D5" s="469">
        <f t="shared" si="0"/>
        <v>186065376.86991113</v>
      </c>
      <c r="E5" s="469">
        <f t="shared" si="0"/>
        <v>254112400.02714285</v>
      </c>
      <c r="F5" s="469">
        <f t="shared" si="0"/>
        <v>406942600</v>
      </c>
      <c r="G5" s="469">
        <f t="shared" si="0"/>
        <v>407493559.98000002</v>
      </c>
      <c r="H5" s="469">
        <f t="shared" si="0"/>
        <v>115550000</v>
      </c>
      <c r="I5" s="469">
        <f t="shared" si="0"/>
        <v>54973000</v>
      </c>
      <c r="J5" s="469">
        <f t="shared" si="0"/>
        <v>0</v>
      </c>
      <c r="K5" s="470">
        <f t="shared" si="0"/>
        <v>0</v>
      </c>
    </row>
    <row r="6" spans="1:11" s="14" customFormat="1" x14ac:dyDescent="0.25">
      <c r="A6" s="93" t="s">
        <v>1304</v>
      </c>
      <c r="B6" s="465">
        <f>Harmonogram!AJ85</f>
        <v>0</v>
      </c>
      <c r="C6" s="466">
        <f>Harmonogram!AV85</f>
        <v>6547830.8336729407</v>
      </c>
      <c r="D6" s="466">
        <f>Harmonogram!BH85</f>
        <v>16097501.350977367</v>
      </c>
      <c r="E6" s="466">
        <f>Harmonogram!BT85</f>
        <v>20084467.620977372</v>
      </c>
      <c r="F6" s="466">
        <f>Harmonogram!CF85</f>
        <v>45427801.620977364</v>
      </c>
      <c r="G6" s="466">
        <f>Harmonogram!CR85</f>
        <v>98257551.46097739</v>
      </c>
      <c r="H6" s="466">
        <f>Harmonogram!DD85</f>
        <v>310654976.49641967</v>
      </c>
      <c r="I6" s="466">
        <f>Harmonogram!DP85</f>
        <v>418329211.61478609</v>
      </c>
      <c r="J6" s="466">
        <f>Harmonogram!EB85</f>
        <v>422921229.61478603</v>
      </c>
      <c r="K6" s="467">
        <f>Harmonogram!EN85</f>
        <v>440806337.63048708</v>
      </c>
    </row>
    <row r="7" spans="1:11" s="14" customFormat="1" x14ac:dyDescent="0.25">
      <c r="A7" s="93" t="s">
        <v>1303</v>
      </c>
      <c r="B7" s="465">
        <f>Harmonogram!AJ90</f>
        <v>0</v>
      </c>
      <c r="C7" s="466">
        <f>Harmonogram!AV90</f>
        <v>328592.75</v>
      </c>
      <c r="D7" s="466">
        <f>Harmonogram!BH90</f>
        <v>828592.75</v>
      </c>
      <c r="E7" s="466">
        <f>Harmonogram!BT90</f>
        <v>1528592.75</v>
      </c>
      <c r="F7" s="466">
        <f>Harmonogram!CF90</f>
        <v>37229914.719999999</v>
      </c>
      <c r="G7" s="466">
        <f>Harmonogram!CR90</f>
        <v>3849914.72</v>
      </c>
      <c r="H7" s="466">
        <f>Harmonogram!DD90</f>
        <v>6350581.4800000004</v>
      </c>
      <c r="I7" s="466">
        <f>Harmonogram!DP90</f>
        <v>6350581.4800000004</v>
      </c>
      <c r="J7" s="466">
        <f>Harmonogram!EB90</f>
        <v>6350581.4800000004</v>
      </c>
      <c r="K7" s="467">
        <f>Harmonogram!EN90</f>
        <v>0</v>
      </c>
    </row>
    <row r="8" spans="1:11" s="14" customFormat="1" x14ac:dyDescent="0.25">
      <c r="A8" s="93" t="s">
        <v>1255</v>
      </c>
      <c r="B8" s="465">
        <f>Harmonogram!AJ91</f>
        <v>0</v>
      </c>
      <c r="C8" s="466">
        <f>Harmonogram!AV91</f>
        <v>15000000</v>
      </c>
      <c r="D8" s="466">
        <f>Harmonogram!BH91</f>
        <v>15000000</v>
      </c>
      <c r="E8" s="466">
        <f>Harmonogram!BT91</f>
        <v>15000000</v>
      </c>
      <c r="F8" s="466">
        <f>Harmonogram!CF91</f>
        <v>15000000</v>
      </c>
      <c r="G8" s="466">
        <f>Harmonogram!CR91</f>
        <v>15000000</v>
      </c>
      <c r="H8" s="466">
        <f>Harmonogram!DD91</f>
        <v>15000000</v>
      </c>
      <c r="I8" s="466">
        <f>Harmonogram!DP91</f>
        <v>15000000</v>
      </c>
      <c r="J8" s="466">
        <f>Harmonogram!EB91</f>
        <v>15000000</v>
      </c>
      <c r="K8" s="467">
        <f>Harmonogram!EN91</f>
        <v>15000000</v>
      </c>
    </row>
    <row r="9" spans="1:11" s="14" customFormat="1" x14ac:dyDescent="0.25">
      <c r="A9" s="147" t="s">
        <v>1308</v>
      </c>
      <c r="B9" s="468">
        <f>SUM(B6:B8)</f>
        <v>0</v>
      </c>
      <c r="C9" s="469">
        <f t="shared" ref="C9:K9" si="1">SUM(C6:C8)</f>
        <v>21876423.583672941</v>
      </c>
      <c r="D9" s="469">
        <f t="shared" si="1"/>
        <v>31926094.100977369</v>
      </c>
      <c r="E9" s="469">
        <f t="shared" si="1"/>
        <v>36613060.370977372</v>
      </c>
      <c r="F9" s="469">
        <f t="shared" si="1"/>
        <v>97657716.340977371</v>
      </c>
      <c r="G9" s="469">
        <f t="shared" si="1"/>
        <v>117107466.18097739</v>
      </c>
      <c r="H9" s="469">
        <f t="shared" si="1"/>
        <v>332005557.97641969</v>
      </c>
      <c r="I9" s="469">
        <f t="shared" si="1"/>
        <v>439679793.09478611</v>
      </c>
      <c r="J9" s="469">
        <f t="shared" si="1"/>
        <v>444271811.09478605</v>
      </c>
      <c r="K9" s="470">
        <f t="shared" si="1"/>
        <v>455806337.63048708</v>
      </c>
    </row>
    <row r="10" spans="1:11" s="14" customFormat="1" ht="15.75" thickBot="1" x14ac:dyDescent="0.3">
      <c r="A10" s="94" t="s">
        <v>1190</v>
      </c>
      <c r="B10" s="471">
        <f>B2+B5+B9</f>
        <v>181997365.83000004</v>
      </c>
      <c r="C10" s="472">
        <f t="shared" ref="C10:K10" si="2">C2+C5+C9</f>
        <v>473352871.42661899</v>
      </c>
      <c r="D10" s="472">
        <f>D2+D5+D9</f>
        <v>572694670.9708885</v>
      </c>
      <c r="E10" s="472">
        <f t="shared" si="2"/>
        <v>371376916.72812021</v>
      </c>
      <c r="F10" s="472">
        <f t="shared" si="2"/>
        <v>507462272.34097737</v>
      </c>
      <c r="G10" s="472">
        <f t="shared" si="2"/>
        <v>524601026.16097742</v>
      </c>
      <c r="H10" s="472">
        <f t="shared" si="2"/>
        <v>447555557.97641969</v>
      </c>
      <c r="I10" s="472">
        <f t="shared" si="2"/>
        <v>494652793.09478611</v>
      </c>
      <c r="J10" s="472">
        <f t="shared" si="2"/>
        <v>444271811.09478605</v>
      </c>
      <c r="K10" s="473">
        <f t="shared" si="2"/>
        <v>455806337.63048708</v>
      </c>
    </row>
    <row r="11" spans="1:11" s="14" customFormat="1" ht="15.75" thickBot="1" x14ac:dyDescent="0.3">
      <c r="B11" s="474"/>
      <c r="C11" s="474"/>
      <c r="D11" s="474"/>
      <c r="E11" s="474"/>
      <c r="F11" s="474"/>
      <c r="G11" s="474"/>
      <c r="H11" s="474"/>
      <c r="I11" s="474"/>
      <c r="J11" s="474"/>
      <c r="K11" s="474"/>
    </row>
    <row r="12" spans="1:11" x14ac:dyDescent="0.25">
      <c r="A12" s="124" t="s">
        <v>1190</v>
      </c>
      <c r="B12" s="475">
        <f>Harmonogram!AJ92</f>
        <v>181997365.83000004</v>
      </c>
      <c r="C12" s="475">
        <f>Harmonogram!AV92</f>
        <v>473352871.42661899</v>
      </c>
      <c r="D12" s="475">
        <f>Harmonogram!BH92</f>
        <v>572694670.9708885</v>
      </c>
      <c r="E12" s="475">
        <f>Harmonogram!BT92</f>
        <v>371376916.72812021</v>
      </c>
      <c r="F12" s="475">
        <f>Harmonogram!CF92</f>
        <v>507462272.34097731</v>
      </c>
      <c r="G12" s="475">
        <f>Harmonogram!CR92</f>
        <v>524601026.16097742</v>
      </c>
      <c r="H12" s="475">
        <f>Harmonogram!DD92</f>
        <v>447555557.97641969</v>
      </c>
      <c r="I12" s="475">
        <f>Harmonogram!DP92</f>
        <v>494652793.09478611</v>
      </c>
      <c r="J12" s="475">
        <f>Harmonogram!EB92</f>
        <v>444271811.09478605</v>
      </c>
      <c r="K12" s="476">
        <f>Harmonogram!EN92</f>
        <v>455806337.63048708</v>
      </c>
    </row>
    <row r="13" spans="1:11" x14ac:dyDescent="0.25">
      <c r="A13" s="93" t="s">
        <v>1130</v>
      </c>
      <c r="B13" s="466">
        <f>Harmonogram!AJ93</f>
        <v>352122013.77589434</v>
      </c>
      <c r="C13" s="466">
        <f>Harmonogram!AV93</f>
        <v>366931124.11526299</v>
      </c>
      <c r="D13" s="466">
        <f>Harmonogram!BH93</f>
        <v>385268286.33042908</v>
      </c>
      <c r="E13" s="466">
        <f>Harmonogram!BT93</f>
        <v>388017458.65171349</v>
      </c>
      <c r="F13" s="466">
        <f>Harmonogram!CF93</f>
        <v>394225737.99014086</v>
      </c>
      <c r="G13" s="466">
        <f>Harmonogram!CR93</f>
        <v>400533349.79798311</v>
      </c>
      <c r="H13" s="466">
        <f>Harmonogram!DD93</f>
        <v>406941883.39475083</v>
      </c>
      <c r="I13" s="466">
        <f>Harmonogram!DP93</f>
        <v>413452953.52906686</v>
      </c>
      <c r="J13" s="466">
        <f>Harmonogram!EB93</f>
        <v>420068200.78553194</v>
      </c>
      <c r="K13" s="467">
        <f>Harmonogram!EN93</f>
        <v>427209360.19888592</v>
      </c>
    </row>
    <row r="14" spans="1:11" ht="15.75" thickBot="1" x14ac:dyDescent="0.3">
      <c r="A14" s="94" t="s">
        <v>1191</v>
      </c>
      <c r="B14" s="472">
        <f>Harmonogram!AJ94</f>
        <v>170124647.9458943</v>
      </c>
      <c r="C14" s="472">
        <f>Harmonogram!AV94</f>
        <v>-106421747.31135601</v>
      </c>
      <c r="D14" s="472">
        <f>Harmonogram!BH94</f>
        <v>-187426384.64045942</v>
      </c>
      <c r="E14" s="472">
        <f>Harmonogram!BT94</f>
        <v>16640541.923593283</v>
      </c>
      <c r="F14" s="472">
        <f>Harmonogram!CF94</f>
        <v>-113236534.35083646</v>
      </c>
      <c r="G14" s="472">
        <f>Harmonogram!CR94</f>
        <v>-124067676.36299431</v>
      </c>
      <c r="H14" s="472">
        <f>Harmonogram!DD94</f>
        <v>-40613674.581668854</v>
      </c>
      <c r="I14" s="472">
        <f>Harmonogram!DP94</f>
        <v>-81199839.565719247</v>
      </c>
      <c r="J14" s="472">
        <f>Harmonogram!EB94</f>
        <v>-24203610.30925411</v>
      </c>
      <c r="K14" s="473">
        <f>Harmonogram!EN94</f>
        <v>-28596977.431601167</v>
      </c>
    </row>
    <row r="15" spans="1:11" x14ac:dyDescent="0.25">
      <c r="B15" s="477"/>
      <c r="C15" s="477"/>
      <c r="D15" s="477"/>
      <c r="E15" s="477"/>
      <c r="F15" s="477"/>
      <c r="G15" s="477"/>
      <c r="H15" s="477"/>
      <c r="I15" s="477"/>
      <c r="J15" s="477"/>
      <c r="K15" s="477"/>
    </row>
    <row r="16" spans="1:11" ht="15.75" thickBot="1" x14ac:dyDescent="0.3">
      <c r="B16" s="477"/>
      <c r="C16" s="477"/>
      <c r="D16" s="477"/>
      <c r="E16" s="477"/>
      <c r="F16" s="477"/>
      <c r="G16" s="477"/>
      <c r="H16" s="477"/>
      <c r="I16" s="477"/>
      <c r="J16" s="477"/>
      <c r="K16" s="477"/>
    </row>
    <row r="17" spans="1:12" x14ac:dyDescent="0.25">
      <c r="A17" s="124" t="s">
        <v>1190</v>
      </c>
      <c r="B17" s="478">
        <f>B12/B$13</f>
        <v>0.5168588123145037</v>
      </c>
      <c r="C17" s="478">
        <f t="shared" ref="C17:K17" si="3">C12/C$13</f>
        <v>1.2900319441910468</v>
      </c>
      <c r="D17" s="478">
        <f t="shared" si="3"/>
        <v>1.4864827739278581</v>
      </c>
      <c r="E17" s="478">
        <f t="shared" si="3"/>
        <v>0.95711393507545772</v>
      </c>
      <c r="F17" s="478">
        <f t="shared" si="3"/>
        <v>1.2872378016923602</v>
      </c>
      <c r="G17" s="478">
        <f t="shared" si="3"/>
        <v>1.3097561699308442</v>
      </c>
      <c r="H17" s="478">
        <f t="shared" si="3"/>
        <v>1.099802149247616</v>
      </c>
      <c r="I17" s="478">
        <f t="shared" si="3"/>
        <v>1.196394387493499</v>
      </c>
      <c r="J17" s="478">
        <f t="shared" si="3"/>
        <v>1.0576182873733195</v>
      </c>
      <c r="K17" s="479">
        <f t="shared" si="3"/>
        <v>1.0669390235698206</v>
      </c>
    </row>
    <row r="18" spans="1:12" x14ac:dyDescent="0.25">
      <c r="A18" s="93" t="s">
        <v>1130</v>
      </c>
      <c r="B18" s="480">
        <f>B13/B$13</f>
        <v>1</v>
      </c>
      <c r="C18" s="480">
        <f t="shared" ref="C18:K18" si="4">C13/C$13</f>
        <v>1</v>
      </c>
      <c r="D18" s="480">
        <f t="shared" si="4"/>
        <v>1</v>
      </c>
      <c r="E18" s="480">
        <f t="shared" si="4"/>
        <v>1</v>
      </c>
      <c r="F18" s="480">
        <f t="shared" si="4"/>
        <v>1</v>
      </c>
      <c r="G18" s="480">
        <f t="shared" si="4"/>
        <v>1</v>
      </c>
      <c r="H18" s="480">
        <f t="shared" si="4"/>
        <v>1</v>
      </c>
      <c r="I18" s="480">
        <f t="shared" si="4"/>
        <v>1</v>
      </c>
      <c r="J18" s="480">
        <f t="shared" si="4"/>
        <v>1</v>
      </c>
      <c r="K18" s="481">
        <f t="shared" si="4"/>
        <v>1</v>
      </c>
    </row>
    <row r="19" spans="1:12" ht="15.75" thickBot="1" x14ac:dyDescent="0.3">
      <c r="A19" s="94" t="s">
        <v>1191</v>
      </c>
      <c r="B19" s="482">
        <f>B14/B$13</f>
        <v>0.48314118768549635</v>
      </c>
      <c r="C19" s="482">
        <f t="shared" ref="C19:K19" si="5">C14/C$13</f>
        <v>-0.29003194419104678</v>
      </c>
      <c r="D19" s="482">
        <f t="shared" si="5"/>
        <v>-0.48648277392785805</v>
      </c>
      <c r="E19" s="482">
        <f t="shared" si="5"/>
        <v>4.2886064924542278E-2</v>
      </c>
      <c r="F19" s="482">
        <f t="shared" si="5"/>
        <v>-0.28723780169236024</v>
      </c>
      <c r="G19" s="482">
        <f t="shared" si="5"/>
        <v>-0.30975616993084421</v>
      </c>
      <c r="H19" s="482">
        <f t="shared" si="5"/>
        <v>-9.9802149247615962E-2</v>
      </c>
      <c r="I19" s="482">
        <f t="shared" si="5"/>
        <v>-0.19639438749349913</v>
      </c>
      <c r="J19" s="482">
        <f t="shared" si="5"/>
        <v>-5.7618287373319629E-2</v>
      </c>
      <c r="K19" s="483">
        <f t="shared" si="5"/>
        <v>-6.693902356982051E-2</v>
      </c>
      <c r="L19" s="123"/>
    </row>
    <row r="20" spans="1:12" ht="15.75" thickBot="1" x14ac:dyDescent="0.3">
      <c r="A20" s="125" t="s">
        <v>1309</v>
      </c>
      <c r="B20" s="472">
        <f>Harmonogram!AJ95</f>
        <v>57473669.270000003</v>
      </c>
      <c r="C20" s="472">
        <f>Harmonogram!AV95</f>
        <v>206166966.00853518</v>
      </c>
      <c r="D20" s="472">
        <f>Harmonogram!BH95</f>
        <v>163061037.82534367</v>
      </c>
      <c r="E20" s="472">
        <f>Harmonogram!BT95</f>
        <v>101747977.1910488</v>
      </c>
      <c r="F20" s="472">
        <f>Harmonogram!CF95</f>
        <v>98372418.340977371</v>
      </c>
      <c r="G20" s="472">
        <f>Harmonogram!CR95</f>
        <v>97280283.160977364</v>
      </c>
      <c r="H20" s="472">
        <f>Harmonogram!DD95</f>
        <v>281366814.97641969</v>
      </c>
      <c r="I20" s="472">
        <f>Harmonogram!DP95</f>
        <v>410302833.09478611</v>
      </c>
      <c r="J20" s="472">
        <f>Harmonogram!EB95</f>
        <v>444271811.09478605</v>
      </c>
      <c r="K20" s="473">
        <f>Harmonogram!EN95</f>
        <v>455806337.63048708</v>
      </c>
    </row>
    <row r="21" spans="1:12" ht="15.75" thickBot="1" x14ac:dyDescent="0.3">
      <c r="A21" s="125" t="s">
        <v>1277</v>
      </c>
      <c r="B21" s="472">
        <f>Harmonogram!AJ96</f>
        <v>111656761.72999999</v>
      </c>
      <c r="C21" s="472">
        <f>Harmonogram!AV96</f>
        <v>264762354.67808381</v>
      </c>
      <c r="D21" s="472">
        <f>Harmonogram!BH96</f>
        <v>408963633.14554471</v>
      </c>
      <c r="E21" s="472">
        <f>Harmonogram!BT96</f>
        <v>262718939.53707144</v>
      </c>
      <c r="F21" s="472">
        <f>Harmonogram!CF96</f>
        <v>395858854</v>
      </c>
      <c r="G21" s="472">
        <f>Harmonogram!CR96</f>
        <v>410569743</v>
      </c>
      <c r="H21" s="472">
        <f>Harmonogram!DD96</f>
        <v>155638743</v>
      </c>
      <c r="I21" s="472">
        <f>Harmonogram!DP96</f>
        <v>81849960</v>
      </c>
      <c r="J21" s="472">
        <f>Harmonogram!EB96</f>
        <v>0</v>
      </c>
      <c r="K21" s="473">
        <f>Harmonogram!EN96</f>
        <v>0</v>
      </c>
    </row>
    <row r="22" spans="1:12" s="14" customFormat="1" ht="15.75" thickBot="1" x14ac:dyDescent="0.3">
      <c r="A22" s="125" t="s">
        <v>1307</v>
      </c>
      <c r="B22" s="472">
        <f>Harmonogram!AJ97</f>
        <v>12866934.830000002</v>
      </c>
      <c r="C22" s="472">
        <f>Harmonogram!AV97</f>
        <v>2423550.7400000002</v>
      </c>
      <c r="D22" s="472">
        <f>Harmonogram!BH97</f>
        <v>670000</v>
      </c>
      <c r="E22" s="472">
        <f>Harmonogram!BT97</f>
        <v>6910000</v>
      </c>
      <c r="F22" s="472">
        <f>Harmonogram!CF97</f>
        <v>13231000</v>
      </c>
      <c r="G22" s="472">
        <f>Harmonogram!CR97</f>
        <v>16751000</v>
      </c>
      <c r="H22" s="472">
        <f>Harmonogram!DD97</f>
        <v>10550000</v>
      </c>
      <c r="I22" s="472">
        <f>Harmonogram!DP97</f>
        <v>2500000</v>
      </c>
      <c r="J22" s="472">
        <f>Harmonogram!EB97</f>
        <v>0</v>
      </c>
      <c r="K22" s="473">
        <f>Harmonogram!EN97</f>
        <v>0</v>
      </c>
    </row>
  </sheetData>
  <sheetProtection algorithmName="SHA-512" hashValue="ZY5pHL899KjHm7KpZF2TAW3A0rx6JYNtI4ndFuqPP51oT63t6cQbP1ZNpVMmBI4osoCfoOYhdIeaXQzGoTv3RQ==" saltValue="NNQoFWCwgCeMhFqoYgI/dw==" spinCount="100000" sheet="1" objects="1" scenarios="1"/>
  <pageMargins left="0.7" right="0.7" top="0.75" bottom="0.75" header="0.3" footer="0.3"/>
  <pageSetup paperSize="9" scale="64" orientation="landscape" r:id="rId1"/>
  <headerFooter>
    <oddFooter>&amp;LPríloha č. 1_Súhrn_Prehľad&amp;R&amp;P l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zoomScaleNormal="100" workbookViewId="0">
      <selection activeCell="B7" sqref="B7"/>
    </sheetView>
  </sheetViews>
  <sheetFormatPr defaultRowHeight="15" x14ac:dyDescent="0.25"/>
  <cols>
    <col min="1" max="1" width="50.140625" bestFit="1" customWidth="1"/>
  </cols>
  <sheetData>
    <row r="1" spans="1:2" x14ac:dyDescent="0.25">
      <c r="A1" s="11" t="s">
        <v>949</v>
      </c>
      <c r="B1" t="s">
        <v>953</v>
      </c>
    </row>
    <row r="2" spans="1:2" x14ac:dyDescent="0.25">
      <c r="A2" t="s">
        <v>971</v>
      </c>
      <c r="B2">
        <v>5</v>
      </c>
    </row>
    <row r="3" spans="1:2" x14ac:dyDescent="0.25">
      <c r="A3" t="s">
        <v>972</v>
      </c>
      <c r="B3">
        <v>4</v>
      </c>
    </row>
    <row r="4" spans="1:2" x14ac:dyDescent="0.25">
      <c r="A4" s="14" t="s">
        <v>961</v>
      </c>
      <c r="B4" s="14">
        <v>3</v>
      </c>
    </row>
    <row r="5" spans="1:2" s="14" customFormat="1" x14ac:dyDescent="0.25">
      <c r="A5" t="s">
        <v>962</v>
      </c>
      <c r="B5">
        <v>2</v>
      </c>
    </row>
    <row r="6" spans="1:2" s="14" customFormat="1" x14ac:dyDescent="0.25">
      <c r="A6" s="14" t="s">
        <v>960</v>
      </c>
      <c r="B6" s="14">
        <v>1</v>
      </c>
    </row>
    <row r="7" spans="1:2" x14ac:dyDescent="0.25">
      <c r="A7" t="s">
        <v>950</v>
      </c>
      <c r="B7">
        <v>3</v>
      </c>
    </row>
    <row r="9" spans="1:2" x14ac:dyDescent="0.25">
      <c r="A9" t="s">
        <v>951</v>
      </c>
      <c r="B9">
        <v>1</v>
      </c>
    </row>
    <row r="10" spans="1:2" x14ac:dyDescent="0.25">
      <c r="A10" s="14" t="s">
        <v>952</v>
      </c>
      <c r="B10">
        <v>2</v>
      </c>
    </row>
    <row r="11" spans="1:2" x14ac:dyDescent="0.25">
      <c r="A11" t="s">
        <v>958</v>
      </c>
      <c r="B11">
        <v>3</v>
      </c>
    </row>
    <row r="12" spans="1:2" x14ac:dyDescent="0.25">
      <c r="A12" t="s">
        <v>959</v>
      </c>
      <c r="B12">
        <v>4</v>
      </c>
    </row>
    <row r="15" spans="1:2" x14ac:dyDescent="0.25">
      <c r="A15" t="s">
        <v>955</v>
      </c>
      <c r="B15" t="s">
        <v>954</v>
      </c>
    </row>
    <row r="16" spans="1:2" x14ac:dyDescent="0.25">
      <c r="A16" t="s">
        <v>930</v>
      </c>
      <c r="B16" t="s">
        <v>956</v>
      </c>
    </row>
    <row r="17" spans="1:1" s="14" customFormat="1" x14ac:dyDescent="0.25"/>
    <row r="18" spans="1:1" s="14" customFormat="1" x14ac:dyDescent="0.25">
      <c r="A18" s="14" t="s">
        <v>957</v>
      </c>
    </row>
    <row r="19" spans="1:1" s="14" customFormat="1" x14ac:dyDescent="0.25">
      <c r="A19" s="14" t="s">
        <v>973</v>
      </c>
    </row>
    <row r="20" spans="1:1" x14ac:dyDescent="0.25">
      <c r="A20" t="s">
        <v>975</v>
      </c>
    </row>
    <row r="21" spans="1:1" x14ac:dyDescent="0.25">
      <c r="A21" t="s">
        <v>967</v>
      </c>
    </row>
    <row r="22" spans="1:1" x14ac:dyDescent="0.25">
      <c r="A22" t="s">
        <v>976</v>
      </c>
    </row>
    <row r="23" spans="1:1" x14ac:dyDescent="0.25">
      <c r="A23" t="s">
        <v>968</v>
      </c>
    </row>
    <row r="24" spans="1:1" x14ac:dyDescent="0.25">
      <c r="A24" t="s">
        <v>970</v>
      </c>
    </row>
    <row r="25" spans="1:1" x14ac:dyDescent="0.25">
      <c r="A25" t="s">
        <v>969</v>
      </c>
    </row>
    <row r="26" spans="1:1" x14ac:dyDescent="0.25">
      <c r="A26" t="s">
        <v>974</v>
      </c>
    </row>
    <row r="27" spans="1:1" x14ac:dyDescent="0.25">
      <c r="A27" t="s">
        <v>977</v>
      </c>
    </row>
    <row r="28" spans="1:1" x14ac:dyDescent="0.25">
      <c r="A28" t="s">
        <v>978</v>
      </c>
    </row>
    <row r="29" spans="1:1" x14ac:dyDescent="0.25">
      <c r="A29" t="s">
        <v>979</v>
      </c>
    </row>
  </sheetData>
  <pageMargins left="0.7" right="0.7" top="0.75" bottom="0.75" header="0.3" footer="0.3"/>
  <pageSetup paperSize="9" scale="54" orientation="portrait" r:id="rId1"/>
  <headerFooter>
    <oddFooter>&amp;LPríloha č. 1_Poznámky&amp;R&amp;P l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zoomScaleNormal="100" workbookViewId="0">
      <selection activeCell="G16" sqref="G16"/>
    </sheetView>
  </sheetViews>
  <sheetFormatPr defaultRowHeight="15" x14ac:dyDescent="0.25"/>
  <cols>
    <col min="1" max="1" width="7.85546875" bestFit="1" customWidth="1"/>
    <col min="2" max="2" width="11.140625" style="7" bestFit="1" customWidth="1"/>
    <col min="3" max="3" width="5.140625" bestFit="1" customWidth="1"/>
    <col min="4" max="4" width="24.42578125" customWidth="1"/>
    <col min="5" max="5" width="22.42578125" customWidth="1"/>
    <col min="6" max="6" width="15.28515625" customWidth="1"/>
    <col min="7" max="7" width="40.5703125" customWidth="1"/>
    <col min="10" max="10" width="15.140625" customWidth="1"/>
  </cols>
  <sheetData>
    <row r="1" spans="1:10" s="14" customFormat="1" x14ac:dyDescent="0.25">
      <c r="A1" s="11" t="s">
        <v>473</v>
      </c>
      <c r="B1" s="7"/>
    </row>
    <row r="2" spans="1:10" s="14" customFormat="1" ht="30" x14ac:dyDescent="0.25">
      <c r="A2" s="434" t="s">
        <v>288</v>
      </c>
      <c r="B2" s="435" t="s">
        <v>383</v>
      </c>
      <c r="C2" s="435" t="s">
        <v>335</v>
      </c>
      <c r="D2" s="435" t="s">
        <v>337</v>
      </c>
      <c r="E2" s="435" t="s">
        <v>331</v>
      </c>
      <c r="F2" s="434" t="s">
        <v>472</v>
      </c>
      <c r="G2" s="435" t="s">
        <v>566</v>
      </c>
      <c r="H2" s="21" t="s">
        <v>942</v>
      </c>
      <c r="I2" s="21" t="s">
        <v>310</v>
      </c>
      <c r="J2" s="21" t="s">
        <v>1472</v>
      </c>
    </row>
    <row r="3" spans="1:10" s="14" customFormat="1" x14ac:dyDescent="0.25">
      <c r="A3" s="14">
        <v>3</v>
      </c>
      <c r="B3" s="5" t="s">
        <v>612</v>
      </c>
      <c r="C3" s="14" t="s">
        <v>196</v>
      </c>
      <c r="D3" s="14" t="s">
        <v>197</v>
      </c>
      <c r="E3" s="8" t="s">
        <v>332</v>
      </c>
      <c r="F3" s="14">
        <v>33889</v>
      </c>
      <c r="G3" s="14" t="s">
        <v>615</v>
      </c>
      <c r="H3" s="38">
        <v>0</v>
      </c>
      <c r="I3" s="38">
        <v>10</v>
      </c>
      <c r="J3" s="38" t="s">
        <v>1473</v>
      </c>
    </row>
    <row r="4" spans="1:10" s="14" customFormat="1" x14ac:dyDescent="0.25">
      <c r="A4" s="14">
        <v>2</v>
      </c>
      <c r="B4" s="12" t="s">
        <v>613</v>
      </c>
      <c r="C4" s="14" t="s">
        <v>136</v>
      </c>
      <c r="D4" s="14" t="s">
        <v>137</v>
      </c>
      <c r="E4" s="14" t="s">
        <v>334</v>
      </c>
      <c r="F4" s="10">
        <v>18727</v>
      </c>
      <c r="G4" s="14" t="s">
        <v>617</v>
      </c>
      <c r="H4" s="38">
        <v>0</v>
      </c>
      <c r="I4" s="38">
        <v>10</v>
      </c>
      <c r="J4" s="38" t="s">
        <v>1473</v>
      </c>
    </row>
    <row r="5" spans="1:10" s="14" customFormat="1" x14ac:dyDescent="0.25">
      <c r="A5" s="14">
        <v>1</v>
      </c>
      <c r="B5" s="12" t="s">
        <v>614</v>
      </c>
      <c r="C5" s="14" t="s">
        <v>120</v>
      </c>
      <c r="D5" s="14" t="s">
        <v>121</v>
      </c>
      <c r="E5" s="14" t="s">
        <v>333</v>
      </c>
      <c r="F5" s="10">
        <v>9032</v>
      </c>
      <c r="G5" s="14" t="s">
        <v>616</v>
      </c>
      <c r="H5" s="38">
        <v>0</v>
      </c>
      <c r="I5" s="38">
        <v>10</v>
      </c>
      <c r="J5" s="38" t="s">
        <v>1473</v>
      </c>
    </row>
    <row r="6" spans="1:10" x14ac:dyDescent="0.25">
      <c r="C6" s="8"/>
      <c r="E6" s="8"/>
    </row>
  </sheetData>
  <sortState ref="A3:F5">
    <sortCondition descending="1" ref="F5"/>
  </sortState>
  <pageMargins left="0.7" right="0.7" top="0.75" bottom="0.75" header="0.3" footer="0.3"/>
  <pageSetup paperSize="9" scale="81" orientation="landscape" r:id="rId1"/>
  <headerFooter>
    <oddFooter>&amp;LPríloha č. 1_1a Sanácia havarijných stavov&amp;R&amp;P l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6"/>
  <sheetViews>
    <sheetView topLeftCell="A160" zoomScaleNormal="100" workbookViewId="0">
      <selection activeCell="I185" sqref="I185"/>
    </sheetView>
  </sheetViews>
  <sheetFormatPr defaultRowHeight="15" x14ac:dyDescent="0.25"/>
  <cols>
    <col min="1" max="1" width="9.140625" style="14"/>
    <col min="2" max="2" width="8.85546875" bestFit="1" customWidth="1"/>
    <col min="3" max="3" width="8.85546875" style="9" customWidth="1"/>
    <col min="4" max="4" width="33.85546875" customWidth="1"/>
    <col min="5" max="5" width="10.42578125" style="14" bestFit="1" customWidth="1"/>
    <col min="6" max="6" width="14.7109375" style="14" bestFit="1" customWidth="1"/>
    <col min="7" max="7" width="9" style="14" bestFit="1" customWidth="1"/>
    <col min="8" max="8" width="9.42578125" style="14" bestFit="1" customWidth="1"/>
    <col min="9" max="9" width="8.7109375" style="14" customWidth="1"/>
    <col min="10" max="10" width="14.5703125" customWidth="1"/>
  </cols>
  <sheetData>
    <row r="1" spans="1:10" x14ac:dyDescent="0.25">
      <c r="A1" s="11" t="s">
        <v>468</v>
      </c>
    </row>
    <row r="2" spans="1:10" ht="45" x14ac:dyDescent="0.25">
      <c r="A2" s="434" t="s">
        <v>288</v>
      </c>
      <c r="B2" s="435" t="s">
        <v>383</v>
      </c>
      <c r="C2" s="21" t="s">
        <v>335</v>
      </c>
      <c r="D2" s="435" t="s">
        <v>337</v>
      </c>
      <c r="E2" s="21" t="s">
        <v>562</v>
      </c>
      <c r="F2" s="434" t="s">
        <v>600</v>
      </c>
      <c r="G2" s="434" t="s">
        <v>310</v>
      </c>
      <c r="H2" s="21" t="s">
        <v>469</v>
      </c>
      <c r="I2" s="435" t="s">
        <v>467</v>
      </c>
      <c r="J2" s="435" t="s">
        <v>1477</v>
      </c>
    </row>
    <row r="3" spans="1:10" x14ac:dyDescent="0.25">
      <c r="A3" s="32">
        <v>1</v>
      </c>
      <c r="B3" s="5" t="s">
        <v>860</v>
      </c>
      <c r="C3" s="36" t="s">
        <v>58</v>
      </c>
      <c r="D3" s="14" t="s">
        <v>59</v>
      </c>
      <c r="E3" s="38">
        <v>1</v>
      </c>
      <c r="F3" s="18">
        <v>45984326.182713754</v>
      </c>
      <c r="G3" s="7">
        <v>11.825611396222396</v>
      </c>
      <c r="H3" s="41" t="s">
        <v>470</v>
      </c>
      <c r="I3" s="40" t="s">
        <v>563</v>
      </c>
      <c r="J3" t="s">
        <v>1473</v>
      </c>
    </row>
    <row r="4" spans="1:10" x14ac:dyDescent="0.25">
      <c r="A4" s="32">
        <v>2</v>
      </c>
      <c r="B4" s="5" t="s">
        <v>758</v>
      </c>
      <c r="C4" s="36" t="s">
        <v>70</v>
      </c>
      <c r="D4" s="14" t="s">
        <v>71</v>
      </c>
      <c r="E4" s="38" t="s">
        <v>561</v>
      </c>
      <c r="F4" s="42">
        <v>37762565.039865501</v>
      </c>
      <c r="G4" s="7">
        <v>8.9055005415506816</v>
      </c>
      <c r="H4" s="41" t="s">
        <v>470</v>
      </c>
      <c r="I4" s="40" t="s">
        <v>563</v>
      </c>
      <c r="J4" s="14" t="s">
        <v>1473</v>
      </c>
    </row>
    <row r="5" spans="1:10" x14ac:dyDescent="0.25">
      <c r="A5" s="32">
        <v>3</v>
      </c>
      <c r="B5" s="5" t="s">
        <v>848</v>
      </c>
      <c r="C5" s="36" t="s">
        <v>4</v>
      </c>
      <c r="D5" s="14" t="s">
        <v>5</v>
      </c>
      <c r="E5" s="38" t="s">
        <v>561</v>
      </c>
      <c r="F5" s="42">
        <v>76500958.942669272</v>
      </c>
      <c r="G5" s="7">
        <v>8.6194631719357222</v>
      </c>
      <c r="H5" s="41" t="s">
        <v>470</v>
      </c>
      <c r="I5" s="40" t="s">
        <v>563</v>
      </c>
      <c r="J5" s="14" t="s">
        <v>1473</v>
      </c>
    </row>
    <row r="6" spans="1:10" x14ac:dyDescent="0.25">
      <c r="A6" s="32">
        <v>4</v>
      </c>
      <c r="B6" s="5" t="s">
        <v>861</v>
      </c>
      <c r="C6" s="36" t="s">
        <v>62</v>
      </c>
      <c r="D6" s="14" t="s">
        <v>63</v>
      </c>
      <c r="E6" s="38">
        <v>1</v>
      </c>
      <c r="F6" s="18">
        <v>62266195.788879402</v>
      </c>
      <c r="G6" s="7">
        <v>8.5722304453235658</v>
      </c>
      <c r="H6" s="41" t="s">
        <v>470</v>
      </c>
      <c r="I6" s="40" t="s">
        <v>563</v>
      </c>
      <c r="J6" s="14" t="s">
        <v>1473</v>
      </c>
    </row>
    <row r="7" spans="1:10" x14ac:dyDescent="0.25">
      <c r="A7" s="32">
        <v>5</v>
      </c>
      <c r="B7" s="5" t="s">
        <v>862</v>
      </c>
      <c r="C7" s="36" t="s">
        <v>284</v>
      </c>
      <c r="D7" s="14" t="s">
        <v>285</v>
      </c>
      <c r="E7" s="38" t="s">
        <v>561</v>
      </c>
      <c r="F7" s="42">
        <v>54553817.612489559</v>
      </c>
      <c r="G7" s="7">
        <v>8.2446470743419749</v>
      </c>
      <c r="H7" s="41" t="s">
        <v>470</v>
      </c>
      <c r="I7" s="40" t="s">
        <v>563</v>
      </c>
      <c r="J7" s="14" t="s">
        <v>1473</v>
      </c>
    </row>
    <row r="8" spans="1:10" x14ac:dyDescent="0.25">
      <c r="A8" s="32">
        <v>6</v>
      </c>
      <c r="B8" s="5" t="s">
        <v>863</v>
      </c>
      <c r="C8" s="36" t="s">
        <v>272</v>
      </c>
      <c r="D8" s="14" t="s">
        <v>273</v>
      </c>
      <c r="E8" s="38">
        <v>1</v>
      </c>
      <c r="F8" s="18">
        <v>76123773.87661773</v>
      </c>
      <c r="G8" s="7">
        <v>8.212117480611191</v>
      </c>
      <c r="H8" s="41" t="s">
        <v>470</v>
      </c>
      <c r="I8" s="40" t="s">
        <v>563</v>
      </c>
      <c r="J8" s="14" t="s">
        <v>1473</v>
      </c>
    </row>
    <row r="9" spans="1:10" x14ac:dyDescent="0.25">
      <c r="A9" s="32">
        <v>7</v>
      </c>
      <c r="B9" s="5" t="s">
        <v>850</v>
      </c>
      <c r="C9" s="36" t="s">
        <v>2</v>
      </c>
      <c r="D9" s="14" t="s">
        <v>3</v>
      </c>
      <c r="E9" s="38" t="s">
        <v>561</v>
      </c>
      <c r="F9" s="42">
        <v>91780104.159067735</v>
      </c>
      <c r="G9" s="7">
        <v>7.8498175884337362</v>
      </c>
      <c r="H9" s="41" t="s">
        <v>470</v>
      </c>
      <c r="I9" s="40" t="s">
        <v>563</v>
      </c>
      <c r="J9" s="14" t="s">
        <v>1473</v>
      </c>
    </row>
    <row r="10" spans="1:10" x14ac:dyDescent="0.25">
      <c r="A10" s="32">
        <v>8</v>
      </c>
      <c r="B10" s="5" t="s">
        <v>741</v>
      </c>
      <c r="C10" s="36" t="s">
        <v>202</v>
      </c>
      <c r="D10" s="14" t="s">
        <v>203</v>
      </c>
      <c r="E10" s="38" t="s">
        <v>561</v>
      </c>
      <c r="F10" s="42">
        <v>57610183.873206191</v>
      </c>
      <c r="G10" s="7">
        <v>6.6193586556630777</v>
      </c>
      <c r="H10" s="41" t="s">
        <v>470</v>
      </c>
      <c r="I10" s="40" t="s">
        <v>563</v>
      </c>
      <c r="J10" s="14" t="s">
        <v>1473</v>
      </c>
    </row>
    <row r="11" spans="1:10" x14ac:dyDescent="0.25">
      <c r="A11" s="32">
        <v>9</v>
      </c>
      <c r="B11" s="5" t="s">
        <v>864</v>
      </c>
      <c r="C11" s="36" t="s">
        <v>274</v>
      </c>
      <c r="D11" s="14" t="s">
        <v>275</v>
      </c>
      <c r="E11" s="38">
        <v>1</v>
      </c>
      <c r="F11" s="18">
        <v>75287054.99708873</v>
      </c>
      <c r="G11" s="7">
        <v>6.5393048767030368</v>
      </c>
      <c r="H11" s="41" t="s">
        <v>470</v>
      </c>
      <c r="I11" s="40" t="s">
        <v>563</v>
      </c>
      <c r="J11" s="14" t="s">
        <v>1473</v>
      </c>
    </row>
    <row r="12" spans="1:10" x14ac:dyDescent="0.25">
      <c r="A12" s="32">
        <v>10</v>
      </c>
      <c r="B12" s="5" t="s">
        <v>865</v>
      </c>
      <c r="C12" s="36" t="s">
        <v>204</v>
      </c>
      <c r="D12" s="14" t="s">
        <v>205</v>
      </c>
      <c r="E12" s="38">
        <v>1</v>
      </c>
      <c r="F12" s="18">
        <v>76011641.237207189</v>
      </c>
      <c r="G12" s="7">
        <v>6.186026274368623</v>
      </c>
      <c r="H12" s="41" t="s">
        <v>470</v>
      </c>
      <c r="I12" s="40" t="s">
        <v>563</v>
      </c>
      <c r="J12" s="14" t="s">
        <v>1473</v>
      </c>
    </row>
    <row r="13" spans="1:10" x14ac:dyDescent="0.25">
      <c r="A13" s="32">
        <v>11</v>
      </c>
      <c r="B13" s="5" t="s">
        <v>866</v>
      </c>
      <c r="C13" s="36" t="s">
        <v>210</v>
      </c>
      <c r="D13" s="14" t="s">
        <v>211</v>
      </c>
      <c r="E13" s="38">
        <v>1</v>
      </c>
      <c r="F13" s="18">
        <v>37091753.21470274</v>
      </c>
      <c r="G13" s="7">
        <v>5.7079654822329688</v>
      </c>
      <c r="H13" s="41" t="s">
        <v>470</v>
      </c>
      <c r="I13" s="40" t="s">
        <v>563</v>
      </c>
      <c r="J13" s="14" t="s">
        <v>1473</v>
      </c>
    </row>
    <row r="14" spans="1:10" x14ac:dyDescent="0.25">
      <c r="A14" s="32">
        <v>12</v>
      </c>
      <c r="B14" s="5" t="s">
        <v>851</v>
      </c>
      <c r="C14" s="36" t="s">
        <v>72</v>
      </c>
      <c r="D14" s="14" t="s">
        <v>73</v>
      </c>
      <c r="E14" s="38" t="s">
        <v>561</v>
      </c>
      <c r="F14" s="42">
        <v>36967214.608133666</v>
      </c>
      <c r="G14" s="7">
        <v>5.2229919395539319</v>
      </c>
      <c r="H14" s="41" t="s">
        <v>470</v>
      </c>
      <c r="I14" s="40" t="s">
        <v>563</v>
      </c>
      <c r="J14" s="14" t="s">
        <v>1473</v>
      </c>
    </row>
    <row r="15" spans="1:10" x14ac:dyDescent="0.25">
      <c r="A15" s="32">
        <v>13</v>
      </c>
      <c r="B15" s="5" t="s">
        <v>781</v>
      </c>
      <c r="C15" s="79" t="s">
        <v>0</v>
      </c>
      <c r="D15" s="14" t="s">
        <v>1</v>
      </c>
      <c r="E15" s="38" t="s">
        <v>561</v>
      </c>
      <c r="F15" s="42">
        <v>25848317.76309086</v>
      </c>
      <c r="G15" s="7">
        <v>4.550516900490182</v>
      </c>
      <c r="H15" s="41" t="s">
        <v>470</v>
      </c>
      <c r="I15" s="40" t="s">
        <v>563</v>
      </c>
      <c r="J15" s="14" t="s">
        <v>1473</v>
      </c>
    </row>
    <row r="16" spans="1:10" x14ac:dyDescent="0.25">
      <c r="A16" s="32">
        <v>14</v>
      </c>
      <c r="B16" s="5" t="s">
        <v>856</v>
      </c>
      <c r="C16" s="36" t="s">
        <v>48</v>
      </c>
      <c r="D16" s="14" t="s">
        <v>49</v>
      </c>
      <c r="E16" s="38" t="s">
        <v>561</v>
      </c>
      <c r="F16" s="42">
        <v>47315397.536581099</v>
      </c>
      <c r="G16" s="7">
        <v>4.489288793689667</v>
      </c>
      <c r="H16" s="41" t="s">
        <v>470</v>
      </c>
      <c r="I16" s="40" t="s">
        <v>563</v>
      </c>
      <c r="J16" s="14" t="s">
        <v>1473</v>
      </c>
    </row>
    <row r="17" spans="1:10" x14ac:dyDescent="0.25">
      <c r="A17" s="32">
        <v>15</v>
      </c>
      <c r="B17" s="5" t="s">
        <v>867</v>
      </c>
      <c r="C17" s="36" t="s">
        <v>64</v>
      </c>
      <c r="D17" s="14" t="s">
        <v>65</v>
      </c>
      <c r="E17" s="38">
        <v>1</v>
      </c>
      <c r="F17" s="18">
        <v>34865443.477735467</v>
      </c>
      <c r="G17" s="7">
        <v>4.4773428730309064</v>
      </c>
      <c r="H17" s="41" t="s">
        <v>470</v>
      </c>
      <c r="I17" s="40" t="s">
        <v>563</v>
      </c>
      <c r="J17" s="14" t="s">
        <v>1473</v>
      </c>
    </row>
    <row r="18" spans="1:10" x14ac:dyDescent="0.25">
      <c r="A18" s="32">
        <v>16</v>
      </c>
      <c r="B18" s="5" t="s">
        <v>817</v>
      </c>
      <c r="C18" s="36" t="s">
        <v>228</v>
      </c>
      <c r="D18" s="14" t="s">
        <v>229</v>
      </c>
      <c r="E18" s="38" t="s">
        <v>561</v>
      </c>
      <c r="F18" s="42">
        <v>56972762.2120644</v>
      </c>
      <c r="G18" s="7">
        <v>4.1373813982653029</v>
      </c>
      <c r="H18" s="41" t="s">
        <v>470</v>
      </c>
      <c r="I18" s="40" t="s">
        <v>563</v>
      </c>
      <c r="J18" s="14" t="s">
        <v>1473</v>
      </c>
    </row>
    <row r="19" spans="1:10" x14ac:dyDescent="0.25">
      <c r="A19" s="32">
        <v>17</v>
      </c>
      <c r="B19" s="5" t="s">
        <v>745</v>
      </c>
      <c r="C19" s="36" t="s">
        <v>66</v>
      </c>
      <c r="D19" s="14" t="s">
        <v>67</v>
      </c>
      <c r="E19" s="38">
        <v>1</v>
      </c>
      <c r="F19" s="18">
        <v>139838446.64152199</v>
      </c>
      <c r="G19" s="7">
        <v>4.0379152925262236</v>
      </c>
      <c r="H19" s="41" t="s">
        <v>470</v>
      </c>
      <c r="I19" s="40" t="s">
        <v>563</v>
      </c>
      <c r="J19" s="14" t="s">
        <v>1473</v>
      </c>
    </row>
    <row r="20" spans="1:10" x14ac:dyDescent="0.25">
      <c r="A20" s="32">
        <v>18</v>
      </c>
      <c r="B20" s="5" t="s">
        <v>849</v>
      </c>
      <c r="C20" s="36" t="s">
        <v>226</v>
      </c>
      <c r="D20" s="14" t="s">
        <v>227</v>
      </c>
      <c r="E20" s="38" t="s">
        <v>561</v>
      </c>
      <c r="F20" s="42">
        <v>54661137.237016797</v>
      </c>
      <c r="G20" s="7">
        <v>3.9734686555929217</v>
      </c>
      <c r="H20" s="41" t="s">
        <v>470</v>
      </c>
      <c r="I20" s="40" t="s">
        <v>563</v>
      </c>
      <c r="J20" s="14" t="s">
        <v>1473</v>
      </c>
    </row>
    <row r="21" spans="1:10" x14ac:dyDescent="0.25">
      <c r="A21" s="32">
        <v>19</v>
      </c>
      <c r="B21" s="5" t="s">
        <v>728</v>
      </c>
      <c r="C21" s="36" t="s">
        <v>104</v>
      </c>
      <c r="D21" s="14" t="s">
        <v>105</v>
      </c>
      <c r="E21" s="38" t="s">
        <v>561</v>
      </c>
      <c r="F21" s="42">
        <v>69004475.477684796</v>
      </c>
      <c r="G21" s="7">
        <v>3.7747363278720205</v>
      </c>
      <c r="H21" s="41" t="s">
        <v>470</v>
      </c>
      <c r="I21" s="40" t="s">
        <v>563</v>
      </c>
      <c r="J21" s="14" t="s">
        <v>471</v>
      </c>
    </row>
    <row r="22" spans="1:10" x14ac:dyDescent="0.25">
      <c r="A22" s="32">
        <v>20</v>
      </c>
      <c r="B22" s="5" t="s">
        <v>833</v>
      </c>
      <c r="C22" s="36" t="s">
        <v>144</v>
      </c>
      <c r="D22" s="14" t="s">
        <v>145</v>
      </c>
      <c r="E22" s="38" t="s">
        <v>561</v>
      </c>
      <c r="F22" s="42">
        <v>62726975.833595686</v>
      </c>
      <c r="G22" s="7">
        <v>3.6600767705636605</v>
      </c>
      <c r="H22" s="41" t="s">
        <v>470</v>
      </c>
      <c r="I22" s="40" t="s">
        <v>563</v>
      </c>
      <c r="J22" s="14" t="s">
        <v>471</v>
      </c>
    </row>
    <row r="23" spans="1:10" x14ac:dyDescent="0.25">
      <c r="A23" s="32">
        <v>21</v>
      </c>
      <c r="B23" s="5" t="s">
        <v>733</v>
      </c>
      <c r="C23" s="36" t="s">
        <v>246</v>
      </c>
      <c r="D23" s="14" t="s">
        <v>247</v>
      </c>
      <c r="E23" s="38" t="s">
        <v>561</v>
      </c>
      <c r="F23" s="42">
        <v>27191006.2824044</v>
      </c>
      <c r="G23" s="7">
        <v>3.6222396228597091</v>
      </c>
      <c r="H23" s="41" t="s">
        <v>470</v>
      </c>
      <c r="I23" s="40" t="s">
        <v>563</v>
      </c>
      <c r="J23" s="14" t="s">
        <v>471</v>
      </c>
    </row>
    <row r="24" spans="1:10" x14ac:dyDescent="0.25">
      <c r="A24" s="32">
        <v>22</v>
      </c>
      <c r="B24" s="5" t="s">
        <v>735</v>
      </c>
      <c r="C24" s="36" t="s">
        <v>244</v>
      </c>
      <c r="D24" s="14" t="s">
        <v>245</v>
      </c>
      <c r="E24" s="38" t="s">
        <v>561</v>
      </c>
      <c r="F24" s="42">
        <v>37874114.6434002</v>
      </c>
      <c r="G24" s="7">
        <v>3.6167806945219958</v>
      </c>
      <c r="H24" s="41" t="s">
        <v>470</v>
      </c>
      <c r="I24" s="40" t="s">
        <v>563</v>
      </c>
      <c r="J24" s="14" t="s">
        <v>471</v>
      </c>
    </row>
    <row r="25" spans="1:10" x14ac:dyDescent="0.25">
      <c r="A25" s="32">
        <v>23</v>
      </c>
      <c r="B25" s="5" t="s">
        <v>787</v>
      </c>
      <c r="C25" s="36" t="s">
        <v>46</v>
      </c>
      <c r="D25" s="14" t="s">
        <v>47</v>
      </c>
      <c r="E25" s="38" t="s">
        <v>561</v>
      </c>
      <c r="F25" s="42">
        <v>22784799.498454802</v>
      </c>
      <c r="G25" s="7">
        <v>3.3031763890686245</v>
      </c>
      <c r="H25" s="41" t="s">
        <v>470</v>
      </c>
      <c r="I25" s="40" t="s">
        <v>563</v>
      </c>
      <c r="J25" s="14" t="s">
        <v>1473</v>
      </c>
    </row>
    <row r="26" spans="1:10" x14ac:dyDescent="0.25">
      <c r="A26" s="32">
        <v>24</v>
      </c>
      <c r="B26" s="5" t="s">
        <v>762</v>
      </c>
      <c r="C26" s="36" t="s">
        <v>74</v>
      </c>
      <c r="D26" s="14" t="s">
        <v>75</v>
      </c>
      <c r="E26" s="38" t="s">
        <v>561</v>
      </c>
      <c r="F26" s="42">
        <v>76350476.193855807</v>
      </c>
      <c r="G26" s="7">
        <v>3.2464917397126447</v>
      </c>
      <c r="H26" s="41" t="s">
        <v>470</v>
      </c>
      <c r="I26" s="40" t="s">
        <v>563</v>
      </c>
      <c r="J26" s="14" t="s">
        <v>471</v>
      </c>
    </row>
    <row r="27" spans="1:10" x14ac:dyDescent="0.25">
      <c r="A27" s="32">
        <v>25</v>
      </c>
      <c r="B27" s="5" t="s">
        <v>868</v>
      </c>
      <c r="C27" s="36" t="s">
        <v>242</v>
      </c>
      <c r="D27" s="14" t="s">
        <v>243</v>
      </c>
      <c r="E27" s="38">
        <v>1</v>
      </c>
      <c r="F27" s="42">
        <v>33375918.426146485</v>
      </c>
      <c r="G27" s="7">
        <v>3.0561142076510031</v>
      </c>
      <c r="H27" s="41" t="s">
        <v>470</v>
      </c>
      <c r="I27" s="40" t="s">
        <v>563</v>
      </c>
      <c r="J27" s="14" t="s">
        <v>471</v>
      </c>
    </row>
    <row r="28" spans="1:10" x14ac:dyDescent="0.25">
      <c r="A28" s="32">
        <v>26</v>
      </c>
      <c r="B28" s="5" t="s">
        <v>869</v>
      </c>
      <c r="C28" s="36" t="s">
        <v>276</v>
      </c>
      <c r="D28" s="14" t="s">
        <v>277</v>
      </c>
      <c r="E28" s="38">
        <v>1</v>
      </c>
      <c r="F28" s="18">
        <v>14005367.672752779</v>
      </c>
      <c r="G28" s="7">
        <v>3.0282750994797554</v>
      </c>
      <c r="H28" s="41" t="s">
        <v>470</v>
      </c>
      <c r="I28" s="40" t="s">
        <v>563</v>
      </c>
      <c r="J28" s="14" t="s">
        <v>471</v>
      </c>
    </row>
    <row r="29" spans="1:10" x14ac:dyDescent="0.25">
      <c r="A29" s="32">
        <v>27</v>
      </c>
      <c r="B29" s="5" t="s">
        <v>757</v>
      </c>
      <c r="C29" s="36" t="s">
        <v>136</v>
      </c>
      <c r="D29" s="14" t="s">
        <v>137</v>
      </c>
      <c r="E29" s="38" t="s">
        <v>561</v>
      </c>
      <c r="F29" s="18">
        <v>23539003.737743199</v>
      </c>
      <c r="G29" s="7">
        <v>3.0067005488217973</v>
      </c>
      <c r="H29" s="41" t="s">
        <v>470</v>
      </c>
      <c r="I29" s="40" t="s">
        <v>563</v>
      </c>
      <c r="J29" s="14" t="s">
        <v>471</v>
      </c>
    </row>
    <row r="30" spans="1:10" x14ac:dyDescent="0.25">
      <c r="A30" s="32">
        <v>28</v>
      </c>
      <c r="B30" s="5" t="s">
        <v>751</v>
      </c>
      <c r="C30" s="36" t="s">
        <v>76</v>
      </c>
      <c r="D30" s="14" t="s">
        <v>77</v>
      </c>
      <c r="E30" s="38" t="s">
        <v>561</v>
      </c>
      <c r="F30" s="42">
        <v>24031389.072262399</v>
      </c>
      <c r="G30" s="7">
        <v>2.9687284856873237</v>
      </c>
      <c r="H30" s="41" t="s">
        <v>470</v>
      </c>
      <c r="I30" s="40" t="s">
        <v>563</v>
      </c>
      <c r="J30" s="14" t="s">
        <v>471</v>
      </c>
    </row>
    <row r="31" spans="1:10" x14ac:dyDescent="0.25">
      <c r="A31" s="32">
        <v>29</v>
      </c>
      <c r="B31" s="5" t="s">
        <v>870</v>
      </c>
      <c r="C31" s="36" t="s">
        <v>120</v>
      </c>
      <c r="D31" s="14" t="s">
        <v>121</v>
      </c>
      <c r="E31" s="38">
        <v>1</v>
      </c>
      <c r="F31" s="18">
        <v>129701471.47549084</v>
      </c>
      <c r="G31" s="7">
        <v>2.9054611184472141</v>
      </c>
      <c r="H31" s="41" t="s">
        <v>470</v>
      </c>
      <c r="I31" s="40" t="s">
        <v>563</v>
      </c>
      <c r="J31" s="14" t="s">
        <v>471</v>
      </c>
    </row>
    <row r="32" spans="1:10" x14ac:dyDescent="0.25">
      <c r="A32" s="32">
        <v>30</v>
      </c>
      <c r="B32" s="5" t="s">
        <v>739</v>
      </c>
      <c r="C32" s="36" t="s">
        <v>236</v>
      </c>
      <c r="D32" s="14" t="s">
        <v>237</v>
      </c>
      <c r="E32" s="38">
        <v>1</v>
      </c>
      <c r="F32" s="42">
        <v>226418083.70882899</v>
      </c>
      <c r="G32" s="7">
        <v>2.8431404891339676</v>
      </c>
      <c r="H32" s="41" t="s">
        <v>470</v>
      </c>
      <c r="I32" s="40" t="s">
        <v>563</v>
      </c>
      <c r="J32" s="14" t="s">
        <v>471</v>
      </c>
    </row>
    <row r="33" spans="1:10" x14ac:dyDescent="0.25">
      <c r="A33" s="32">
        <v>31</v>
      </c>
      <c r="B33" s="5" t="s">
        <v>871</v>
      </c>
      <c r="C33" s="36" t="s">
        <v>134</v>
      </c>
      <c r="D33" s="14" t="s">
        <v>135</v>
      </c>
      <c r="E33" s="38">
        <v>1</v>
      </c>
      <c r="F33" s="18">
        <v>101526567.33177</v>
      </c>
      <c r="G33" s="7">
        <v>2.8010233001933225</v>
      </c>
      <c r="H33" s="41" t="s">
        <v>470</v>
      </c>
      <c r="I33" s="40" t="s">
        <v>563</v>
      </c>
      <c r="J33" s="14" t="s">
        <v>471</v>
      </c>
    </row>
    <row r="34" spans="1:10" x14ac:dyDescent="0.25">
      <c r="A34" s="32">
        <v>32</v>
      </c>
      <c r="B34" s="5" t="s">
        <v>724</v>
      </c>
      <c r="C34" s="36" t="s">
        <v>256</v>
      </c>
      <c r="D34" s="14" t="s">
        <v>257</v>
      </c>
      <c r="E34" s="38" t="s">
        <v>561</v>
      </c>
      <c r="F34" s="42">
        <v>21251062.59622458</v>
      </c>
      <c r="G34" s="7">
        <v>2.6581465331535479</v>
      </c>
      <c r="H34" s="41" t="s">
        <v>470</v>
      </c>
      <c r="I34" s="40" t="s">
        <v>563</v>
      </c>
      <c r="J34" s="14" t="s">
        <v>471</v>
      </c>
    </row>
    <row r="35" spans="1:10" x14ac:dyDescent="0.25">
      <c r="A35" s="32">
        <v>33</v>
      </c>
      <c r="B35" s="5" t="s">
        <v>872</v>
      </c>
      <c r="C35" s="36" t="s">
        <v>281</v>
      </c>
      <c r="D35" s="14" t="s">
        <v>281</v>
      </c>
      <c r="E35" s="38">
        <v>1</v>
      </c>
      <c r="F35" s="18">
        <v>123631623.43118601</v>
      </c>
      <c r="G35" s="7">
        <v>2.6027585324768547</v>
      </c>
      <c r="H35" s="41" t="s">
        <v>470</v>
      </c>
      <c r="I35" s="40" t="s">
        <v>563</v>
      </c>
      <c r="J35" s="14" t="s">
        <v>1473</v>
      </c>
    </row>
    <row r="36" spans="1:10" x14ac:dyDescent="0.25">
      <c r="A36" s="32">
        <v>34</v>
      </c>
      <c r="B36" s="5" t="s">
        <v>734</v>
      </c>
      <c r="C36" s="36" t="s">
        <v>138</v>
      </c>
      <c r="D36" s="14" t="s">
        <v>139</v>
      </c>
      <c r="E36" s="38" t="s">
        <v>561</v>
      </c>
      <c r="F36" s="42">
        <v>60574519.751043506</v>
      </c>
      <c r="G36" s="7">
        <v>2.5829438852188757</v>
      </c>
      <c r="H36" s="41" t="s">
        <v>470</v>
      </c>
      <c r="I36" s="40" t="s">
        <v>563</v>
      </c>
      <c r="J36" s="14" t="s">
        <v>471</v>
      </c>
    </row>
    <row r="37" spans="1:10" x14ac:dyDescent="0.25">
      <c r="A37" s="32">
        <v>35</v>
      </c>
      <c r="B37" s="5" t="s">
        <v>788</v>
      </c>
      <c r="C37" s="36" t="s">
        <v>68</v>
      </c>
      <c r="D37" s="14" t="s">
        <v>69</v>
      </c>
      <c r="E37" s="38" t="s">
        <v>561</v>
      </c>
      <c r="F37" s="42">
        <v>48427613.630499765</v>
      </c>
      <c r="G37" s="7">
        <v>2.5499783600270876</v>
      </c>
      <c r="H37" s="41" t="s">
        <v>470</v>
      </c>
      <c r="I37" s="40" t="s">
        <v>563</v>
      </c>
      <c r="J37" s="14" t="s">
        <v>471</v>
      </c>
    </row>
    <row r="38" spans="1:10" x14ac:dyDescent="0.25">
      <c r="A38" s="32">
        <v>36</v>
      </c>
      <c r="B38" s="5" t="s">
        <v>752</v>
      </c>
      <c r="C38" s="36" t="s">
        <v>168</v>
      </c>
      <c r="D38" s="14" t="s">
        <v>169</v>
      </c>
      <c r="E38" s="38" t="s">
        <v>561</v>
      </c>
      <c r="F38" s="42">
        <v>107157126.99340492</v>
      </c>
      <c r="G38" s="7">
        <v>2.3131836699983461</v>
      </c>
      <c r="H38" s="41" t="s">
        <v>470</v>
      </c>
      <c r="I38" s="40" t="s">
        <v>563</v>
      </c>
      <c r="J38" s="14" t="s">
        <v>471</v>
      </c>
    </row>
    <row r="39" spans="1:10" x14ac:dyDescent="0.25">
      <c r="A39" s="32">
        <v>37</v>
      </c>
      <c r="B39" s="5" t="s">
        <v>585</v>
      </c>
      <c r="C39" s="36" t="s">
        <v>78</v>
      </c>
      <c r="D39" s="14" t="s">
        <v>79</v>
      </c>
      <c r="E39" s="38" t="s">
        <v>561</v>
      </c>
      <c r="F39" s="42">
        <v>21741918.186256822</v>
      </c>
      <c r="G39" s="7">
        <v>2.2862901860225837</v>
      </c>
      <c r="H39" s="41" t="s">
        <v>470</v>
      </c>
      <c r="I39" s="40" t="s">
        <v>563</v>
      </c>
      <c r="J39" s="14" t="s">
        <v>471</v>
      </c>
    </row>
    <row r="40" spans="1:10" x14ac:dyDescent="0.25">
      <c r="A40" s="32">
        <v>38</v>
      </c>
      <c r="B40" s="5" t="s">
        <v>782</v>
      </c>
      <c r="C40" s="36" t="s">
        <v>6</v>
      </c>
      <c r="D40" s="14" t="s">
        <v>7</v>
      </c>
      <c r="E40" s="38" t="s">
        <v>561</v>
      </c>
      <c r="F40" s="42">
        <v>9465935.0669801123</v>
      </c>
      <c r="G40" s="7">
        <v>1.5790371342239387</v>
      </c>
      <c r="H40" s="41" t="s">
        <v>470</v>
      </c>
      <c r="I40" s="40" t="s">
        <v>563</v>
      </c>
      <c r="J40" s="14" t="s">
        <v>471</v>
      </c>
    </row>
    <row r="41" spans="1:10" x14ac:dyDescent="0.25">
      <c r="A41" s="32">
        <v>39</v>
      </c>
      <c r="B41" s="5" t="s">
        <v>873</v>
      </c>
      <c r="C41" s="36" t="s">
        <v>142</v>
      </c>
      <c r="D41" s="14" t="s">
        <v>143</v>
      </c>
      <c r="E41" s="38">
        <v>1</v>
      </c>
      <c r="F41" s="18">
        <v>163476432.07398421</v>
      </c>
      <c r="G41" s="7">
        <v>1.468637409822267</v>
      </c>
      <c r="H41" s="41" t="s">
        <v>470</v>
      </c>
      <c r="I41" s="40" t="s">
        <v>563</v>
      </c>
      <c r="J41" s="14" t="s">
        <v>471</v>
      </c>
    </row>
    <row r="42" spans="1:10" x14ac:dyDescent="0.25">
      <c r="A42" s="32">
        <v>40</v>
      </c>
      <c r="B42" s="5" t="s">
        <v>874</v>
      </c>
      <c r="C42" s="36" t="s">
        <v>16</v>
      </c>
      <c r="D42" s="14" t="s">
        <v>17</v>
      </c>
      <c r="E42" s="38">
        <v>1</v>
      </c>
      <c r="F42" s="18">
        <v>91921983.210359052</v>
      </c>
      <c r="G42" s="7">
        <v>1.4345316336877749</v>
      </c>
      <c r="H42" s="41" t="s">
        <v>470</v>
      </c>
      <c r="I42" s="40" t="s">
        <v>563</v>
      </c>
      <c r="J42" s="14" t="s">
        <v>1473</v>
      </c>
    </row>
    <row r="43" spans="1:10" x14ac:dyDescent="0.25">
      <c r="A43" s="32">
        <v>41</v>
      </c>
      <c r="B43" s="5" t="s">
        <v>875</v>
      </c>
      <c r="C43" s="36" t="s">
        <v>80</v>
      </c>
      <c r="D43" s="14" t="s">
        <v>81</v>
      </c>
      <c r="E43" s="38" t="s">
        <v>561</v>
      </c>
      <c r="F43" s="42">
        <v>40998303.67249772</v>
      </c>
      <c r="G43" s="7">
        <v>1.4121464550060256</v>
      </c>
      <c r="H43" s="41" t="s">
        <v>470</v>
      </c>
      <c r="I43" s="40" t="s">
        <v>563</v>
      </c>
      <c r="J43" s="14" t="s">
        <v>471</v>
      </c>
    </row>
    <row r="44" spans="1:10" x14ac:dyDescent="0.25">
      <c r="A44" s="32">
        <v>42</v>
      </c>
      <c r="B44" s="5" t="s">
        <v>876</v>
      </c>
      <c r="C44" s="36" t="s">
        <v>140</v>
      </c>
      <c r="D44" s="14" t="s">
        <v>141</v>
      </c>
      <c r="E44" s="38" t="s">
        <v>561</v>
      </c>
      <c r="F44" s="42">
        <v>55297279.675416291</v>
      </c>
      <c r="G44" s="7">
        <v>1.343105094324045</v>
      </c>
      <c r="H44" s="41" t="s">
        <v>470</v>
      </c>
      <c r="I44" s="40" t="s">
        <v>563</v>
      </c>
      <c r="J44" s="14" t="s">
        <v>471</v>
      </c>
    </row>
    <row r="45" spans="1:10" x14ac:dyDescent="0.25">
      <c r="A45" s="32">
        <v>43</v>
      </c>
      <c r="B45" s="5" t="s">
        <v>595</v>
      </c>
      <c r="C45" s="36" t="s">
        <v>248</v>
      </c>
      <c r="D45" s="14" t="s">
        <v>249</v>
      </c>
      <c r="E45" s="38" t="s">
        <v>561</v>
      </c>
      <c r="F45" s="42">
        <v>68571451.680347398</v>
      </c>
      <c r="G45" s="7">
        <v>1.2164143072106497</v>
      </c>
      <c r="H45" s="41" t="s">
        <v>470</v>
      </c>
      <c r="I45" s="40" t="s">
        <v>563</v>
      </c>
      <c r="J45" s="14" t="s">
        <v>471</v>
      </c>
    </row>
    <row r="46" spans="1:10" x14ac:dyDescent="0.25">
      <c r="A46" s="32">
        <v>44</v>
      </c>
      <c r="B46" s="5" t="s">
        <v>877</v>
      </c>
      <c r="C46" s="36" t="s">
        <v>268</v>
      </c>
      <c r="D46" s="14" t="s">
        <v>269</v>
      </c>
      <c r="E46" s="38" t="s">
        <v>561</v>
      </c>
      <c r="F46" s="42">
        <v>134644835.61489731</v>
      </c>
      <c r="G46" s="7">
        <v>1.1752460135176732</v>
      </c>
      <c r="H46" s="41" t="s">
        <v>470</v>
      </c>
      <c r="I46" s="40" t="s">
        <v>563</v>
      </c>
      <c r="J46" s="14" t="s">
        <v>471</v>
      </c>
    </row>
    <row r="47" spans="1:10" x14ac:dyDescent="0.25">
      <c r="A47" s="32">
        <v>45</v>
      </c>
      <c r="B47" s="5" t="s">
        <v>596</v>
      </c>
      <c r="C47" s="36" t="s">
        <v>258</v>
      </c>
      <c r="D47" s="14" t="s">
        <v>259</v>
      </c>
      <c r="E47" s="38" t="s">
        <v>561</v>
      </c>
      <c r="F47" s="42">
        <v>111672666.91777354</v>
      </c>
      <c r="G47" s="7">
        <v>1.1620750136957063</v>
      </c>
      <c r="H47" s="41" t="s">
        <v>470</v>
      </c>
      <c r="I47" s="40" t="s">
        <v>563</v>
      </c>
      <c r="J47" s="14" t="s">
        <v>471</v>
      </c>
    </row>
    <row r="48" spans="1:10" x14ac:dyDescent="0.25">
      <c r="A48" s="32">
        <v>46</v>
      </c>
      <c r="B48" s="5" t="s">
        <v>593</v>
      </c>
      <c r="C48" s="36" t="s">
        <v>264</v>
      </c>
      <c r="D48" s="14" t="s">
        <v>265</v>
      </c>
      <c r="E48" s="38" t="s">
        <v>561</v>
      </c>
      <c r="F48" s="42">
        <v>49493702.155334488</v>
      </c>
      <c r="G48" s="7">
        <v>1.1536573990096584</v>
      </c>
      <c r="H48" s="41" t="s">
        <v>470</v>
      </c>
      <c r="I48" s="40" t="s">
        <v>563</v>
      </c>
      <c r="J48" s="14" t="s">
        <v>471</v>
      </c>
    </row>
    <row r="49" spans="1:10" x14ac:dyDescent="0.25">
      <c r="A49" s="32">
        <v>47</v>
      </c>
      <c r="B49" s="5" t="s">
        <v>727</v>
      </c>
      <c r="C49" s="36" t="s">
        <v>88</v>
      </c>
      <c r="D49" s="14" t="s">
        <v>89</v>
      </c>
      <c r="E49" s="38" t="s">
        <v>561</v>
      </c>
      <c r="F49" s="42">
        <v>21812532.284432784</v>
      </c>
      <c r="G49" s="7">
        <v>1.1436133040702037</v>
      </c>
      <c r="H49" s="41" t="s">
        <v>470</v>
      </c>
      <c r="I49" s="40" t="s">
        <v>563</v>
      </c>
      <c r="J49" s="14" t="s">
        <v>471</v>
      </c>
    </row>
    <row r="50" spans="1:10" x14ac:dyDescent="0.25">
      <c r="A50" s="77">
        <v>48</v>
      </c>
      <c r="B50" s="45" t="s">
        <v>878</v>
      </c>
      <c r="C50" s="80" t="s">
        <v>42</v>
      </c>
      <c r="D50" s="45" t="s">
        <v>43</v>
      </c>
      <c r="E50" s="46">
        <v>1</v>
      </c>
      <c r="F50" s="52">
        <v>47837534.029346995</v>
      </c>
      <c r="G50" s="47">
        <v>1.0174406372451421</v>
      </c>
      <c r="H50" s="78" t="s">
        <v>470</v>
      </c>
      <c r="I50" s="78" t="s">
        <v>563</v>
      </c>
      <c r="J50" s="45" t="s">
        <v>1473</v>
      </c>
    </row>
    <row r="51" spans="1:10" x14ac:dyDescent="0.25">
      <c r="A51" s="32">
        <v>49</v>
      </c>
      <c r="B51" s="5" t="s">
        <v>791</v>
      </c>
      <c r="C51" s="36" t="s">
        <v>92</v>
      </c>
      <c r="D51" s="14" t="s">
        <v>93</v>
      </c>
      <c r="E51" s="38" t="s">
        <v>561</v>
      </c>
      <c r="F51" s="42">
        <v>2866575.9088295102</v>
      </c>
      <c r="G51" s="7">
        <v>10.794749827984077</v>
      </c>
      <c r="H51" s="41" t="s">
        <v>470</v>
      </c>
      <c r="I51" s="41" t="s">
        <v>564</v>
      </c>
      <c r="J51" s="14" t="s">
        <v>1473</v>
      </c>
    </row>
    <row r="52" spans="1:10" x14ac:dyDescent="0.25">
      <c r="A52" s="32">
        <v>50</v>
      </c>
      <c r="B52" s="5" t="s">
        <v>845</v>
      </c>
      <c r="C52" s="36" t="s">
        <v>60</v>
      </c>
      <c r="D52" s="14" t="s">
        <v>61</v>
      </c>
      <c r="E52" s="38" t="s">
        <v>561</v>
      </c>
      <c r="F52" s="42">
        <v>74760178.765702799</v>
      </c>
      <c r="G52" s="7">
        <v>9.9615223250700495</v>
      </c>
      <c r="H52" s="41" t="s">
        <v>470</v>
      </c>
      <c r="I52" s="41" t="s">
        <v>564</v>
      </c>
      <c r="J52" s="14" t="s">
        <v>1473</v>
      </c>
    </row>
    <row r="53" spans="1:10" x14ac:dyDescent="0.25">
      <c r="A53" s="32">
        <v>51</v>
      </c>
      <c r="B53" s="5" t="s">
        <v>879</v>
      </c>
      <c r="C53" s="32" t="s">
        <v>62</v>
      </c>
      <c r="D53" s="14" t="s">
        <v>63</v>
      </c>
      <c r="E53" s="38">
        <v>2</v>
      </c>
      <c r="F53" s="18">
        <v>49814138.152282603</v>
      </c>
      <c r="G53" s="7">
        <v>8.5722304453235658</v>
      </c>
      <c r="H53" s="41" t="s">
        <v>470</v>
      </c>
      <c r="I53" s="41" t="s">
        <v>564</v>
      </c>
      <c r="J53" s="14" t="s">
        <v>471</v>
      </c>
    </row>
    <row r="54" spans="1:10" x14ac:dyDescent="0.25">
      <c r="A54" s="32">
        <v>52</v>
      </c>
      <c r="B54" s="5" t="s">
        <v>880</v>
      </c>
      <c r="C54" s="36" t="s">
        <v>196</v>
      </c>
      <c r="D54" s="14" t="s">
        <v>197</v>
      </c>
      <c r="E54" s="38" t="s">
        <v>561</v>
      </c>
      <c r="F54" s="42">
        <v>243576233.34683228</v>
      </c>
      <c r="G54" s="7">
        <v>6.8673587633928337</v>
      </c>
      <c r="H54" s="41" t="s">
        <v>470</v>
      </c>
      <c r="I54" s="41" t="s">
        <v>564</v>
      </c>
      <c r="J54" s="14" t="s">
        <v>1473</v>
      </c>
    </row>
    <row r="55" spans="1:10" x14ac:dyDescent="0.25">
      <c r="A55" s="32">
        <v>53</v>
      </c>
      <c r="B55" s="5" t="s">
        <v>881</v>
      </c>
      <c r="C55" s="36" t="s">
        <v>206</v>
      </c>
      <c r="D55" s="14" t="s">
        <v>207</v>
      </c>
      <c r="E55" s="38" t="s">
        <v>561</v>
      </c>
      <c r="F55" s="42">
        <v>113794702.97974458</v>
      </c>
      <c r="G55" s="7">
        <v>6.1563960926500307</v>
      </c>
      <c r="H55" s="41" t="s">
        <v>470</v>
      </c>
      <c r="I55" s="41" t="s">
        <v>564</v>
      </c>
      <c r="J55" s="14" t="s">
        <v>1473</v>
      </c>
    </row>
    <row r="56" spans="1:10" x14ac:dyDescent="0.25">
      <c r="A56" s="32">
        <v>54</v>
      </c>
      <c r="B56" s="5" t="s">
        <v>795</v>
      </c>
      <c r="C56" s="36" t="s">
        <v>116</v>
      </c>
      <c r="D56" s="14" t="s">
        <v>117</v>
      </c>
      <c r="E56" s="38" t="s">
        <v>561</v>
      </c>
      <c r="F56" s="42">
        <v>11396182.966960315</v>
      </c>
      <c r="G56" s="7">
        <v>5.8050357477851646</v>
      </c>
      <c r="H56" s="41" t="s">
        <v>470</v>
      </c>
      <c r="I56" s="41" t="s">
        <v>564</v>
      </c>
      <c r="J56" s="14" t="s">
        <v>1473</v>
      </c>
    </row>
    <row r="57" spans="1:10" x14ac:dyDescent="0.25">
      <c r="A57" s="32">
        <v>55</v>
      </c>
      <c r="B57" s="5" t="s">
        <v>732</v>
      </c>
      <c r="C57" s="36" t="s">
        <v>198</v>
      </c>
      <c r="D57" s="14" t="s">
        <v>199</v>
      </c>
      <c r="E57" s="38" t="s">
        <v>561</v>
      </c>
      <c r="F57" s="42">
        <v>76274016.751805305</v>
      </c>
      <c r="G57" s="7">
        <v>5.6725594602048384</v>
      </c>
      <c r="H57" s="41" t="s">
        <v>470</v>
      </c>
      <c r="I57" s="41" t="s">
        <v>564</v>
      </c>
      <c r="J57" s="14" t="s">
        <v>1473</v>
      </c>
    </row>
    <row r="58" spans="1:10" x14ac:dyDescent="0.25">
      <c r="A58" s="32">
        <v>56</v>
      </c>
      <c r="B58" s="5" t="s">
        <v>830</v>
      </c>
      <c r="C58" s="36" t="s">
        <v>118</v>
      </c>
      <c r="D58" s="14" t="s">
        <v>119</v>
      </c>
      <c r="E58" s="38" t="s">
        <v>561</v>
      </c>
      <c r="F58" s="42">
        <v>86822610.410090104</v>
      </c>
      <c r="G58" s="7">
        <v>4.670850148544508</v>
      </c>
      <c r="H58" s="41" t="s">
        <v>470</v>
      </c>
      <c r="I58" s="41" t="s">
        <v>564</v>
      </c>
      <c r="J58" s="14" t="s">
        <v>1473</v>
      </c>
    </row>
    <row r="59" spans="1:10" x14ac:dyDescent="0.25">
      <c r="A59" s="32">
        <v>57</v>
      </c>
      <c r="B59" s="5" t="s">
        <v>819</v>
      </c>
      <c r="C59" s="36" t="s">
        <v>240</v>
      </c>
      <c r="D59" s="14" t="s">
        <v>241</v>
      </c>
      <c r="E59" s="38" t="s">
        <v>561</v>
      </c>
      <c r="F59" s="42">
        <v>33034847.034412757</v>
      </c>
      <c r="G59" s="7">
        <v>3.806119679626244</v>
      </c>
      <c r="H59" s="41" t="s">
        <v>470</v>
      </c>
      <c r="I59" s="41" t="s">
        <v>564</v>
      </c>
      <c r="J59" s="14" t="s">
        <v>471</v>
      </c>
    </row>
    <row r="60" spans="1:10" x14ac:dyDescent="0.25">
      <c r="A60" s="32">
        <v>58</v>
      </c>
      <c r="B60" s="5" t="s">
        <v>844</v>
      </c>
      <c r="C60" s="36" t="s">
        <v>208</v>
      </c>
      <c r="D60" s="14" t="s">
        <v>209</v>
      </c>
      <c r="E60" s="38" t="s">
        <v>561</v>
      </c>
      <c r="F60" s="42">
        <v>125322719.93241663</v>
      </c>
      <c r="G60" s="7">
        <v>3.7487525677061226</v>
      </c>
      <c r="H60" s="41" t="s">
        <v>470</v>
      </c>
      <c r="I60" s="41" t="s">
        <v>564</v>
      </c>
      <c r="J60" s="14" t="s">
        <v>471</v>
      </c>
    </row>
    <row r="61" spans="1:10" x14ac:dyDescent="0.25">
      <c r="A61" s="32">
        <v>59</v>
      </c>
      <c r="B61" s="5" t="s">
        <v>828</v>
      </c>
      <c r="C61" s="36" t="s">
        <v>234</v>
      </c>
      <c r="D61" s="14" t="s">
        <v>235</v>
      </c>
      <c r="E61" s="38" t="s">
        <v>561</v>
      </c>
      <c r="F61" s="42">
        <v>147731104.85863617</v>
      </c>
      <c r="G61" s="7">
        <v>3.7256394434018612</v>
      </c>
      <c r="H61" s="41" t="s">
        <v>470</v>
      </c>
      <c r="I61" s="41" t="s">
        <v>564</v>
      </c>
      <c r="J61" s="14" t="s">
        <v>1473</v>
      </c>
    </row>
    <row r="62" spans="1:10" x14ac:dyDescent="0.25">
      <c r="A62" s="32">
        <v>60</v>
      </c>
      <c r="B62" s="5" t="s">
        <v>578</v>
      </c>
      <c r="C62" s="36" t="s">
        <v>100</v>
      </c>
      <c r="D62" s="14" t="s">
        <v>101</v>
      </c>
      <c r="E62" s="38" t="s">
        <v>561</v>
      </c>
      <c r="F62" s="42">
        <v>58708552.766276158</v>
      </c>
      <c r="G62" s="7">
        <v>3.6910836724499752</v>
      </c>
      <c r="H62" s="41" t="s">
        <v>470</v>
      </c>
      <c r="I62" s="41" t="s">
        <v>564</v>
      </c>
      <c r="J62" s="14" t="s">
        <v>471</v>
      </c>
    </row>
    <row r="63" spans="1:10" x14ac:dyDescent="0.25">
      <c r="A63" s="32">
        <v>61</v>
      </c>
      <c r="B63" s="5" t="s">
        <v>836</v>
      </c>
      <c r="C63" s="36" t="s">
        <v>172</v>
      </c>
      <c r="D63" s="14" t="s">
        <v>173</v>
      </c>
      <c r="E63" s="38" t="s">
        <v>561</v>
      </c>
      <c r="F63" s="42">
        <v>52407175.098757416</v>
      </c>
      <c r="G63" s="7">
        <v>3.2955278244916557</v>
      </c>
      <c r="H63" s="41" t="s">
        <v>470</v>
      </c>
      <c r="I63" s="41" t="s">
        <v>564</v>
      </c>
      <c r="J63" s="14" t="s">
        <v>471</v>
      </c>
    </row>
    <row r="64" spans="1:10" x14ac:dyDescent="0.25">
      <c r="A64" s="32">
        <v>62</v>
      </c>
      <c r="B64" s="5" t="s">
        <v>736</v>
      </c>
      <c r="C64" s="36" t="s">
        <v>94</v>
      </c>
      <c r="D64" s="14" t="s">
        <v>95</v>
      </c>
      <c r="E64" s="38" t="s">
        <v>561</v>
      </c>
      <c r="F64" s="42">
        <v>22856751.25600284</v>
      </c>
      <c r="G64" s="7">
        <v>3.0510046010553653</v>
      </c>
      <c r="H64" s="41" t="s">
        <v>470</v>
      </c>
      <c r="I64" s="41" t="s">
        <v>564</v>
      </c>
      <c r="J64" s="14" t="s">
        <v>471</v>
      </c>
    </row>
    <row r="65" spans="1:10" x14ac:dyDescent="0.25">
      <c r="A65" s="32">
        <v>63</v>
      </c>
      <c r="B65" s="5" t="s">
        <v>771</v>
      </c>
      <c r="C65" s="36" t="s">
        <v>86</v>
      </c>
      <c r="D65" s="14" t="s">
        <v>87</v>
      </c>
      <c r="E65" s="38" t="s">
        <v>561</v>
      </c>
      <c r="F65" s="42">
        <v>65731500.495239064</v>
      </c>
      <c r="G65" s="7">
        <v>3.0224225522093278</v>
      </c>
      <c r="H65" s="41" t="s">
        <v>470</v>
      </c>
      <c r="I65" s="41" t="s">
        <v>564</v>
      </c>
      <c r="J65" s="14" t="s">
        <v>471</v>
      </c>
    </row>
    <row r="66" spans="1:10" x14ac:dyDescent="0.25">
      <c r="A66" s="32">
        <v>64</v>
      </c>
      <c r="B66" s="5" t="s">
        <v>725</v>
      </c>
      <c r="C66" s="36" t="s">
        <v>102</v>
      </c>
      <c r="D66" s="14" t="s">
        <v>103</v>
      </c>
      <c r="E66" s="38" t="s">
        <v>561</v>
      </c>
      <c r="F66" s="42">
        <v>101614045.01485537</v>
      </c>
      <c r="G66" s="7">
        <v>2.6944482951189017</v>
      </c>
      <c r="H66" s="41" t="s">
        <v>470</v>
      </c>
      <c r="I66" s="41" t="s">
        <v>564</v>
      </c>
      <c r="J66" s="14" t="s">
        <v>471</v>
      </c>
    </row>
    <row r="67" spans="1:10" x14ac:dyDescent="0.25">
      <c r="A67" s="32">
        <v>65</v>
      </c>
      <c r="B67" s="5" t="s">
        <v>577</v>
      </c>
      <c r="C67" s="36" t="s">
        <v>96</v>
      </c>
      <c r="D67" s="14" t="s">
        <v>97</v>
      </c>
      <c r="E67" s="38" t="s">
        <v>561</v>
      </c>
      <c r="F67" s="42">
        <v>41619547.856180094</v>
      </c>
      <c r="G67" s="7">
        <v>2.6067425997669931</v>
      </c>
      <c r="H67" s="41" t="s">
        <v>470</v>
      </c>
      <c r="I67" s="41" t="s">
        <v>564</v>
      </c>
      <c r="J67" s="14" t="s">
        <v>471</v>
      </c>
    </row>
    <row r="68" spans="1:10" x14ac:dyDescent="0.25">
      <c r="A68" s="32">
        <v>66</v>
      </c>
      <c r="B68" s="5" t="s">
        <v>575</v>
      </c>
      <c r="C68" s="36" t="s">
        <v>98</v>
      </c>
      <c r="D68" s="14" t="s">
        <v>99</v>
      </c>
      <c r="E68" s="38" t="s">
        <v>561</v>
      </c>
      <c r="F68" s="42">
        <v>17133196.247714773</v>
      </c>
      <c r="G68" s="7">
        <v>2.3073719636300498</v>
      </c>
      <c r="H68" s="41" t="s">
        <v>470</v>
      </c>
      <c r="I68" s="41" t="s">
        <v>564</v>
      </c>
      <c r="J68" s="14" t="s">
        <v>471</v>
      </c>
    </row>
    <row r="69" spans="1:10" x14ac:dyDescent="0.25">
      <c r="A69" s="77">
        <v>67</v>
      </c>
      <c r="B69" s="45" t="s">
        <v>579</v>
      </c>
      <c r="C69" s="80" t="s">
        <v>178</v>
      </c>
      <c r="D69" s="45" t="s">
        <v>179</v>
      </c>
      <c r="E69" s="46" t="s">
        <v>561</v>
      </c>
      <c r="F69" s="52">
        <v>96573586.275252968</v>
      </c>
      <c r="G69" s="47">
        <v>1.1537201764385583</v>
      </c>
      <c r="H69" s="78" t="s">
        <v>470</v>
      </c>
      <c r="I69" s="78" t="s">
        <v>564</v>
      </c>
      <c r="J69" s="45" t="s">
        <v>471</v>
      </c>
    </row>
    <row r="70" spans="1:10" x14ac:dyDescent="0.25">
      <c r="A70" s="32">
        <v>68</v>
      </c>
      <c r="B70" s="5" t="s">
        <v>818</v>
      </c>
      <c r="C70" s="36" t="s">
        <v>20</v>
      </c>
      <c r="D70" s="14" t="s">
        <v>21</v>
      </c>
      <c r="E70" s="38" t="s">
        <v>561</v>
      </c>
      <c r="F70" s="42">
        <v>49860363.820177943</v>
      </c>
      <c r="G70" s="7">
        <v>12.312851358979641</v>
      </c>
      <c r="H70" s="41" t="s">
        <v>470</v>
      </c>
      <c r="I70" s="41" t="s">
        <v>565</v>
      </c>
      <c r="J70" s="14" t="s">
        <v>471</v>
      </c>
    </row>
    <row r="71" spans="1:10" x14ac:dyDescent="0.25">
      <c r="A71" s="32">
        <v>69</v>
      </c>
      <c r="B71" s="5" t="s">
        <v>882</v>
      </c>
      <c r="C71" s="32" t="s">
        <v>58</v>
      </c>
      <c r="D71" s="14" t="s">
        <v>59</v>
      </c>
      <c r="E71" s="38">
        <v>2</v>
      </c>
      <c r="F71" s="18">
        <v>19687886.499859184</v>
      </c>
      <c r="G71" s="7">
        <v>11.825611396222396</v>
      </c>
      <c r="H71" s="41" t="s">
        <v>470</v>
      </c>
      <c r="I71" s="41" t="s">
        <v>565</v>
      </c>
      <c r="J71" s="14" t="s">
        <v>471</v>
      </c>
    </row>
    <row r="72" spans="1:10" x14ac:dyDescent="0.25">
      <c r="A72" s="32">
        <v>70</v>
      </c>
      <c r="B72" s="5" t="s">
        <v>816</v>
      </c>
      <c r="C72" s="36" t="s">
        <v>24</v>
      </c>
      <c r="D72" s="14" t="s">
        <v>25</v>
      </c>
      <c r="E72" s="38" t="s">
        <v>561</v>
      </c>
      <c r="F72" s="42">
        <v>57799582.79157389</v>
      </c>
      <c r="G72" s="7">
        <v>9.5459247577653077</v>
      </c>
      <c r="H72" s="41" t="s">
        <v>470</v>
      </c>
      <c r="I72" s="41" t="s">
        <v>565</v>
      </c>
      <c r="J72" s="14" t="s">
        <v>471</v>
      </c>
    </row>
    <row r="73" spans="1:10" x14ac:dyDescent="0.25">
      <c r="A73" s="32">
        <v>71</v>
      </c>
      <c r="B73" s="5" t="s">
        <v>815</v>
      </c>
      <c r="C73" s="36" t="s">
        <v>26</v>
      </c>
      <c r="D73" s="14" t="s">
        <v>27</v>
      </c>
      <c r="E73" s="38" t="s">
        <v>561</v>
      </c>
      <c r="F73" s="42">
        <v>92774470.960732102</v>
      </c>
      <c r="G73" s="7">
        <v>8.7794499853194647</v>
      </c>
      <c r="H73" s="41" t="s">
        <v>470</v>
      </c>
      <c r="I73" s="41" t="s">
        <v>565</v>
      </c>
      <c r="J73" s="14" t="s">
        <v>471</v>
      </c>
    </row>
    <row r="74" spans="1:10" x14ac:dyDescent="0.25">
      <c r="A74" s="32">
        <v>72</v>
      </c>
      <c r="B74" s="5" t="s">
        <v>883</v>
      </c>
      <c r="C74" s="32" t="s">
        <v>272</v>
      </c>
      <c r="D74" s="14" t="s">
        <v>273</v>
      </c>
      <c r="E74" s="38">
        <v>2</v>
      </c>
      <c r="F74" s="18">
        <v>22600016.57809069</v>
      </c>
      <c r="G74" s="7">
        <v>8.212117480611191</v>
      </c>
      <c r="H74" s="41" t="s">
        <v>470</v>
      </c>
      <c r="I74" s="41" t="s">
        <v>565</v>
      </c>
      <c r="J74" s="14" t="s">
        <v>471</v>
      </c>
    </row>
    <row r="75" spans="1:10" x14ac:dyDescent="0.25">
      <c r="A75" s="32">
        <v>73</v>
      </c>
      <c r="B75" s="5" t="s">
        <v>855</v>
      </c>
      <c r="C75" s="36" t="s">
        <v>32</v>
      </c>
      <c r="D75" s="14" t="s">
        <v>33</v>
      </c>
      <c r="E75" s="38" t="s">
        <v>561</v>
      </c>
      <c r="F75" s="42">
        <v>146871328.4566471</v>
      </c>
      <c r="G75" s="7">
        <v>8.2075144546554721</v>
      </c>
      <c r="H75" s="41" t="s">
        <v>470</v>
      </c>
      <c r="I75" s="41" t="s">
        <v>565</v>
      </c>
      <c r="J75" s="14" t="s">
        <v>1473</v>
      </c>
    </row>
    <row r="76" spans="1:10" x14ac:dyDescent="0.25">
      <c r="A76" s="32">
        <v>74</v>
      </c>
      <c r="B76" s="5" t="s">
        <v>853</v>
      </c>
      <c r="C76" s="36" t="s">
        <v>22</v>
      </c>
      <c r="D76" s="14" t="s">
        <v>23</v>
      </c>
      <c r="E76" s="38" t="s">
        <v>561</v>
      </c>
      <c r="F76" s="42">
        <v>131069859.37682711</v>
      </c>
      <c r="G76" s="7">
        <v>7.7955094329432271</v>
      </c>
      <c r="H76" s="41" t="s">
        <v>470</v>
      </c>
      <c r="I76" s="41" t="s">
        <v>565</v>
      </c>
      <c r="J76" s="14" t="s">
        <v>471</v>
      </c>
    </row>
    <row r="77" spans="1:10" x14ac:dyDescent="0.25">
      <c r="A77" s="32">
        <v>75</v>
      </c>
      <c r="B77" s="5" t="s">
        <v>821</v>
      </c>
      <c r="C77" s="36" t="s">
        <v>30</v>
      </c>
      <c r="D77" s="14" t="s">
        <v>31</v>
      </c>
      <c r="E77" s="38" t="s">
        <v>561</v>
      </c>
      <c r="F77" s="42">
        <v>108298965.14677706</v>
      </c>
      <c r="G77" s="7">
        <v>7.3074061486111894</v>
      </c>
      <c r="H77" s="41" t="s">
        <v>470</v>
      </c>
      <c r="I77" s="41" t="s">
        <v>565</v>
      </c>
      <c r="J77" s="14" t="s">
        <v>471</v>
      </c>
    </row>
    <row r="78" spans="1:10" x14ac:dyDescent="0.25">
      <c r="A78" s="32">
        <v>76</v>
      </c>
      <c r="B78" s="5" t="s">
        <v>884</v>
      </c>
      <c r="C78" s="32" t="s">
        <v>274</v>
      </c>
      <c r="D78" s="14" t="s">
        <v>275</v>
      </c>
      <c r="E78" s="38">
        <v>2</v>
      </c>
      <c r="F78" s="18">
        <v>28403663.498462576</v>
      </c>
      <c r="G78" s="7">
        <v>6.5393048767030368</v>
      </c>
      <c r="H78" s="41" t="s">
        <v>470</v>
      </c>
      <c r="I78" s="41" t="s">
        <v>565</v>
      </c>
      <c r="J78" s="14" t="s">
        <v>471</v>
      </c>
    </row>
    <row r="79" spans="1:10" x14ac:dyDescent="0.25">
      <c r="A79" s="32">
        <v>77</v>
      </c>
      <c r="B79" s="5" t="s">
        <v>840</v>
      </c>
      <c r="C79" s="36" t="s">
        <v>194</v>
      </c>
      <c r="D79" s="14" t="s">
        <v>195</v>
      </c>
      <c r="E79" s="38" t="s">
        <v>561</v>
      </c>
      <c r="F79" s="42">
        <v>60196493.649509333</v>
      </c>
      <c r="G79" s="7">
        <v>6.286331580606185</v>
      </c>
      <c r="H79" s="41" t="s">
        <v>470</v>
      </c>
      <c r="I79" s="41" t="s">
        <v>565</v>
      </c>
      <c r="J79" s="14" t="s">
        <v>471</v>
      </c>
    </row>
    <row r="80" spans="1:10" x14ac:dyDescent="0.25">
      <c r="A80" s="32">
        <v>78</v>
      </c>
      <c r="B80" s="5" t="s">
        <v>885</v>
      </c>
      <c r="C80" s="32" t="s">
        <v>204</v>
      </c>
      <c r="D80" s="14" t="s">
        <v>205</v>
      </c>
      <c r="E80" s="38">
        <v>2</v>
      </c>
      <c r="F80" s="18">
        <v>55020496.692581668</v>
      </c>
      <c r="G80" s="7">
        <v>6.186026274368623</v>
      </c>
      <c r="H80" s="41" t="s">
        <v>470</v>
      </c>
      <c r="I80" s="41" t="s">
        <v>565</v>
      </c>
      <c r="J80" s="14" t="s">
        <v>471</v>
      </c>
    </row>
    <row r="81" spans="1:10" x14ac:dyDescent="0.25">
      <c r="A81" s="32">
        <v>79</v>
      </c>
      <c r="B81" s="5" t="s">
        <v>886</v>
      </c>
      <c r="C81" s="32" t="s">
        <v>210</v>
      </c>
      <c r="D81" s="14" t="s">
        <v>211</v>
      </c>
      <c r="E81" s="38">
        <v>2</v>
      </c>
      <c r="F81" s="18">
        <v>57926704.270542726</v>
      </c>
      <c r="G81" s="7">
        <v>5.7079654822329688</v>
      </c>
      <c r="H81" s="41" t="s">
        <v>470</v>
      </c>
      <c r="I81" s="41" t="s">
        <v>565</v>
      </c>
      <c r="J81" s="14" t="s">
        <v>471</v>
      </c>
    </row>
    <row r="82" spans="1:10" x14ac:dyDescent="0.25">
      <c r="A82" s="32">
        <v>80</v>
      </c>
      <c r="B82" s="5" t="s">
        <v>847</v>
      </c>
      <c r="C82" s="36" t="s">
        <v>28</v>
      </c>
      <c r="D82" s="14" t="s">
        <v>29</v>
      </c>
      <c r="E82" s="38" t="s">
        <v>561</v>
      </c>
      <c r="F82" s="42">
        <v>138685235.21311399</v>
      </c>
      <c r="G82" s="7">
        <v>4.9955398691161799</v>
      </c>
      <c r="H82" s="41" t="s">
        <v>470</v>
      </c>
      <c r="I82" s="41" t="s">
        <v>565</v>
      </c>
      <c r="J82" s="14" t="s">
        <v>471</v>
      </c>
    </row>
    <row r="83" spans="1:10" x14ac:dyDescent="0.25">
      <c r="A83" s="32">
        <v>81</v>
      </c>
      <c r="B83" s="5" t="s">
        <v>841</v>
      </c>
      <c r="C83" s="36" t="s">
        <v>50</v>
      </c>
      <c r="D83" s="14" t="s">
        <v>51</v>
      </c>
      <c r="E83" s="38" t="s">
        <v>561</v>
      </c>
      <c r="F83" s="42">
        <v>67755428.019083098</v>
      </c>
      <c r="G83" s="7">
        <v>4.9939562810725393</v>
      </c>
      <c r="H83" s="41" t="s">
        <v>470</v>
      </c>
      <c r="I83" s="41" t="s">
        <v>565</v>
      </c>
      <c r="J83" s="14" t="s">
        <v>471</v>
      </c>
    </row>
    <row r="84" spans="1:10" x14ac:dyDescent="0.25">
      <c r="A84" s="32">
        <v>82</v>
      </c>
      <c r="B84" s="5" t="s">
        <v>867</v>
      </c>
      <c r="C84" s="32" t="s">
        <v>64</v>
      </c>
      <c r="D84" s="14" t="s">
        <v>65</v>
      </c>
      <c r="E84" s="38">
        <v>2</v>
      </c>
      <c r="F84" s="18">
        <v>19017618.998833321</v>
      </c>
      <c r="G84" s="7">
        <v>4.4773428730309064</v>
      </c>
      <c r="H84" s="41" t="s">
        <v>470</v>
      </c>
      <c r="I84" s="41" t="s">
        <v>565</v>
      </c>
      <c r="J84" s="14" t="s">
        <v>1473</v>
      </c>
    </row>
    <row r="85" spans="1:10" x14ac:dyDescent="0.25">
      <c r="A85" s="32">
        <v>83</v>
      </c>
      <c r="B85" s="5" t="s">
        <v>842</v>
      </c>
      <c r="C85" s="32" t="s">
        <v>66</v>
      </c>
      <c r="D85" s="14" t="s">
        <v>67</v>
      </c>
      <c r="E85" s="38">
        <v>2</v>
      </c>
      <c r="F85" s="18">
        <v>43225608.27904395</v>
      </c>
      <c r="G85" s="7">
        <v>4.0379152925262236</v>
      </c>
      <c r="H85" s="41" t="s">
        <v>470</v>
      </c>
      <c r="I85" s="41" t="s">
        <v>565</v>
      </c>
      <c r="J85" s="14" t="s">
        <v>1473</v>
      </c>
    </row>
    <row r="86" spans="1:10" x14ac:dyDescent="0.25">
      <c r="A86" s="32">
        <v>84</v>
      </c>
      <c r="B86" s="5" t="s">
        <v>887</v>
      </c>
      <c r="C86" s="36" t="s">
        <v>278</v>
      </c>
      <c r="D86" s="14" t="s">
        <v>279</v>
      </c>
      <c r="E86" s="38" t="s">
        <v>561</v>
      </c>
      <c r="F86" s="42">
        <v>14558894.957204208</v>
      </c>
      <c r="G86" s="7">
        <v>3.2674195427933479</v>
      </c>
      <c r="H86" s="41" t="s">
        <v>470</v>
      </c>
      <c r="I86" s="41" t="s">
        <v>565</v>
      </c>
      <c r="J86" s="14" t="s">
        <v>471</v>
      </c>
    </row>
    <row r="87" spans="1:10" x14ac:dyDescent="0.25">
      <c r="A87" s="32">
        <v>85</v>
      </c>
      <c r="B87" s="5" t="s">
        <v>888</v>
      </c>
      <c r="C87" s="32" t="s">
        <v>242</v>
      </c>
      <c r="D87" s="14" t="s">
        <v>243</v>
      </c>
      <c r="E87" s="38">
        <v>2</v>
      </c>
      <c r="F87" s="18">
        <v>15127397.500029322</v>
      </c>
      <c r="G87" s="7">
        <v>3.0561142076510031</v>
      </c>
      <c r="H87" s="41" t="s">
        <v>470</v>
      </c>
      <c r="I87" s="41" t="s">
        <v>565</v>
      </c>
      <c r="J87" s="14" t="s">
        <v>471</v>
      </c>
    </row>
    <row r="88" spans="1:10" x14ac:dyDescent="0.25">
      <c r="A88" s="32">
        <v>86</v>
      </c>
      <c r="B88" s="5" t="s">
        <v>889</v>
      </c>
      <c r="C88" s="32" t="s">
        <v>276</v>
      </c>
      <c r="D88" s="14" t="s">
        <v>277</v>
      </c>
      <c r="E88" s="38">
        <v>2</v>
      </c>
      <c r="F88" s="18">
        <v>13220224.087354913</v>
      </c>
      <c r="G88" s="7">
        <v>3.0282750994797554</v>
      </c>
      <c r="H88" s="41" t="s">
        <v>470</v>
      </c>
      <c r="I88" s="41" t="s">
        <v>565</v>
      </c>
      <c r="J88" s="14" t="s">
        <v>471</v>
      </c>
    </row>
    <row r="89" spans="1:10" x14ac:dyDescent="0.25">
      <c r="A89" s="32">
        <v>87</v>
      </c>
      <c r="B89" s="5" t="s">
        <v>890</v>
      </c>
      <c r="C89" s="32" t="s">
        <v>120</v>
      </c>
      <c r="D89" s="14" t="s">
        <v>121</v>
      </c>
      <c r="E89" s="38">
        <v>2</v>
      </c>
      <c r="F89" s="18">
        <v>92775892.478384733</v>
      </c>
      <c r="G89" s="7">
        <v>2.9054611184472141</v>
      </c>
      <c r="H89" s="41" t="s">
        <v>470</v>
      </c>
      <c r="I89" s="41" t="s">
        <v>565</v>
      </c>
      <c r="J89" s="14" t="s">
        <v>471</v>
      </c>
    </row>
    <row r="90" spans="1:10" x14ac:dyDescent="0.25">
      <c r="A90" s="32">
        <v>88</v>
      </c>
      <c r="B90" s="5" t="s">
        <v>854</v>
      </c>
      <c r="C90" s="32" t="s">
        <v>236</v>
      </c>
      <c r="D90" s="14" t="s">
        <v>237</v>
      </c>
      <c r="E90" s="38">
        <v>2</v>
      </c>
      <c r="F90" s="18">
        <v>83180567.540113419</v>
      </c>
      <c r="G90" s="7">
        <v>2.8431404891339676</v>
      </c>
      <c r="H90" s="41" t="s">
        <v>470</v>
      </c>
      <c r="I90" s="41" t="s">
        <v>565</v>
      </c>
      <c r="J90" s="14" t="s">
        <v>471</v>
      </c>
    </row>
    <row r="91" spans="1:10" x14ac:dyDescent="0.25">
      <c r="A91" s="32">
        <v>89</v>
      </c>
      <c r="B91" s="5" t="s">
        <v>891</v>
      </c>
      <c r="C91" s="32" t="s">
        <v>134</v>
      </c>
      <c r="D91" s="14" t="s">
        <v>135</v>
      </c>
      <c r="E91" s="38">
        <v>2</v>
      </c>
      <c r="F91" s="18">
        <v>59212487.468497701</v>
      </c>
      <c r="G91" s="7">
        <v>2.8010233001933225</v>
      </c>
      <c r="H91" s="41" t="s">
        <v>470</v>
      </c>
      <c r="I91" s="41" t="s">
        <v>565</v>
      </c>
      <c r="J91" s="14" t="s">
        <v>471</v>
      </c>
    </row>
    <row r="92" spans="1:10" x14ac:dyDescent="0.25">
      <c r="A92" s="32">
        <v>90</v>
      </c>
      <c r="B92" s="5" t="s">
        <v>892</v>
      </c>
      <c r="C92" s="32" t="s">
        <v>281</v>
      </c>
      <c r="D92" s="14" t="s">
        <v>281</v>
      </c>
      <c r="E92" s="38">
        <v>2</v>
      </c>
      <c r="F92" s="18">
        <v>51213002.017468974</v>
      </c>
      <c r="G92" s="7">
        <v>2.6027585324768547</v>
      </c>
      <c r="H92" s="41" t="s">
        <v>470</v>
      </c>
      <c r="I92" s="41" t="s">
        <v>565</v>
      </c>
      <c r="J92" s="14" t="s">
        <v>471</v>
      </c>
    </row>
    <row r="93" spans="1:10" x14ac:dyDescent="0.25">
      <c r="A93" s="32">
        <v>91</v>
      </c>
      <c r="B93" s="5" t="s">
        <v>779</v>
      </c>
      <c r="C93" s="36" t="s">
        <v>200</v>
      </c>
      <c r="D93" s="14" t="s">
        <v>201</v>
      </c>
      <c r="E93" s="38" t="s">
        <v>561</v>
      </c>
      <c r="F93" s="42">
        <v>233015837.28989759</v>
      </c>
      <c r="G93" s="7">
        <v>2.3422476046231164</v>
      </c>
      <c r="H93" s="41" t="s">
        <v>470</v>
      </c>
      <c r="I93" s="41" t="s">
        <v>565</v>
      </c>
      <c r="J93" s="14" t="s">
        <v>471</v>
      </c>
    </row>
    <row r="94" spans="1:10" x14ac:dyDescent="0.25">
      <c r="A94" s="32">
        <v>92</v>
      </c>
      <c r="B94" s="5" t="s">
        <v>824</v>
      </c>
      <c r="C94" s="36" t="s">
        <v>166</v>
      </c>
      <c r="D94" s="14" t="s">
        <v>167</v>
      </c>
      <c r="E94" s="38" t="s">
        <v>561</v>
      </c>
      <c r="F94" s="42">
        <v>31594813.285146911</v>
      </c>
      <c r="G94" s="7">
        <v>2.2107708388428255</v>
      </c>
      <c r="H94" s="41" t="s">
        <v>470</v>
      </c>
      <c r="I94" s="41" t="s">
        <v>565</v>
      </c>
      <c r="J94" s="14" t="s">
        <v>471</v>
      </c>
    </row>
    <row r="95" spans="1:10" x14ac:dyDescent="0.25">
      <c r="A95" s="32">
        <v>93</v>
      </c>
      <c r="B95" s="5" t="s">
        <v>770</v>
      </c>
      <c r="C95" s="36" t="s">
        <v>238</v>
      </c>
      <c r="D95" s="14" t="s">
        <v>239</v>
      </c>
      <c r="E95" s="38" t="s">
        <v>561</v>
      </c>
      <c r="F95" s="42">
        <v>31844884.7770073</v>
      </c>
      <c r="G95" s="7">
        <v>1.9944743859505825</v>
      </c>
      <c r="H95" s="41" t="s">
        <v>470</v>
      </c>
      <c r="I95" s="41" t="s">
        <v>565</v>
      </c>
      <c r="J95" s="14" t="s">
        <v>471</v>
      </c>
    </row>
    <row r="96" spans="1:10" x14ac:dyDescent="0.25">
      <c r="A96" s="32">
        <v>94</v>
      </c>
      <c r="B96" s="5" t="s">
        <v>893</v>
      </c>
      <c r="C96" s="32" t="s">
        <v>142</v>
      </c>
      <c r="D96" s="14" t="s">
        <v>143</v>
      </c>
      <c r="E96" s="38">
        <v>2</v>
      </c>
      <c r="F96" s="18">
        <v>67457765.351052329</v>
      </c>
      <c r="G96" s="7">
        <v>1.468637409822267</v>
      </c>
      <c r="H96" s="41" t="s">
        <v>470</v>
      </c>
      <c r="I96" s="41" t="s">
        <v>565</v>
      </c>
      <c r="J96" s="14" t="s">
        <v>471</v>
      </c>
    </row>
    <row r="97" spans="1:10" x14ac:dyDescent="0.25">
      <c r="A97" s="32">
        <v>95</v>
      </c>
      <c r="B97" s="5" t="s">
        <v>894</v>
      </c>
      <c r="C97" s="32" t="s">
        <v>16</v>
      </c>
      <c r="D97" s="14" t="s">
        <v>17</v>
      </c>
      <c r="E97" s="38">
        <v>2</v>
      </c>
      <c r="F97" s="18">
        <v>31725300.590984128</v>
      </c>
      <c r="G97" s="7">
        <v>1.4345316336877749</v>
      </c>
      <c r="H97" s="41" t="s">
        <v>470</v>
      </c>
      <c r="I97" s="41" t="s">
        <v>565</v>
      </c>
      <c r="J97" s="14" t="s">
        <v>471</v>
      </c>
    </row>
    <row r="98" spans="1:10" x14ac:dyDescent="0.25">
      <c r="A98" s="32">
        <v>96</v>
      </c>
      <c r="B98" s="5" t="s">
        <v>895</v>
      </c>
      <c r="C98" s="36" t="s">
        <v>286</v>
      </c>
      <c r="D98" s="14" t="s">
        <v>287</v>
      </c>
      <c r="E98" s="38" t="s">
        <v>561</v>
      </c>
      <c r="F98" s="42">
        <v>58967182.297585003</v>
      </c>
      <c r="G98" s="7">
        <v>1.2004578015073823</v>
      </c>
      <c r="H98" s="41" t="s">
        <v>470</v>
      </c>
      <c r="I98" s="41" t="s">
        <v>565</v>
      </c>
      <c r="J98" s="14" t="s">
        <v>471</v>
      </c>
    </row>
    <row r="99" spans="1:10" x14ac:dyDescent="0.25">
      <c r="A99" s="32">
        <v>97</v>
      </c>
      <c r="B99" s="5" t="s">
        <v>744</v>
      </c>
      <c r="C99" s="36" t="s">
        <v>232</v>
      </c>
      <c r="D99" s="14" t="s">
        <v>233</v>
      </c>
      <c r="E99" s="38" t="s">
        <v>561</v>
      </c>
      <c r="F99" s="42">
        <v>21105769.309145425</v>
      </c>
      <c r="G99" s="7">
        <v>1.0578207614720958</v>
      </c>
      <c r="H99" s="41" t="s">
        <v>470</v>
      </c>
      <c r="I99" s="41" t="s">
        <v>565</v>
      </c>
      <c r="J99" s="14" t="s">
        <v>471</v>
      </c>
    </row>
    <row r="100" spans="1:10" x14ac:dyDescent="0.25">
      <c r="A100" s="77">
        <v>98</v>
      </c>
      <c r="B100" s="45" t="s">
        <v>896</v>
      </c>
      <c r="C100" s="77" t="s">
        <v>42</v>
      </c>
      <c r="D100" s="45" t="s">
        <v>43</v>
      </c>
      <c r="E100" s="46">
        <v>2</v>
      </c>
      <c r="F100" s="52">
        <v>20571182.869564876</v>
      </c>
      <c r="G100" s="47">
        <v>1.0174406372451421</v>
      </c>
      <c r="H100" s="78" t="s">
        <v>470</v>
      </c>
      <c r="I100" s="78" t="s">
        <v>565</v>
      </c>
      <c r="J100" s="45" t="s">
        <v>471</v>
      </c>
    </row>
    <row r="101" spans="1:10" x14ac:dyDescent="0.25">
      <c r="A101" s="32">
        <v>99</v>
      </c>
      <c r="B101" s="5" t="s">
        <v>797</v>
      </c>
      <c r="C101" s="36" t="s">
        <v>146</v>
      </c>
      <c r="D101" s="14" t="s">
        <v>147</v>
      </c>
      <c r="E101" s="38" t="s">
        <v>561</v>
      </c>
      <c r="F101" s="42">
        <v>626111.32444192702</v>
      </c>
      <c r="G101" s="7">
        <v>0.83169535118327931</v>
      </c>
      <c r="H101" s="41" t="s">
        <v>471</v>
      </c>
      <c r="I101" s="40" t="s">
        <v>563</v>
      </c>
      <c r="J101" s="14" t="s">
        <v>471</v>
      </c>
    </row>
    <row r="102" spans="1:10" x14ac:dyDescent="0.25">
      <c r="A102" s="32">
        <v>100</v>
      </c>
      <c r="B102" s="5" t="s">
        <v>897</v>
      </c>
      <c r="C102" s="36" t="s">
        <v>44</v>
      </c>
      <c r="D102" s="14" t="s">
        <v>45</v>
      </c>
      <c r="E102" s="38">
        <v>1</v>
      </c>
      <c r="F102" s="18">
        <v>27823887.999025721</v>
      </c>
      <c r="G102" s="7">
        <v>0.78430880982249107</v>
      </c>
      <c r="H102" s="41" t="s">
        <v>471</v>
      </c>
      <c r="I102" s="40" t="s">
        <v>563</v>
      </c>
      <c r="J102" s="14" t="s">
        <v>471</v>
      </c>
    </row>
    <row r="103" spans="1:10" x14ac:dyDescent="0.25">
      <c r="A103" s="32">
        <v>101</v>
      </c>
      <c r="B103" s="5" t="s">
        <v>898</v>
      </c>
      <c r="C103" s="36" t="s">
        <v>56</v>
      </c>
      <c r="D103" s="14" t="s">
        <v>57</v>
      </c>
      <c r="E103" s="38">
        <v>1</v>
      </c>
      <c r="F103" s="18">
        <v>7564331.9207613738</v>
      </c>
      <c r="G103" s="7">
        <v>0.72252514769008835</v>
      </c>
      <c r="H103" s="41" t="s">
        <v>471</v>
      </c>
      <c r="I103" s="40" t="s">
        <v>563</v>
      </c>
      <c r="J103" s="14" t="s">
        <v>471</v>
      </c>
    </row>
    <row r="104" spans="1:10" x14ac:dyDescent="0.25">
      <c r="A104" s="32">
        <v>102</v>
      </c>
      <c r="B104" s="5" t="s">
        <v>899</v>
      </c>
      <c r="C104" s="36" t="s">
        <v>270</v>
      </c>
      <c r="D104" s="14" t="s">
        <v>271</v>
      </c>
      <c r="E104" s="38">
        <v>1</v>
      </c>
      <c r="F104" s="18">
        <v>29557511.535302207</v>
      </c>
      <c r="G104" s="7">
        <v>0.68839064906303915</v>
      </c>
      <c r="H104" s="41" t="s">
        <v>471</v>
      </c>
      <c r="I104" s="40" t="s">
        <v>563</v>
      </c>
      <c r="J104" s="14" t="s">
        <v>471</v>
      </c>
    </row>
    <row r="105" spans="1:10" x14ac:dyDescent="0.25">
      <c r="A105" s="32">
        <v>103</v>
      </c>
      <c r="B105" s="5" t="s">
        <v>729</v>
      </c>
      <c r="C105" s="36" t="s">
        <v>82</v>
      </c>
      <c r="D105" s="14" t="s">
        <v>83</v>
      </c>
      <c r="E105" s="38" t="s">
        <v>561</v>
      </c>
      <c r="F105" s="42">
        <v>43998693.90583127</v>
      </c>
      <c r="G105" s="7">
        <v>0.60361268058409567</v>
      </c>
      <c r="H105" s="41" t="s">
        <v>471</v>
      </c>
      <c r="I105" s="40" t="s">
        <v>563</v>
      </c>
      <c r="J105" s="14" t="s">
        <v>471</v>
      </c>
    </row>
    <row r="106" spans="1:10" x14ac:dyDescent="0.25">
      <c r="A106" s="32">
        <v>104</v>
      </c>
      <c r="B106" s="5" t="s">
        <v>900</v>
      </c>
      <c r="C106" s="36" t="s">
        <v>52</v>
      </c>
      <c r="D106" s="14" t="s">
        <v>53</v>
      </c>
      <c r="E106" s="38">
        <v>1</v>
      </c>
      <c r="F106" s="18">
        <v>19191805.881807324</v>
      </c>
      <c r="G106" s="7">
        <v>0.59055190098544474</v>
      </c>
      <c r="H106" s="41" t="s">
        <v>471</v>
      </c>
      <c r="I106" s="40" t="s">
        <v>563</v>
      </c>
      <c r="J106" s="14" t="s">
        <v>471</v>
      </c>
    </row>
    <row r="107" spans="1:10" x14ac:dyDescent="0.25">
      <c r="A107" s="32">
        <v>105</v>
      </c>
      <c r="B107" s="5" t="s">
        <v>826</v>
      </c>
      <c r="C107" s="36" t="s">
        <v>216</v>
      </c>
      <c r="D107" s="14" t="s">
        <v>217</v>
      </c>
      <c r="E107" s="38" t="s">
        <v>561</v>
      </c>
      <c r="F107" s="42">
        <v>52621990.173114978</v>
      </c>
      <c r="G107" s="7">
        <v>0.55860362975812805</v>
      </c>
      <c r="H107" s="41" t="s">
        <v>471</v>
      </c>
      <c r="I107" s="40" t="s">
        <v>563</v>
      </c>
      <c r="J107" s="14" t="s">
        <v>471</v>
      </c>
    </row>
    <row r="108" spans="1:10" x14ac:dyDescent="0.25">
      <c r="A108" s="32">
        <v>106</v>
      </c>
      <c r="B108" s="5" t="s">
        <v>597</v>
      </c>
      <c r="C108" s="36" t="s">
        <v>212</v>
      </c>
      <c r="D108" s="14" t="s">
        <v>213</v>
      </c>
      <c r="E108" s="38" t="s">
        <v>561</v>
      </c>
      <c r="F108" s="42">
        <v>111566664.57196948</v>
      </c>
      <c r="G108" s="7">
        <v>0.51103057945157182</v>
      </c>
      <c r="H108" s="41" t="s">
        <v>471</v>
      </c>
      <c r="I108" s="40" t="s">
        <v>563</v>
      </c>
      <c r="J108" s="14" t="s">
        <v>471</v>
      </c>
    </row>
    <row r="109" spans="1:10" x14ac:dyDescent="0.25">
      <c r="A109" s="32">
        <v>107</v>
      </c>
      <c r="B109" s="5" t="s">
        <v>901</v>
      </c>
      <c r="C109" s="36" t="s">
        <v>186</v>
      </c>
      <c r="D109" s="14" t="s">
        <v>187</v>
      </c>
      <c r="E109" s="38">
        <v>1</v>
      </c>
      <c r="F109" s="18">
        <v>34526858.235244676</v>
      </c>
      <c r="G109" s="7">
        <v>0.50171543993216594</v>
      </c>
      <c r="H109" s="41" t="s">
        <v>471</v>
      </c>
      <c r="I109" s="40" t="s">
        <v>563</v>
      </c>
      <c r="J109" s="14" t="s">
        <v>471</v>
      </c>
    </row>
    <row r="110" spans="1:10" x14ac:dyDescent="0.25">
      <c r="A110" s="32">
        <v>108</v>
      </c>
      <c r="B110" s="5" t="s">
        <v>746</v>
      </c>
      <c r="C110" s="36" t="s">
        <v>112</v>
      </c>
      <c r="D110" s="14" t="s">
        <v>113</v>
      </c>
      <c r="E110" s="38" t="s">
        <v>561</v>
      </c>
      <c r="F110" s="42">
        <v>120141807.19392274</v>
      </c>
      <c r="G110" s="7">
        <v>0.47399421441474454</v>
      </c>
      <c r="H110" s="41" t="s">
        <v>471</v>
      </c>
      <c r="I110" s="40" t="s">
        <v>563</v>
      </c>
      <c r="J110" s="14" t="s">
        <v>471</v>
      </c>
    </row>
    <row r="111" spans="1:10" x14ac:dyDescent="0.25">
      <c r="A111" s="32">
        <v>109</v>
      </c>
      <c r="B111" s="5" t="s">
        <v>804</v>
      </c>
      <c r="C111" s="36" t="s">
        <v>188</v>
      </c>
      <c r="D111" s="14" t="s">
        <v>189</v>
      </c>
      <c r="E111" s="38" t="s">
        <v>561</v>
      </c>
      <c r="F111" s="42">
        <v>16883438.820990164</v>
      </c>
      <c r="G111" s="7">
        <v>0.46943367323186652</v>
      </c>
      <c r="H111" s="41" t="s">
        <v>471</v>
      </c>
      <c r="I111" s="40" t="s">
        <v>563</v>
      </c>
      <c r="J111" s="14" t="s">
        <v>471</v>
      </c>
    </row>
    <row r="112" spans="1:10" x14ac:dyDescent="0.25">
      <c r="A112" s="32">
        <v>110</v>
      </c>
      <c r="B112" s="5" t="s">
        <v>902</v>
      </c>
      <c r="C112" s="36" t="s">
        <v>54</v>
      </c>
      <c r="D112" s="14" t="s">
        <v>55</v>
      </c>
      <c r="E112" s="38">
        <v>1</v>
      </c>
      <c r="F112" s="18">
        <v>16784299.990638375</v>
      </c>
      <c r="G112" s="7">
        <v>0.43429692360159472</v>
      </c>
      <c r="H112" s="41" t="s">
        <v>471</v>
      </c>
      <c r="I112" s="40" t="s">
        <v>563</v>
      </c>
      <c r="J112" s="14" t="s">
        <v>471</v>
      </c>
    </row>
    <row r="113" spans="1:10" x14ac:dyDescent="0.25">
      <c r="A113" s="32">
        <v>111</v>
      </c>
      <c r="B113" s="5" t="s">
        <v>903</v>
      </c>
      <c r="C113" s="36" t="s">
        <v>124</v>
      </c>
      <c r="D113" s="14" t="s">
        <v>125</v>
      </c>
      <c r="E113" s="38">
        <v>1</v>
      </c>
      <c r="F113" s="18">
        <v>47734740.451336615</v>
      </c>
      <c r="G113" s="7">
        <v>0.37196889467611521</v>
      </c>
      <c r="H113" s="41" t="s">
        <v>471</v>
      </c>
      <c r="I113" s="40" t="s">
        <v>563</v>
      </c>
      <c r="J113" s="14" t="s">
        <v>471</v>
      </c>
    </row>
    <row r="114" spans="1:10" x14ac:dyDescent="0.25">
      <c r="A114" s="32">
        <v>112</v>
      </c>
      <c r="B114" s="5" t="s">
        <v>759</v>
      </c>
      <c r="C114" s="36" t="s">
        <v>34</v>
      </c>
      <c r="D114" s="14" t="s">
        <v>35</v>
      </c>
      <c r="E114" s="38" t="s">
        <v>561</v>
      </c>
      <c r="F114" s="42">
        <v>78624076.120379552</v>
      </c>
      <c r="G114" s="7">
        <v>0.36638576593864453</v>
      </c>
      <c r="H114" s="41" t="s">
        <v>471</v>
      </c>
      <c r="I114" s="40" t="s">
        <v>563</v>
      </c>
      <c r="J114" s="14" t="s">
        <v>471</v>
      </c>
    </row>
    <row r="115" spans="1:10" x14ac:dyDescent="0.25">
      <c r="A115" s="32">
        <v>113</v>
      </c>
      <c r="B115" s="5" t="s">
        <v>598</v>
      </c>
      <c r="C115" s="36" t="s">
        <v>190</v>
      </c>
      <c r="D115" s="14" t="s">
        <v>191</v>
      </c>
      <c r="E115" s="38" t="s">
        <v>561</v>
      </c>
      <c r="F115" s="42">
        <v>73800181.959344789</v>
      </c>
      <c r="G115" s="7">
        <v>0.32369246861216788</v>
      </c>
      <c r="H115" s="41" t="s">
        <v>471</v>
      </c>
      <c r="I115" s="40" t="s">
        <v>563</v>
      </c>
      <c r="J115" s="14" t="s">
        <v>471</v>
      </c>
    </row>
    <row r="116" spans="1:10" x14ac:dyDescent="0.25">
      <c r="A116" s="32">
        <v>114</v>
      </c>
      <c r="B116" s="5" t="s">
        <v>904</v>
      </c>
      <c r="C116" s="36" t="s">
        <v>110</v>
      </c>
      <c r="D116" s="14" t="s">
        <v>111</v>
      </c>
      <c r="E116" s="38">
        <v>1</v>
      </c>
      <c r="F116" s="18">
        <v>36942449.108785614</v>
      </c>
      <c r="G116" s="7">
        <v>0.29811884385552556</v>
      </c>
      <c r="H116" s="41" t="s">
        <v>471</v>
      </c>
      <c r="I116" s="40" t="s">
        <v>563</v>
      </c>
      <c r="J116" s="14" t="s">
        <v>471</v>
      </c>
    </row>
    <row r="117" spans="1:10" x14ac:dyDescent="0.25">
      <c r="A117" s="32">
        <v>115</v>
      </c>
      <c r="B117" s="5" t="s">
        <v>905</v>
      </c>
      <c r="C117" s="36" t="s">
        <v>38</v>
      </c>
      <c r="D117" s="14" t="s">
        <v>39</v>
      </c>
      <c r="E117" s="38">
        <v>1</v>
      </c>
      <c r="F117" s="18">
        <v>15161210.516306045</v>
      </c>
      <c r="G117" s="7">
        <v>0.29044522851337284</v>
      </c>
      <c r="H117" s="41" t="s">
        <v>471</v>
      </c>
      <c r="I117" s="40" t="s">
        <v>563</v>
      </c>
      <c r="J117" s="14" t="s">
        <v>471</v>
      </c>
    </row>
    <row r="118" spans="1:10" x14ac:dyDescent="0.25">
      <c r="A118" s="32">
        <v>116</v>
      </c>
      <c r="B118" s="5" t="s">
        <v>747</v>
      </c>
      <c r="C118" s="36" t="s">
        <v>150</v>
      </c>
      <c r="D118" s="14" t="s">
        <v>151</v>
      </c>
      <c r="E118" s="38" t="s">
        <v>561</v>
      </c>
      <c r="F118" s="42">
        <v>29852067.940462023</v>
      </c>
      <c r="G118" s="7">
        <v>0.27453242108114956</v>
      </c>
      <c r="H118" s="41" t="s">
        <v>471</v>
      </c>
      <c r="I118" s="40" t="s">
        <v>563</v>
      </c>
      <c r="J118" s="14" t="s">
        <v>471</v>
      </c>
    </row>
    <row r="119" spans="1:10" x14ac:dyDescent="0.25">
      <c r="A119" s="32">
        <v>117</v>
      </c>
      <c r="B119" s="5" t="s">
        <v>773</v>
      </c>
      <c r="C119" s="36" t="s">
        <v>152</v>
      </c>
      <c r="D119" s="14" t="s">
        <v>153</v>
      </c>
      <c r="E119" s="38" t="s">
        <v>561</v>
      </c>
      <c r="F119" s="42">
        <v>40702996.062895589</v>
      </c>
      <c r="G119" s="7">
        <v>0.2558419821423914</v>
      </c>
      <c r="H119" s="41" t="s">
        <v>471</v>
      </c>
      <c r="I119" s="40" t="s">
        <v>563</v>
      </c>
      <c r="J119" s="14" t="s">
        <v>471</v>
      </c>
    </row>
    <row r="120" spans="1:10" x14ac:dyDescent="0.25">
      <c r="A120" s="32">
        <v>118</v>
      </c>
      <c r="B120" s="5" t="s">
        <v>800</v>
      </c>
      <c r="C120" s="36" t="s">
        <v>156</v>
      </c>
      <c r="D120" s="14" t="s">
        <v>157</v>
      </c>
      <c r="E120" s="38" t="s">
        <v>561</v>
      </c>
      <c r="F120" s="42">
        <v>17062192.791243535</v>
      </c>
      <c r="G120" s="7">
        <v>0.18755356578348678</v>
      </c>
      <c r="H120" s="41" t="s">
        <v>471</v>
      </c>
      <c r="I120" s="40" t="s">
        <v>563</v>
      </c>
      <c r="J120" s="14" t="s">
        <v>471</v>
      </c>
    </row>
    <row r="121" spans="1:10" x14ac:dyDescent="0.25">
      <c r="A121" s="32">
        <v>119</v>
      </c>
      <c r="B121" s="5" t="s">
        <v>777</v>
      </c>
      <c r="C121" s="36" t="s">
        <v>36</v>
      </c>
      <c r="D121" s="14" t="s">
        <v>37</v>
      </c>
      <c r="E121" s="38" t="s">
        <v>561</v>
      </c>
      <c r="F121" s="42">
        <v>38906410.380759127</v>
      </c>
      <c r="G121" s="7">
        <v>0.17712821440947082</v>
      </c>
      <c r="H121" s="41" t="s">
        <v>471</v>
      </c>
      <c r="I121" s="40" t="s">
        <v>563</v>
      </c>
      <c r="J121" s="14" t="s">
        <v>471</v>
      </c>
    </row>
    <row r="122" spans="1:10" x14ac:dyDescent="0.25">
      <c r="A122" s="32">
        <v>120</v>
      </c>
      <c r="B122" s="5" t="s">
        <v>755</v>
      </c>
      <c r="C122" s="36" t="s">
        <v>180</v>
      </c>
      <c r="D122" s="14" t="s">
        <v>181</v>
      </c>
      <c r="E122" s="38" t="s">
        <v>561</v>
      </c>
      <c r="F122" s="42">
        <v>68318399.801026687</v>
      </c>
      <c r="G122" s="7">
        <v>0.16292535842741224</v>
      </c>
      <c r="H122" s="41" t="s">
        <v>471</v>
      </c>
      <c r="I122" s="40" t="s">
        <v>563</v>
      </c>
      <c r="J122" s="14" t="s">
        <v>471</v>
      </c>
    </row>
    <row r="123" spans="1:10" x14ac:dyDescent="0.25">
      <c r="A123" s="32">
        <v>121</v>
      </c>
      <c r="B123" s="5" t="s">
        <v>906</v>
      </c>
      <c r="C123" s="36" t="s">
        <v>122</v>
      </c>
      <c r="D123" s="14" t="s">
        <v>123</v>
      </c>
      <c r="E123" s="38">
        <v>1</v>
      </c>
      <c r="F123" s="18">
        <v>33655679.059019491</v>
      </c>
      <c r="G123" s="7">
        <v>0.16052453725046739</v>
      </c>
      <c r="H123" s="41" t="s">
        <v>471</v>
      </c>
      <c r="I123" s="40" t="s">
        <v>563</v>
      </c>
      <c r="J123" s="14" t="s">
        <v>471</v>
      </c>
    </row>
    <row r="124" spans="1:10" x14ac:dyDescent="0.25">
      <c r="A124" s="32">
        <v>122</v>
      </c>
      <c r="B124" s="5" t="s">
        <v>811</v>
      </c>
      <c r="C124" s="36" t="s">
        <v>266</v>
      </c>
      <c r="D124" s="14" t="s">
        <v>267</v>
      </c>
      <c r="E124" s="38" t="s">
        <v>561</v>
      </c>
      <c r="F124" s="42">
        <v>2569044.001539974</v>
      </c>
      <c r="G124" s="7">
        <v>0.13251617513926406</v>
      </c>
      <c r="H124" s="41" t="s">
        <v>471</v>
      </c>
      <c r="I124" s="40" t="s">
        <v>563</v>
      </c>
      <c r="J124" s="14" t="s">
        <v>471</v>
      </c>
    </row>
    <row r="125" spans="1:10" x14ac:dyDescent="0.25">
      <c r="A125" s="32">
        <v>123</v>
      </c>
      <c r="B125" s="5" t="s">
        <v>756</v>
      </c>
      <c r="C125" s="36" t="s">
        <v>126</v>
      </c>
      <c r="D125" s="14" t="s">
        <v>127</v>
      </c>
      <c r="E125" s="38" t="s">
        <v>561</v>
      </c>
      <c r="F125" s="42">
        <v>53605737.68335025</v>
      </c>
      <c r="G125" s="7">
        <v>0.11029528307243507</v>
      </c>
      <c r="H125" s="41" t="s">
        <v>471</v>
      </c>
      <c r="I125" s="40" t="s">
        <v>563</v>
      </c>
      <c r="J125" s="14" t="s">
        <v>471</v>
      </c>
    </row>
    <row r="126" spans="1:10" x14ac:dyDescent="0.25">
      <c r="A126" s="32">
        <v>124</v>
      </c>
      <c r="B126" s="5" t="s">
        <v>801</v>
      </c>
      <c r="C126" s="36" t="s">
        <v>162</v>
      </c>
      <c r="D126" s="14" t="s">
        <v>163</v>
      </c>
      <c r="E126" s="38" t="s">
        <v>561</v>
      </c>
      <c r="F126" s="42">
        <v>38737578.555494592</v>
      </c>
      <c r="G126" s="7">
        <v>7.5004909610124543E-2</v>
      </c>
      <c r="H126" s="41" t="s">
        <v>471</v>
      </c>
      <c r="I126" s="40" t="s">
        <v>563</v>
      </c>
      <c r="J126" s="14" t="s">
        <v>471</v>
      </c>
    </row>
    <row r="127" spans="1:10" x14ac:dyDescent="0.25">
      <c r="A127" s="32">
        <v>125</v>
      </c>
      <c r="B127" s="5" t="s">
        <v>907</v>
      </c>
      <c r="C127" s="36" t="s">
        <v>192</v>
      </c>
      <c r="D127" s="14" t="s">
        <v>193</v>
      </c>
      <c r="E127" s="38">
        <v>1</v>
      </c>
      <c r="F127" s="18">
        <v>37339975.93233075</v>
      </c>
      <c r="G127" s="7">
        <v>5.2095164550162505E-2</v>
      </c>
      <c r="H127" s="41" t="s">
        <v>471</v>
      </c>
      <c r="I127" s="40" t="s">
        <v>563</v>
      </c>
      <c r="J127" s="14" t="s">
        <v>471</v>
      </c>
    </row>
    <row r="128" spans="1:10" x14ac:dyDescent="0.25">
      <c r="A128" s="32">
        <v>126</v>
      </c>
      <c r="B128" s="5" t="s">
        <v>789</v>
      </c>
      <c r="C128" s="36" t="s">
        <v>84</v>
      </c>
      <c r="D128" s="14" t="s">
        <v>85</v>
      </c>
      <c r="E128" s="38" t="s">
        <v>561</v>
      </c>
      <c r="F128" s="42">
        <v>20861665.875633374</v>
      </c>
      <c r="G128" s="7">
        <v>4.8285547276420329E-2</v>
      </c>
      <c r="H128" s="41" t="s">
        <v>471</v>
      </c>
      <c r="I128" s="40" t="s">
        <v>563</v>
      </c>
      <c r="J128" s="14" t="s">
        <v>471</v>
      </c>
    </row>
    <row r="129" spans="1:10" x14ac:dyDescent="0.25">
      <c r="A129" s="32">
        <v>127</v>
      </c>
      <c r="B129" s="5" t="s">
        <v>775</v>
      </c>
      <c r="C129" s="36" t="s">
        <v>218</v>
      </c>
      <c r="D129" s="14" t="s">
        <v>219</v>
      </c>
      <c r="E129" s="38" t="s">
        <v>561</v>
      </c>
      <c r="F129" s="42">
        <v>29904856.537245564</v>
      </c>
      <c r="G129" s="7">
        <v>4.7782261322773217E-2</v>
      </c>
      <c r="H129" s="41" t="s">
        <v>471</v>
      </c>
      <c r="I129" s="40" t="s">
        <v>563</v>
      </c>
      <c r="J129" s="14" t="s">
        <v>471</v>
      </c>
    </row>
    <row r="130" spans="1:10" x14ac:dyDescent="0.25">
      <c r="A130" s="32">
        <v>128</v>
      </c>
      <c r="B130" s="5" t="s">
        <v>798</v>
      </c>
      <c r="C130" s="36" t="s">
        <v>148</v>
      </c>
      <c r="D130" s="14" t="s">
        <v>149</v>
      </c>
      <c r="E130" s="38" t="s">
        <v>561</v>
      </c>
      <c r="F130" s="42">
        <v>38298994.854191899</v>
      </c>
      <c r="G130" s="7">
        <v>2.7782379557370441E-2</v>
      </c>
      <c r="H130" s="41" t="s">
        <v>471</v>
      </c>
      <c r="I130" s="40" t="s">
        <v>563</v>
      </c>
      <c r="J130" s="14" t="s">
        <v>471</v>
      </c>
    </row>
    <row r="131" spans="1:10" x14ac:dyDescent="0.25">
      <c r="A131" s="32">
        <v>129</v>
      </c>
      <c r="B131" s="5" t="s">
        <v>799</v>
      </c>
      <c r="C131" s="36" t="s">
        <v>154</v>
      </c>
      <c r="D131" s="14" t="s">
        <v>155</v>
      </c>
      <c r="E131" s="38" t="s">
        <v>561</v>
      </c>
      <c r="F131" s="42">
        <v>13859962.043621114</v>
      </c>
      <c r="G131" s="7">
        <v>1.0899530674807015E-2</v>
      </c>
      <c r="H131" s="41" t="s">
        <v>471</v>
      </c>
      <c r="I131" s="40" t="s">
        <v>563</v>
      </c>
      <c r="J131" s="14" t="s">
        <v>471</v>
      </c>
    </row>
    <row r="132" spans="1:10" x14ac:dyDescent="0.25">
      <c r="A132" s="32">
        <v>130</v>
      </c>
      <c r="B132" s="5" t="s">
        <v>786</v>
      </c>
      <c r="C132" s="36" t="s">
        <v>40</v>
      </c>
      <c r="D132" s="14" t="s">
        <v>41</v>
      </c>
      <c r="E132" s="38" t="s">
        <v>561</v>
      </c>
      <c r="F132" s="18">
        <v>22586033.866067126</v>
      </c>
      <c r="G132" s="7">
        <v>6.3002282913219489E-3</v>
      </c>
      <c r="H132" s="41" t="s">
        <v>471</v>
      </c>
      <c r="I132" s="40" t="s">
        <v>563</v>
      </c>
      <c r="J132" s="14" t="s">
        <v>471</v>
      </c>
    </row>
    <row r="133" spans="1:10" x14ac:dyDescent="0.25">
      <c r="A133" s="32">
        <v>131</v>
      </c>
      <c r="B133" s="5" t="s">
        <v>809</v>
      </c>
      <c r="C133" s="36" t="s">
        <v>230</v>
      </c>
      <c r="D133" s="14" t="s">
        <v>231</v>
      </c>
      <c r="E133" s="38" t="s">
        <v>561</v>
      </c>
      <c r="F133" s="42">
        <v>35364081.895493649</v>
      </c>
      <c r="G133" s="7">
        <v>0.98339597873929818</v>
      </c>
      <c r="H133" s="41" t="s">
        <v>471</v>
      </c>
      <c r="I133" s="41" t="s">
        <v>564</v>
      </c>
      <c r="J133" s="14" t="s">
        <v>471</v>
      </c>
    </row>
    <row r="134" spans="1:10" x14ac:dyDescent="0.25">
      <c r="A134" s="32">
        <v>132</v>
      </c>
      <c r="B134" s="5" t="s">
        <v>753</v>
      </c>
      <c r="C134" s="36" t="s">
        <v>214</v>
      </c>
      <c r="D134" s="14" t="s">
        <v>215</v>
      </c>
      <c r="E134" s="38" t="s">
        <v>561</v>
      </c>
      <c r="F134" s="42">
        <v>47225764.135447912</v>
      </c>
      <c r="G134" s="7">
        <v>0.98208564709982571</v>
      </c>
      <c r="H134" s="41" t="s">
        <v>471</v>
      </c>
      <c r="I134" s="41" t="s">
        <v>564</v>
      </c>
      <c r="J134" s="14" t="s">
        <v>471</v>
      </c>
    </row>
    <row r="135" spans="1:10" x14ac:dyDescent="0.25">
      <c r="A135" s="32">
        <v>133</v>
      </c>
      <c r="B135" s="5" t="s">
        <v>592</v>
      </c>
      <c r="C135" s="36" t="s">
        <v>260</v>
      </c>
      <c r="D135" s="14" t="s">
        <v>261</v>
      </c>
      <c r="E135" s="38" t="s">
        <v>561</v>
      </c>
      <c r="F135" s="42">
        <v>58659090.515378579</v>
      </c>
      <c r="G135" s="7">
        <v>0.81531194768510673</v>
      </c>
      <c r="H135" s="41" t="s">
        <v>471</v>
      </c>
      <c r="I135" s="41" t="s">
        <v>564</v>
      </c>
      <c r="J135" s="14" t="s">
        <v>471</v>
      </c>
    </row>
    <row r="136" spans="1:10" x14ac:dyDescent="0.25">
      <c r="A136" s="32">
        <v>134</v>
      </c>
      <c r="B136" s="5" t="s">
        <v>583</v>
      </c>
      <c r="C136" s="36" t="s">
        <v>170</v>
      </c>
      <c r="D136" s="14" t="s">
        <v>171</v>
      </c>
      <c r="E136" s="38" t="s">
        <v>561</v>
      </c>
      <c r="F136" s="42">
        <v>203785327.7894156</v>
      </c>
      <c r="G136" s="7">
        <v>0.7631059167443961</v>
      </c>
      <c r="H136" s="41" t="s">
        <v>471</v>
      </c>
      <c r="I136" s="41" t="s">
        <v>564</v>
      </c>
      <c r="J136" s="14" t="s">
        <v>471</v>
      </c>
    </row>
    <row r="137" spans="1:10" x14ac:dyDescent="0.25">
      <c r="A137" s="32">
        <v>135</v>
      </c>
      <c r="B137" s="5" t="s">
        <v>766</v>
      </c>
      <c r="C137" s="36" t="s">
        <v>252</v>
      </c>
      <c r="D137" s="14" t="s">
        <v>253</v>
      </c>
      <c r="E137" s="38" t="s">
        <v>561</v>
      </c>
      <c r="F137" s="42">
        <v>33896780.015934944</v>
      </c>
      <c r="G137" s="7">
        <v>0.64934843416322097</v>
      </c>
      <c r="H137" s="41" t="s">
        <v>471</v>
      </c>
      <c r="I137" s="41" t="s">
        <v>564</v>
      </c>
      <c r="J137" s="14" t="s">
        <v>471</v>
      </c>
    </row>
    <row r="138" spans="1:10" x14ac:dyDescent="0.25">
      <c r="A138" s="32">
        <v>136</v>
      </c>
      <c r="B138" s="5" t="s">
        <v>731</v>
      </c>
      <c r="C138" s="36" t="s">
        <v>176</v>
      </c>
      <c r="D138" s="14" t="s">
        <v>177</v>
      </c>
      <c r="E138" s="38" t="s">
        <v>561</v>
      </c>
      <c r="F138" s="42">
        <v>17263264.286686521</v>
      </c>
      <c r="G138" s="7">
        <v>0.50107451076536402</v>
      </c>
      <c r="H138" s="41" t="s">
        <v>471</v>
      </c>
      <c r="I138" s="41" t="s">
        <v>564</v>
      </c>
      <c r="J138" s="14" t="s">
        <v>471</v>
      </c>
    </row>
    <row r="139" spans="1:10" x14ac:dyDescent="0.25">
      <c r="A139" s="32">
        <v>137</v>
      </c>
      <c r="B139" s="5" t="s">
        <v>774</v>
      </c>
      <c r="C139" s="36" t="s">
        <v>130</v>
      </c>
      <c r="D139" s="14" t="s">
        <v>131</v>
      </c>
      <c r="E139" s="38" t="s">
        <v>561</v>
      </c>
      <c r="F139" s="42">
        <v>61547344.061669379</v>
      </c>
      <c r="G139" s="7">
        <v>0.36208750454196847</v>
      </c>
      <c r="H139" s="41" t="s">
        <v>471</v>
      </c>
      <c r="I139" s="41" t="s">
        <v>564</v>
      </c>
      <c r="J139" s="14" t="s">
        <v>471</v>
      </c>
    </row>
    <row r="140" spans="1:10" x14ac:dyDescent="0.25">
      <c r="A140" s="32">
        <v>138</v>
      </c>
      <c r="B140" s="5" t="s">
        <v>754</v>
      </c>
      <c r="C140" s="36" t="s">
        <v>174</v>
      </c>
      <c r="D140" s="14" t="s">
        <v>175</v>
      </c>
      <c r="E140" s="38" t="s">
        <v>561</v>
      </c>
      <c r="F140" s="42">
        <v>118613366.18378016</v>
      </c>
      <c r="G140" s="7">
        <v>0.34904233600069606</v>
      </c>
      <c r="H140" s="41" t="s">
        <v>471</v>
      </c>
      <c r="I140" s="41" t="s">
        <v>564</v>
      </c>
      <c r="J140" s="14" t="s">
        <v>471</v>
      </c>
    </row>
    <row r="141" spans="1:10" x14ac:dyDescent="0.25">
      <c r="A141" s="32">
        <v>139</v>
      </c>
      <c r="B141" s="5" t="s">
        <v>806</v>
      </c>
      <c r="C141" s="36" t="s">
        <v>220</v>
      </c>
      <c r="D141" s="14" t="s">
        <v>221</v>
      </c>
      <c r="E141" s="38" t="s">
        <v>561</v>
      </c>
      <c r="F141" s="42">
        <v>13508919.686572779</v>
      </c>
      <c r="G141" s="7">
        <v>0.28590592122567532</v>
      </c>
      <c r="H141" s="41" t="s">
        <v>471</v>
      </c>
      <c r="I141" s="41" t="s">
        <v>564</v>
      </c>
      <c r="J141" s="14" t="s">
        <v>471</v>
      </c>
    </row>
    <row r="142" spans="1:10" x14ac:dyDescent="0.25">
      <c r="A142" s="32">
        <v>140</v>
      </c>
      <c r="B142" s="5" t="s">
        <v>822</v>
      </c>
      <c r="C142" s="36" t="s">
        <v>184</v>
      </c>
      <c r="D142" s="14" t="s">
        <v>185</v>
      </c>
      <c r="E142" s="38" t="s">
        <v>561</v>
      </c>
      <c r="F142" s="42">
        <v>126175939.38062659</v>
      </c>
      <c r="G142" s="7">
        <v>0.15039379230184599</v>
      </c>
      <c r="H142" s="41" t="s">
        <v>471</v>
      </c>
      <c r="I142" s="41" t="s">
        <v>564</v>
      </c>
      <c r="J142" s="14" t="s">
        <v>471</v>
      </c>
    </row>
    <row r="143" spans="1:10" x14ac:dyDescent="0.25">
      <c r="A143" s="32">
        <v>141</v>
      </c>
      <c r="B143" s="5" t="s">
        <v>760</v>
      </c>
      <c r="C143" s="36" t="s">
        <v>158</v>
      </c>
      <c r="D143" s="14" t="s">
        <v>159</v>
      </c>
      <c r="E143" s="38" t="s">
        <v>561</v>
      </c>
      <c r="F143" s="42">
        <v>64664224.501964025</v>
      </c>
      <c r="G143" s="7">
        <v>0.14166604326329593</v>
      </c>
      <c r="H143" s="41" t="s">
        <v>471</v>
      </c>
      <c r="I143" s="41" t="s">
        <v>564</v>
      </c>
      <c r="J143" s="14" t="s">
        <v>471</v>
      </c>
    </row>
    <row r="144" spans="1:10" x14ac:dyDescent="0.25">
      <c r="A144" s="32">
        <v>142</v>
      </c>
      <c r="B144" s="5" t="s">
        <v>796</v>
      </c>
      <c r="C144" s="36" t="s">
        <v>132</v>
      </c>
      <c r="D144" s="14" t="s">
        <v>133</v>
      </c>
      <c r="E144" s="38" t="s">
        <v>561</v>
      </c>
      <c r="F144" s="42">
        <v>46851141.322488964</v>
      </c>
      <c r="G144" s="7">
        <v>0.13327395913198106</v>
      </c>
      <c r="H144" s="41" t="s">
        <v>471</v>
      </c>
      <c r="I144" s="41" t="s">
        <v>564</v>
      </c>
      <c r="J144" s="14" t="s">
        <v>471</v>
      </c>
    </row>
    <row r="145" spans="1:10" x14ac:dyDescent="0.25">
      <c r="A145" s="32">
        <v>143</v>
      </c>
      <c r="B145" s="5" t="s">
        <v>803</v>
      </c>
      <c r="C145" s="36" t="s">
        <v>182</v>
      </c>
      <c r="D145" s="14" t="s">
        <v>183</v>
      </c>
      <c r="E145" s="38" t="s">
        <v>561</v>
      </c>
      <c r="F145" s="42">
        <v>2300087.9480220862</v>
      </c>
      <c r="G145" s="7">
        <v>0.11016790832551719</v>
      </c>
      <c r="H145" s="41" t="s">
        <v>471</v>
      </c>
      <c r="I145" s="41" t="s">
        <v>564</v>
      </c>
      <c r="J145" s="14" t="s">
        <v>471</v>
      </c>
    </row>
    <row r="146" spans="1:10" x14ac:dyDescent="0.25">
      <c r="A146" s="32">
        <v>144</v>
      </c>
      <c r="B146" s="5" t="s">
        <v>764</v>
      </c>
      <c r="C146" s="36" t="s">
        <v>160</v>
      </c>
      <c r="D146" s="14" t="s">
        <v>161</v>
      </c>
      <c r="E146" s="38" t="s">
        <v>561</v>
      </c>
      <c r="F146" s="42">
        <v>34876060.110800616</v>
      </c>
      <c r="G146" s="7">
        <v>2.5037287394774378E-2</v>
      </c>
      <c r="H146" s="41" t="s">
        <v>471</v>
      </c>
      <c r="I146" s="41" t="s">
        <v>564</v>
      </c>
      <c r="J146" s="14" t="s">
        <v>471</v>
      </c>
    </row>
    <row r="147" spans="1:10" x14ac:dyDescent="0.25">
      <c r="A147" s="32">
        <v>145</v>
      </c>
      <c r="B147" s="5" t="s">
        <v>807</v>
      </c>
      <c r="C147" s="36" t="s">
        <v>222</v>
      </c>
      <c r="D147" s="14" t="s">
        <v>223</v>
      </c>
      <c r="E147" s="38" t="s">
        <v>561</v>
      </c>
      <c r="F147" s="42">
        <v>17494092.402296625</v>
      </c>
      <c r="G147" s="7">
        <v>1.9095700272151808E-2</v>
      </c>
      <c r="H147" s="41" t="s">
        <v>471</v>
      </c>
      <c r="I147" s="41" t="s">
        <v>564</v>
      </c>
      <c r="J147" s="14" t="s">
        <v>471</v>
      </c>
    </row>
    <row r="148" spans="1:10" x14ac:dyDescent="0.25">
      <c r="A148" s="32">
        <v>146</v>
      </c>
      <c r="B148" s="5" t="s">
        <v>908</v>
      </c>
      <c r="C148" s="36" t="s">
        <v>283</v>
      </c>
      <c r="D148" s="14" t="s">
        <v>283</v>
      </c>
      <c r="E148" s="38" t="s">
        <v>561</v>
      </c>
      <c r="F148" s="42">
        <v>7542418.1017741049</v>
      </c>
      <c r="G148" s="7">
        <v>2.7747364557412606E-3</v>
      </c>
      <c r="H148" s="41" t="s">
        <v>471</v>
      </c>
      <c r="I148" s="41" t="s">
        <v>564</v>
      </c>
      <c r="J148" s="14" t="s">
        <v>471</v>
      </c>
    </row>
    <row r="149" spans="1:10" x14ac:dyDescent="0.25">
      <c r="A149" s="32">
        <v>147</v>
      </c>
      <c r="B149" s="5" t="s">
        <v>763</v>
      </c>
      <c r="C149" s="36" t="s">
        <v>12</v>
      </c>
      <c r="D149" s="14" t="s">
        <v>13</v>
      </c>
      <c r="E149" s="38" t="s">
        <v>561</v>
      </c>
      <c r="F149" s="42">
        <v>44523796.078338012</v>
      </c>
      <c r="G149" s="7">
        <v>0.8595895271177566</v>
      </c>
      <c r="H149" s="41" t="s">
        <v>471</v>
      </c>
      <c r="I149" s="41" t="s">
        <v>565</v>
      </c>
      <c r="J149" s="14" t="s">
        <v>471</v>
      </c>
    </row>
    <row r="150" spans="1:10" x14ac:dyDescent="0.25">
      <c r="A150" s="32">
        <v>148</v>
      </c>
      <c r="B150" s="5" t="s">
        <v>909</v>
      </c>
      <c r="C150" s="32" t="s">
        <v>44</v>
      </c>
      <c r="D150" s="14" t="s">
        <v>45</v>
      </c>
      <c r="E150" s="38">
        <v>2</v>
      </c>
      <c r="F150" s="18">
        <v>12091519.094500462</v>
      </c>
      <c r="G150" s="7">
        <v>0.78430880982249107</v>
      </c>
      <c r="H150" s="41" t="s">
        <v>471</v>
      </c>
      <c r="I150" s="41" t="s">
        <v>565</v>
      </c>
      <c r="J150" s="14" t="s">
        <v>471</v>
      </c>
    </row>
    <row r="151" spans="1:10" x14ac:dyDescent="0.25">
      <c r="A151" s="32">
        <v>149</v>
      </c>
      <c r="B151" s="5" t="s">
        <v>910</v>
      </c>
      <c r="C151" s="32" t="s">
        <v>56</v>
      </c>
      <c r="D151" s="14" t="s">
        <v>57</v>
      </c>
      <c r="E151" s="38">
        <v>2</v>
      </c>
      <c r="F151" s="18">
        <v>38893195.701225296</v>
      </c>
      <c r="G151" s="7">
        <v>0.72252514769008835</v>
      </c>
      <c r="H151" s="41" t="s">
        <v>471</v>
      </c>
      <c r="I151" s="41" t="s">
        <v>565</v>
      </c>
      <c r="J151" s="14" t="s">
        <v>471</v>
      </c>
    </row>
    <row r="152" spans="1:10" x14ac:dyDescent="0.25">
      <c r="A152" s="32">
        <v>150</v>
      </c>
      <c r="B152" s="5" t="s">
        <v>911</v>
      </c>
      <c r="C152" s="32" t="s">
        <v>270</v>
      </c>
      <c r="D152" s="14" t="s">
        <v>271</v>
      </c>
      <c r="E152" s="38">
        <v>2</v>
      </c>
      <c r="F152" s="18">
        <v>19661052.537900411</v>
      </c>
      <c r="G152" s="7">
        <v>0.68839064906303915</v>
      </c>
      <c r="H152" s="41" t="s">
        <v>471</v>
      </c>
      <c r="I152" s="41" t="s">
        <v>565</v>
      </c>
      <c r="J152" s="14" t="s">
        <v>471</v>
      </c>
    </row>
    <row r="153" spans="1:10" x14ac:dyDescent="0.25">
      <c r="A153" s="32">
        <v>151</v>
      </c>
      <c r="B153" s="5" t="s">
        <v>912</v>
      </c>
      <c r="C153" s="32" t="s">
        <v>52</v>
      </c>
      <c r="D153" s="14" t="s">
        <v>53</v>
      </c>
      <c r="E153" s="38">
        <v>2</v>
      </c>
      <c r="F153" s="18">
        <v>4021525.0723248585</v>
      </c>
      <c r="G153" s="7">
        <v>0.59055190098544474</v>
      </c>
      <c r="H153" s="41" t="s">
        <v>471</v>
      </c>
      <c r="I153" s="41" t="s">
        <v>565</v>
      </c>
      <c r="J153" s="14" t="s">
        <v>471</v>
      </c>
    </row>
    <row r="154" spans="1:10" x14ac:dyDescent="0.25">
      <c r="A154" s="32">
        <v>152</v>
      </c>
      <c r="B154" s="5" t="s">
        <v>768</v>
      </c>
      <c r="C154" s="36" t="s">
        <v>262</v>
      </c>
      <c r="D154" s="14" t="s">
        <v>263</v>
      </c>
      <c r="E154" s="38" t="s">
        <v>561</v>
      </c>
      <c r="F154" s="42">
        <v>79827431.187444836</v>
      </c>
      <c r="G154" s="7">
        <v>0.56249425248611484</v>
      </c>
      <c r="H154" s="41" t="s">
        <v>471</v>
      </c>
      <c r="I154" s="41" t="s">
        <v>565</v>
      </c>
      <c r="J154" s="14" t="s">
        <v>471</v>
      </c>
    </row>
    <row r="155" spans="1:10" x14ac:dyDescent="0.25">
      <c r="A155" s="32">
        <v>153</v>
      </c>
      <c r="B155" s="5" t="s">
        <v>913</v>
      </c>
      <c r="C155" s="32" t="s">
        <v>186</v>
      </c>
      <c r="D155" s="14" t="s">
        <v>187</v>
      </c>
      <c r="E155" s="38">
        <v>2</v>
      </c>
      <c r="F155" s="18">
        <v>47617881.445323616</v>
      </c>
      <c r="G155" s="7">
        <v>0.50171543993216594</v>
      </c>
      <c r="H155" s="41" t="s">
        <v>471</v>
      </c>
      <c r="I155" s="41" t="s">
        <v>565</v>
      </c>
      <c r="J155" s="14" t="s">
        <v>471</v>
      </c>
    </row>
    <row r="156" spans="1:10" x14ac:dyDescent="0.25">
      <c r="A156" s="32">
        <v>154</v>
      </c>
      <c r="B156" s="5" t="s">
        <v>914</v>
      </c>
      <c r="C156" s="32" t="s">
        <v>54</v>
      </c>
      <c r="D156" s="14" t="s">
        <v>55</v>
      </c>
      <c r="E156" s="38">
        <v>2</v>
      </c>
      <c r="F156" s="18">
        <v>5094406.6786829699</v>
      </c>
      <c r="G156" s="7">
        <v>0.43429692360159472</v>
      </c>
      <c r="H156" s="41" t="s">
        <v>471</v>
      </c>
      <c r="I156" s="41" t="s">
        <v>565</v>
      </c>
      <c r="J156" s="14" t="s">
        <v>471</v>
      </c>
    </row>
    <row r="157" spans="1:10" x14ac:dyDescent="0.25">
      <c r="A157" s="32">
        <v>155</v>
      </c>
      <c r="B157" s="5" t="s">
        <v>915</v>
      </c>
      <c r="C157" s="32" t="s">
        <v>124</v>
      </c>
      <c r="D157" s="14" t="s">
        <v>125</v>
      </c>
      <c r="E157" s="38">
        <v>2</v>
      </c>
      <c r="F157" s="18">
        <v>29541005.882675294</v>
      </c>
      <c r="G157" s="7">
        <v>0.37196889467611521</v>
      </c>
      <c r="H157" s="41" t="s">
        <v>471</v>
      </c>
      <c r="I157" s="41" t="s">
        <v>565</v>
      </c>
      <c r="J157" s="14" t="s">
        <v>471</v>
      </c>
    </row>
    <row r="158" spans="1:10" x14ac:dyDescent="0.25">
      <c r="A158" s="32">
        <v>156</v>
      </c>
      <c r="B158" s="5" t="s">
        <v>823</v>
      </c>
      <c r="C158" s="36" t="s">
        <v>8</v>
      </c>
      <c r="D158" s="14" t="s">
        <v>9</v>
      </c>
      <c r="E158" s="38" t="s">
        <v>561</v>
      </c>
      <c r="F158" s="42">
        <v>38622569.265384361</v>
      </c>
      <c r="G158" s="7">
        <v>0.36713508371674552</v>
      </c>
      <c r="H158" s="41" t="s">
        <v>471</v>
      </c>
      <c r="I158" s="41" t="s">
        <v>565</v>
      </c>
      <c r="J158" s="14" t="s">
        <v>471</v>
      </c>
    </row>
    <row r="159" spans="1:10" x14ac:dyDescent="0.25">
      <c r="A159" s="32">
        <v>157</v>
      </c>
      <c r="B159" s="5" t="s">
        <v>916</v>
      </c>
      <c r="C159" s="36" t="s">
        <v>282</v>
      </c>
      <c r="D159" s="14" t="s">
        <v>282</v>
      </c>
      <c r="E159" s="38" t="s">
        <v>561</v>
      </c>
      <c r="F159" s="42">
        <v>87928662.740504146</v>
      </c>
      <c r="G159" s="7">
        <v>0.36207273840386356</v>
      </c>
      <c r="H159" s="41" t="s">
        <v>471</v>
      </c>
      <c r="I159" s="41" t="s">
        <v>565</v>
      </c>
      <c r="J159" s="14" t="s">
        <v>471</v>
      </c>
    </row>
    <row r="160" spans="1:10" x14ac:dyDescent="0.25">
      <c r="A160" s="32">
        <v>158</v>
      </c>
      <c r="B160" s="5" t="s">
        <v>917</v>
      </c>
      <c r="C160" s="36" t="s">
        <v>280</v>
      </c>
      <c r="D160" s="14" t="s">
        <v>280</v>
      </c>
      <c r="E160" s="38" t="s">
        <v>561</v>
      </c>
      <c r="F160" s="42">
        <v>11552338.109020235</v>
      </c>
      <c r="G160" s="7">
        <v>0.30813688005825857</v>
      </c>
      <c r="H160" s="41" t="s">
        <v>471</v>
      </c>
      <c r="I160" s="41" t="s">
        <v>565</v>
      </c>
      <c r="J160" s="14" t="s">
        <v>471</v>
      </c>
    </row>
    <row r="161" spans="1:10" x14ac:dyDescent="0.25">
      <c r="A161" s="32">
        <v>159</v>
      </c>
      <c r="B161" s="5" t="s">
        <v>918</v>
      </c>
      <c r="C161" s="32" t="s">
        <v>110</v>
      </c>
      <c r="D161" s="14" t="s">
        <v>111</v>
      </c>
      <c r="E161" s="38">
        <v>2</v>
      </c>
      <c r="F161" s="18">
        <v>40929240.455967098</v>
      </c>
      <c r="G161" s="7">
        <v>0.29811884385552556</v>
      </c>
      <c r="H161" s="41" t="s">
        <v>471</v>
      </c>
      <c r="I161" s="41" t="s">
        <v>565</v>
      </c>
      <c r="J161" s="14" t="s">
        <v>471</v>
      </c>
    </row>
    <row r="162" spans="1:10" x14ac:dyDescent="0.25">
      <c r="A162" s="32">
        <v>160</v>
      </c>
      <c r="B162" s="5" t="s">
        <v>919</v>
      </c>
      <c r="C162" s="32" t="s">
        <v>38</v>
      </c>
      <c r="D162" s="14" t="s">
        <v>39</v>
      </c>
      <c r="E162" s="38">
        <v>2</v>
      </c>
      <c r="F162" s="18">
        <v>13382613.602009622</v>
      </c>
      <c r="G162" s="7">
        <v>0.29044522851337284</v>
      </c>
      <c r="H162" s="41" t="s">
        <v>471</v>
      </c>
      <c r="I162" s="41" t="s">
        <v>565</v>
      </c>
      <c r="J162" s="14" t="s">
        <v>471</v>
      </c>
    </row>
    <row r="163" spans="1:10" x14ac:dyDescent="0.25">
      <c r="A163" s="32">
        <v>161</v>
      </c>
      <c r="B163" s="5" t="s">
        <v>920</v>
      </c>
      <c r="C163" s="32" t="s">
        <v>122</v>
      </c>
      <c r="D163" s="14" t="s">
        <v>123</v>
      </c>
      <c r="E163" s="38">
        <v>2</v>
      </c>
      <c r="F163" s="18">
        <v>21116237.43807587</v>
      </c>
      <c r="G163" s="7">
        <v>0.16052453725046739</v>
      </c>
      <c r="H163" s="41" t="s">
        <v>471</v>
      </c>
      <c r="I163" s="41" t="s">
        <v>565</v>
      </c>
      <c r="J163" s="14" t="s">
        <v>471</v>
      </c>
    </row>
    <row r="164" spans="1:10" x14ac:dyDescent="0.25">
      <c r="A164" s="32">
        <v>162</v>
      </c>
      <c r="B164" s="5" t="s">
        <v>790</v>
      </c>
      <c r="C164" s="36" t="s">
        <v>90</v>
      </c>
      <c r="D164" s="14" t="s">
        <v>91</v>
      </c>
      <c r="E164" s="38" t="s">
        <v>561</v>
      </c>
      <c r="F164" s="42">
        <v>4267439.6521719396</v>
      </c>
      <c r="G164" s="7">
        <v>0.13251617513926409</v>
      </c>
      <c r="H164" s="41" t="s">
        <v>471</v>
      </c>
      <c r="I164" s="41" t="s">
        <v>565</v>
      </c>
      <c r="J164" s="14" t="s">
        <v>471</v>
      </c>
    </row>
    <row r="165" spans="1:10" x14ac:dyDescent="0.25">
      <c r="A165" s="32">
        <v>163</v>
      </c>
      <c r="B165" s="5" t="s">
        <v>793</v>
      </c>
      <c r="C165" s="36" t="s">
        <v>108</v>
      </c>
      <c r="D165" s="14" t="s">
        <v>109</v>
      </c>
      <c r="E165" s="38" t="s">
        <v>561</v>
      </c>
      <c r="F165" s="42">
        <v>3658194.3448012006</v>
      </c>
      <c r="G165" s="7">
        <v>0.13251617513926406</v>
      </c>
      <c r="H165" s="41" t="s">
        <v>471</v>
      </c>
      <c r="I165" s="41" t="s">
        <v>565</v>
      </c>
      <c r="J165" s="14" t="s">
        <v>471</v>
      </c>
    </row>
    <row r="166" spans="1:10" x14ac:dyDescent="0.25">
      <c r="A166" s="32">
        <v>164</v>
      </c>
      <c r="B166" s="5" t="s">
        <v>820</v>
      </c>
      <c r="C166" s="36" t="s">
        <v>128</v>
      </c>
      <c r="D166" s="14" t="s">
        <v>129</v>
      </c>
      <c r="E166" s="38" t="s">
        <v>561</v>
      </c>
      <c r="F166" s="42">
        <v>61310595.896020517</v>
      </c>
      <c r="G166" s="7">
        <v>0.13159995980287112</v>
      </c>
      <c r="H166" s="41" t="s">
        <v>471</v>
      </c>
      <c r="I166" s="41" t="s">
        <v>565</v>
      </c>
      <c r="J166" s="14" t="s">
        <v>471</v>
      </c>
    </row>
    <row r="167" spans="1:10" x14ac:dyDescent="0.25">
      <c r="A167" s="32">
        <v>165</v>
      </c>
      <c r="B167" s="5" t="s">
        <v>783</v>
      </c>
      <c r="C167" s="36" t="s">
        <v>10</v>
      </c>
      <c r="D167" s="14" t="s">
        <v>11</v>
      </c>
      <c r="E167" s="38" t="s">
        <v>561</v>
      </c>
      <c r="F167" s="42">
        <v>19700692.08136024</v>
      </c>
      <c r="G167" s="7">
        <v>9.6633540376687213E-2</v>
      </c>
      <c r="H167" s="41" t="s">
        <v>471</v>
      </c>
      <c r="I167" s="41" t="s">
        <v>565</v>
      </c>
      <c r="J167" s="14" t="s">
        <v>471</v>
      </c>
    </row>
    <row r="168" spans="1:10" x14ac:dyDescent="0.25">
      <c r="A168" s="32">
        <v>166</v>
      </c>
      <c r="B168" s="5" t="s">
        <v>769</v>
      </c>
      <c r="C168" s="36" t="s">
        <v>254</v>
      </c>
      <c r="D168" s="14" t="s">
        <v>255</v>
      </c>
      <c r="E168" s="38" t="s">
        <v>561</v>
      </c>
      <c r="F168" s="42">
        <v>48240940.633114643</v>
      </c>
      <c r="G168" s="7">
        <v>9.5534535692567729E-2</v>
      </c>
      <c r="H168" s="41" t="s">
        <v>471</v>
      </c>
      <c r="I168" s="41" t="s">
        <v>565</v>
      </c>
      <c r="J168" s="14" t="s">
        <v>471</v>
      </c>
    </row>
    <row r="169" spans="1:10" x14ac:dyDescent="0.25">
      <c r="A169" s="32">
        <v>167</v>
      </c>
      <c r="B169" s="5" t="s">
        <v>784</v>
      </c>
      <c r="C169" s="36" t="s">
        <v>14</v>
      </c>
      <c r="D169" s="14" t="s">
        <v>15</v>
      </c>
      <c r="E169" s="38" t="s">
        <v>561</v>
      </c>
      <c r="F169" s="42">
        <v>8169557.0791597934</v>
      </c>
      <c r="G169" s="7">
        <v>6.4040718855386869E-2</v>
      </c>
      <c r="H169" s="41" t="s">
        <v>471</v>
      </c>
      <c r="I169" s="41" t="s">
        <v>565</v>
      </c>
      <c r="J169" s="14" t="s">
        <v>471</v>
      </c>
    </row>
    <row r="170" spans="1:10" x14ac:dyDescent="0.25">
      <c r="A170" s="32">
        <v>168</v>
      </c>
      <c r="B170" s="5" t="s">
        <v>921</v>
      </c>
      <c r="C170" s="32" t="s">
        <v>192</v>
      </c>
      <c r="D170" s="14" t="s">
        <v>193</v>
      </c>
      <c r="E170" s="38">
        <v>2</v>
      </c>
      <c r="F170" s="18">
        <v>19624336.229655229</v>
      </c>
      <c r="G170" s="7">
        <v>5.2095164550162505E-2</v>
      </c>
      <c r="H170" s="41" t="s">
        <v>471</v>
      </c>
      <c r="I170" s="41" t="s">
        <v>565</v>
      </c>
      <c r="J170" s="14" t="s">
        <v>471</v>
      </c>
    </row>
    <row r="171" spans="1:10" x14ac:dyDescent="0.25">
      <c r="A171" s="32">
        <v>169</v>
      </c>
      <c r="B171" s="5" t="s">
        <v>810</v>
      </c>
      <c r="C171" s="36" t="s">
        <v>250</v>
      </c>
      <c r="D171" s="14" t="s">
        <v>251</v>
      </c>
      <c r="E171" s="38" t="s">
        <v>561</v>
      </c>
      <c r="F171" s="42">
        <v>26618196.431870252</v>
      </c>
      <c r="G171" s="7">
        <v>4.5131967042927323E-2</v>
      </c>
      <c r="H171" s="41" t="s">
        <v>471</v>
      </c>
      <c r="I171" s="41" t="s">
        <v>565</v>
      </c>
      <c r="J171" s="14" t="s">
        <v>471</v>
      </c>
    </row>
    <row r="172" spans="1:10" x14ac:dyDescent="0.25">
      <c r="A172" s="32">
        <v>170</v>
      </c>
      <c r="B172" s="5" t="s">
        <v>792</v>
      </c>
      <c r="C172" s="36" t="s">
        <v>106</v>
      </c>
      <c r="D172" s="14" t="s">
        <v>107</v>
      </c>
      <c r="E172" s="38" t="s">
        <v>561</v>
      </c>
      <c r="F172" s="42">
        <v>83288903.321292639</v>
      </c>
      <c r="G172" s="7">
        <v>3.4290751616826244E-2</v>
      </c>
      <c r="H172" s="41" t="s">
        <v>471</v>
      </c>
      <c r="I172" s="41" t="s">
        <v>565</v>
      </c>
      <c r="J172" s="14" t="s">
        <v>471</v>
      </c>
    </row>
    <row r="173" spans="1:10" x14ac:dyDescent="0.25">
      <c r="A173" s="32">
        <v>171</v>
      </c>
      <c r="B173" s="5" t="s">
        <v>802</v>
      </c>
      <c r="C173" s="36" t="s">
        <v>164</v>
      </c>
      <c r="D173" s="14" t="s">
        <v>165</v>
      </c>
      <c r="E173" s="38" t="s">
        <v>561</v>
      </c>
      <c r="F173" s="42">
        <v>21626844.762106888</v>
      </c>
      <c r="G173" s="7">
        <v>3.3497829154679179E-2</v>
      </c>
      <c r="H173" s="41" t="s">
        <v>471</v>
      </c>
      <c r="I173" s="41" t="s">
        <v>565</v>
      </c>
      <c r="J173" s="14" t="s">
        <v>471</v>
      </c>
    </row>
    <row r="174" spans="1:10" x14ac:dyDescent="0.25">
      <c r="A174" s="32">
        <v>172</v>
      </c>
      <c r="B174" s="5" t="s">
        <v>794</v>
      </c>
      <c r="C174" s="36" t="s">
        <v>114</v>
      </c>
      <c r="D174" s="14" t="s">
        <v>115</v>
      </c>
      <c r="E174" s="38" t="s">
        <v>561</v>
      </c>
      <c r="F174" s="42">
        <v>14989235.871877063</v>
      </c>
      <c r="G174" s="7">
        <v>1.8319930897142581E-2</v>
      </c>
      <c r="H174" s="41" t="s">
        <v>471</v>
      </c>
      <c r="I174" s="41" t="s">
        <v>565</v>
      </c>
      <c r="J174" s="14" t="s">
        <v>471</v>
      </c>
    </row>
    <row r="175" spans="1:10" x14ac:dyDescent="0.25">
      <c r="A175" s="32">
        <v>173</v>
      </c>
      <c r="B175" s="5" t="s">
        <v>808</v>
      </c>
      <c r="C175" s="36" t="s">
        <v>224</v>
      </c>
      <c r="D175" s="14" t="s">
        <v>225</v>
      </c>
      <c r="E175" s="38" t="s">
        <v>561</v>
      </c>
      <c r="F175" s="42">
        <v>15120558.378468037</v>
      </c>
      <c r="G175" s="7">
        <v>1.7969422687243108E-2</v>
      </c>
      <c r="H175" s="41" t="s">
        <v>471</v>
      </c>
      <c r="I175" s="41" t="s">
        <v>565</v>
      </c>
      <c r="J175" s="14" t="s">
        <v>471</v>
      </c>
    </row>
    <row r="176" spans="1:10" x14ac:dyDescent="0.25">
      <c r="A176" s="32">
        <v>174</v>
      </c>
      <c r="B176" s="5" t="s">
        <v>785</v>
      </c>
      <c r="C176" s="36" t="s">
        <v>18</v>
      </c>
      <c r="D176" s="14" t="s">
        <v>19</v>
      </c>
      <c r="E176" s="38" t="s">
        <v>561</v>
      </c>
      <c r="F176" s="42">
        <v>16385218.834673952</v>
      </c>
      <c r="G176" s="7">
        <v>8.7735254906590957E-3</v>
      </c>
      <c r="H176" s="41" t="s">
        <v>471</v>
      </c>
      <c r="I176" s="41" t="s">
        <v>565</v>
      </c>
      <c r="J176" s="14" t="s">
        <v>471</v>
      </c>
    </row>
    <row r="177" spans="1:9" x14ac:dyDescent="0.25">
      <c r="A177" s="32"/>
      <c r="B177" s="32"/>
      <c r="C177" s="32"/>
      <c r="D177" s="32"/>
      <c r="E177" s="32"/>
      <c r="F177" s="43"/>
      <c r="G177" s="44"/>
      <c r="H177" s="44"/>
      <c r="I177" s="10"/>
    </row>
    <row r="178" spans="1:9" x14ac:dyDescent="0.25">
      <c r="A178" s="32"/>
      <c r="B178" s="32"/>
      <c r="C178" s="32"/>
      <c r="D178" s="32"/>
      <c r="E178" s="32"/>
      <c r="F178" s="43"/>
      <c r="G178" s="44"/>
      <c r="H178" s="44"/>
      <c r="I178" s="10"/>
    </row>
    <row r="179" spans="1:9" x14ac:dyDescent="0.25">
      <c r="A179" s="32"/>
      <c r="B179" s="32"/>
      <c r="C179" s="32"/>
      <c r="D179" s="32"/>
      <c r="E179" s="32"/>
      <c r="F179" s="43"/>
      <c r="G179" s="44"/>
      <c r="H179" s="44"/>
      <c r="I179" s="10"/>
    </row>
    <row r="180" spans="1:9" x14ac:dyDescent="0.25">
      <c r="A180" s="32"/>
      <c r="B180" s="32"/>
      <c r="C180" s="32"/>
      <c r="D180" s="32"/>
      <c r="E180" s="32"/>
      <c r="F180" s="43"/>
      <c r="G180" s="44"/>
      <c r="H180" s="44"/>
      <c r="I180" s="10"/>
    </row>
    <row r="181" spans="1:9" x14ac:dyDescent="0.25">
      <c r="F181"/>
      <c r="G181" s="16"/>
      <c r="H181" s="16"/>
      <c r="I181"/>
    </row>
    <row r="182" spans="1:9" x14ac:dyDescent="0.25">
      <c r="F182"/>
      <c r="G182" s="16"/>
      <c r="H182" s="16"/>
      <c r="I182"/>
    </row>
    <row r="183" spans="1:9" x14ac:dyDescent="0.25">
      <c r="F183"/>
      <c r="G183" s="16"/>
      <c r="H183" s="16"/>
      <c r="I183"/>
    </row>
    <row r="184" spans="1:9" x14ac:dyDescent="0.25">
      <c r="G184" s="16"/>
      <c r="H184" s="16"/>
      <c r="I184"/>
    </row>
    <row r="185" spans="1:9" x14ac:dyDescent="0.25">
      <c r="F185"/>
      <c r="G185" s="16"/>
      <c r="H185" s="16"/>
      <c r="I185"/>
    </row>
    <row r="186" spans="1:9" x14ac:dyDescent="0.25">
      <c r="F186"/>
      <c r="G186" s="16"/>
      <c r="H186" s="16"/>
      <c r="I186"/>
    </row>
    <row r="187" spans="1:9" x14ac:dyDescent="0.25">
      <c r="F187"/>
      <c r="G187" s="16"/>
      <c r="H187" s="16"/>
      <c r="I187"/>
    </row>
    <row r="188" spans="1:9" x14ac:dyDescent="0.25">
      <c r="F188"/>
      <c r="G188" s="16"/>
      <c r="H188" s="16"/>
      <c r="I188"/>
    </row>
    <row r="189" spans="1:9" x14ac:dyDescent="0.25">
      <c r="F189"/>
      <c r="G189" s="16"/>
      <c r="H189" s="16"/>
      <c r="I189"/>
    </row>
    <row r="190" spans="1:9" x14ac:dyDescent="0.25">
      <c r="F190"/>
      <c r="G190" s="16"/>
      <c r="H190" s="16"/>
      <c r="I190"/>
    </row>
    <row r="191" spans="1:9" x14ac:dyDescent="0.25">
      <c r="F191"/>
      <c r="G191" s="16"/>
      <c r="H191" s="16"/>
      <c r="I191"/>
    </row>
    <row r="192" spans="1:9" x14ac:dyDescent="0.25">
      <c r="F192"/>
      <c r="G192" s="16"/>
      <c r="H192" s="16"/>
      <c r="I192"/>
    </row>
    <row r="193" spans="2:9" x14ac:dyDescent="0.25">
      <c r="F193"/>
      <c r="G193" s="16"/>
      <c r="H193" s="16"/>
      <c r="I193"/>
    </row>
    <row r="194" spans="2:9" x14ac:dyDescent="0.25">
      <c r="F194"/>
      <c r="G194" s="16"/>
      <c r="H194" s="16"/>
      <c r="I194"/>
    </row>
    <row r="195" spans="2:9" x14ac:dyDescent="0.25">
      <c r="F195"/>
      <c r="G195" s="16"/>
      <c r="H195" s="16"/>
      <c r="I195"/>
    </row>
    <row r="196" spans="2:9" x14ac:dyDescent="0.25">
      <c r="B196" s="14"/>
      <c r="D196" s="14"/>
      <c r="G196" s="16"/>
      <c r="H196" s="16"/>
    </row>
    <row r="197" spans="2:9" x14ac:dyDescent="0.25">
      <c r="B197" s="14"/>
      <c r="D197" s="14"/>
      <c r="G197" s="16"/>
      <c r="H197" s="16"/>
    </row>
    <row r="198" spans="2:9" x14ac:dyDescent="0.25">
      <c r="F198"/>
      <c r="G198" s="16"/>
      <c r="H198" s="16"/>
      <c r="I198"/>
    </row>
    <row r="199" spans="2:9" x14ac:dyDescent="0.25">
      <c r="F199"/>
      <c r="G199" s="16"/>
      <c r="H199" s="16"/>
      <c r="I199"/>
    </row>
    <row r="200" spans="2:9" x14ac:dyDescent="0.25">
      <c r="G200" s="16"/>
      <c r="H200" s="16"/>
      <c r="I200"/>
    </row>
    <row r="201" spans="2:9" x14ac:dyDescent="0.25">
      <c r="F201"/>
      <c r="G201" s="16"/>
      <c r="H201" s="16"/>
      <c r="I201"/>
    </row>
    <row r="202" spans="2:9" x14ac:dyDescent="0.25">
      <c r="B202" s="14"/>
      <c r="D202" s="14"/>
      <c r="G202" s="16"/>
      <c r="H202" s="16"/>
    </row>
    <row r="203" spans="2:9" x14ac:dyDescent="0.25">
      <c r="B203" s="14"/>
      <c r="D203" s="14"/>
      <c r="G203" s="16"/>
      <c r="H203" s="16"/>
    </row>
    <row r="204" spans="2:9" x14ac:dyDescent="0.25">
      <c r="B204" s="14"/>
      <c r="D204" s="14"/>
      <c r="G204" s="16"/>
      <c r="H204" s="16"/>
    </row>
    <row r="205" spans="2:9" x14ac:dyDescent="0.25">
      <c r="F205"/>
      <c r="G205" s="16"/>
      <c r="H205" s="16"/>
      <c r="I205"/>
    </row>
    <row r="206" spans="2:9" x14ac:dyDescent="0.25">
      <c r="F206" s="3"/>
      <c r="G206" s="16"/>
      <c r="H206" s="16"/>
      <c r="I206"/>
    </row>
    <row r="207" spans="2:9" x14ac:dyDescent="0.25">
      <c r="F207"/>
      <c r="G207" s="16"/>
      <c r="H207" s="16"/>
      <c r="I207"/>
    </row>
    <row r="208" spans="2:9" x14ac:dyDescent="0.25">
      <c r="F208"/>
      <c r="G208" s="16"/>
      <c r="H208" s="16"/>
      <c r="I208"/>
    </row>
    <row r="209" spans="2:9" x14ac:dyDescent="0.25">
      <c r="G209" s="16"/>
      <c r="H209" s="16"/>
      <c r="I209"/>
    </row>
    <row r="210" spans="2:9" x14ac:dyDescent="0.25">
      <c r="B210" s="14"/>
      <c r="D210" s="14"/>
      <c r="G210" s="16"/>
      <c r="H210" s="16"/>
    </row>
    <row r="211" spans="2:9" x14ac:dyDescent="0.25">
      <c r="B211" s="14"/>
      <c r="D211" s="14"/>
      <c r="G211" s="16"/>
      <c r="H211" s="16"/>
    </row>
    <row r="212" spans="2:9" x14ac:dyDescent="0.25">
      <c r="B212" s="14"/>
      <c r="D212" s="14"/>
      <c r="G212" s="16"/>
      <c r="H212" s="16"/>
    </row>
    <row r="213" spans="2:9" x14ac:dyDescent="0.25">
      <c r="G213" s="16"/>
      <c r="H213" s="16"/>
      <c r="I213"/>
    </row>
    <row r="214" spans="2:9" x14ac:dyDescent="0.25">
      <c r="F214"/>
      <c r="G214" s="16"/>
      <c r="H214" s="16"/>
      <c r="I214"/>
    </row>
    <row r="215" spans="2:9" x14ac:dyDescent="0.25">
      <c r="F215"/>
      <c r="G215" s="16"/>
      <c r="H215" s="16"/>
      <c r="I215"/>
    </row>
    <row r="216" spans="2:9" x14ac:dyDescent="0.25">
      <c r="F216"/>
      <c r="G216" s="16"/>
      <c r="H216" s="16"/>
      <c r="I216"/>
    </row>
    <row r="217" spans="2:9" x14ac:dyDescent="0.25">
      <c r="F217"/>
      <c r="G217" s="16"/>
      <c r="H217" s="16"/>
      <c r="I217"/>
    </row>
    <row r="218" spans="2:9" x14ac:dyDescent="0.25">
      <c r="F218"/>
      <c r="G218" s="16"/>
      <c r="H218" s="16"/>
      <c r="I218"/>
    </row>
    <row r="219" spans="2:9" x14ac:dyDescent="0.25">
      <c r="F219"/>
      <c r="G219" s="16"/>
      <c r="H219" s="16"/>
      <c r="I219"/>
    </row>
    <row r="220" spans="2:9" x14ac:dyDescent="0.25">
      <c r="F220"/>
      <c r="G220" s="16"/>
      <c r="H220" s="16"/>
      <c r="I220"/>
    </row>
    <row r="221" spans="2:9" x14ac:dyDescent="0.25">
      <c r="F221"/>
      <c r="G221" s="16"/>
      <c r="H221" s="16"/>
      <c r="I221"/>
    </row>
    <row r="222" spans="2:9" x14ac:dyDescent="0.25">
      <c r="F222"/>
      <c r="G222" s="16"/>
      <c r="H222" s="16"/>
      <c r="I222"/>
    </row>
    <row r="223" spans="2:9" x14ac:dyDescent="0.25">
      <c r="F223"/>
      <c r="G223" s="16"/>
      <c r="H223" s="16"/>
      <c r="I223"/>
    </row>
    <row r="224" spans="2:9" x14ac:dyDescent="0.25">
      <c r="F224"/>
      <c r="G224" s="16"/>
      <c r="H224" s="16"/>
      <c r="I224"/>
    </row>
    <row r="225" spans="2:9" x14ac:dyDescent="0.25">
      <c r="F225" s="3"/>
      <c r="G225" s="16"/>
      <c r="H225" s="16"/>
      <c r="I225"/>
    </row>
    <row r="226" spans="2:9" x14ac:dyDescent="0.25">
      <c r="F226"/>
      <c r="G226" s="16"/>
      <c r="H226" s="16"/>
      <c r="I226"/>
    </row>
    <row r="227" spans="2:9" x14ac:dyDescent="0.25">
      <c r="F227"/>
      <c r="G227" s="16"/>
      <c r="H227" s="16"/>
      <c r="I227"/>
    </row>
    <row r="228" spans="2:9" x14ac:dyDescent="0.25">
      <c r="F228"/>
      <c r="G228" s="16"/>
      <c r="H228" s="16"/>
      <c r="I228"/>
    </row>
    <row r="229" spans="2:9" x14ac:dyDescent="0.25">
      <c r="F229"/>
      <c r="G229" s="16"/>
      <c r="H229" s="16"/>
      <c r="I229"/>
    </row>
    <row r="230" spans="2:9" x14ac:dyDescent="0.25">
      <c r="F230"/>
      <c r="G230" s="16"/>
      <c r="H230" s="16"/>
      <c r="I230"/>
    </row>
    <row r="231" spans="2:9" x14ac:dyDescent="0.25">
      <c r="F231"/>
      <c r="G231" s="16"/>
      <c r="H231" s="16"/>
      <c r="I231"/>
    </row>
    <row r="232" spans="2:9" x14ac:dyDescent="0.25">
      <c r="F232"/>
      <c r="G232" s="16"/>
      <c r="H232" s="16"/>
      <c r="I232"/>
    </row>
    <row r="233" spans="2:9" x14ac:dyDescent="0.25">
      <c r="F233"/>
      <c r="G233" s="16"/>
      <c r="H233" s="16"/>
      <c r="I233"/>
    </row>
    <row r="234" spans="2:9" x14ac:dyDescent="0.25">
      <c r="F234"/>
      <c r="G234" s="16"/>
      <c r="H234" s="16"/>
      <c r="I234"/>
    </row>
    <row r="235" spans="2:9" x14ac:dyDescent="0.25">
      <c r="F235"/>
      <c r="G235" s="16"/>
      <c r="H235" s="16"/>
      <c r="I235"/>
    </row>
    <row r="236" spans="2:9" x14ac:dyDescent="0.25">
      <c r="F236"/>
      <c r="G236" s="16"/>
      <c r="H236" s="16"/>
      <c r="I236"/>
    </row>
    <row r="237" spans="2:9" x14ac:dyDescent="0.25">
      <c r="B237" s="14"/>
      <c r="D237" s="14"/>
      <c r="G237" s="16"/>
      <c r="H237" s="16"/>
    </row>
    <row r="238" spans="2:9" x14ac:dyDescent="0.25">
      <c r="B238" s="14"/>
      <c r="D238" s="14"/>
      <c r="G238" s="16"/>
      <c r="H238" s="16"/>
    </row>
    <row r="239" spans="2:9" x14ac:dyDescent="0.25">
      <c r="F239"/>
      <c r="G239" s="16"/>
      <c r="H239" s="16"/>
      <c r="I239"/>
    </row>
    <row r="240" spans="2:9" x14ac:dyDescent="0.25">
      <c r="F240"/>
      <c r="G240" s="16"/>
      <c r="H240" s="16"/>
      <c r="I240"/>
    </row>
    <row r="241" spans="2:9" x14ac:dyDescent="0.25">
      <c r="G241" s="16"/>
      <c r="H241" s="16"/>
      <c r="I241"/>
    </row>
    <row r="242" spans="2:9" x14ac:dyDescent="0.25">
      <c r="G242" s="16"/>
      <c r="H242" s="16"/>
      <c r="I242"/>
    </row>
    <row r="243" spans="2:9" x14ac:dyDescent="0.25">
      <c r="B243" s="14"/>
      <c r="D243" s="14"/>
      <c r="G243" s="16"/>
      <c r="H243" s="16"/>
    </row>
    <row r="244" spans="2:9" x14ac:dyDescent="0.25">
      <c r="F244"/>
      <c r="G244" s="16"/>
      <c r="H244" s="16"/>
      <c r="I244"/>
    </row>
    <row r="245" spans="2:9" x14ac:dyDescent="0.25">
      <c r="F245"/>
      <c r="G245" s="16"/>
      <c r="H245" s="16"/>
      <c r="I245"/>
    </row>
    <row r="246" spans="2:9" x14ac:dyDescent="0.25">
      <c r="F246"/>
      <c r="G246" s="16"/>
      <c r="H246" s="16"/>
      <c r="I246"/>
    </row>
    <row r="247" spans="2:9" x14ac:dyDescent="0.25">
      <c r="F247"/>
      <c r="G247" s="16"/>
      <c r="H247" s="16"/>
      <c r="I247"/>
    </row>
    <row r="248" spans="2:9" x14ac:dyDescent="0.25">
      <c r="F248"/>
      <c r="G248" s="16"/>
      <c r="H248" s="16"/>
      <c r="I248"/>
    </row>
    <row r="249" spans="2:9" x14ac:dyDescent="0.25">
      <c r="B249" s="14"/>
      <c r="D249" s="14"/>
      <c r="G249" s="16"/>
      <c r="H249" s="16"/>
    </row>
    <row r="250" spans="2:9" x14ac:dyDescent="0.25">
      <c r="B250" s="14"/>
      <c r="D250" s="14"/>
      <c r="G250" s="16"/>
      <c r="H250" s="16"/>
    </row>
    <row r="251" spans="2:9" x14ac:dyDescent="0.25">
      <c r="F251"/>
      <c r="G251" s="16"/>
      <c r="H251" s="16"/>
      <c r="I251"/>
    </row>
    <row r="252" spans="2:9" x14ac:dyDescent="0.25">
      <c r="F252"/>
      <c r="G252" s="16"/>
      <c r="H252" s="16"/>
      <c r="I252"/>
    </row>
    <row r="253" spans="2:9" x14ac:dyDescent="0.25">
      <c r="F253"/>
      <c r="G253" s="16"/>
      <c r="H253" s="16"/>
      <c r="I253"/>
    </row>
    <row r="254" spans="2:9" x14ac:dyDescent="0.25">
      <c r="B254" s="14"/>
      <c r="D254" s="14"/>
      <c r="G254" s="16"/>
      <c r="H254" s="16"/>
    </row>
    <row r="255" spans="2:9" x14ac:dyDescent="0.25">
      <c r="B255" s="14"/>
      <c r="D255" s="14"/>
      <c r="G255" s="16"/>
      <c r="H255" s="16"/>
    </row>
    <row r="256" spans="2:9" x14ac:dyDescent="0.25">
      <c r="F256"/>
      <c r="G256" s="16"/>
      <c r="H256" s="16"/>
      <c r="I256"/>
    </row>
    <row r="257" spans="2:9" x14ac:dyDescent="0.25">
      <c r="F257"/>
      <c r="G257" s="16"/>
      <c r="H257" s="16"/>
      <c r="I257"/>
    </row>
    <row r="258" spans="2:9" x14ac:dyDescent="0.25">
      <c r="F258"/>
      <c r="G258" s="16"/>
      <c r="H258" s="16"/>
      <c r="I258"/>
    </row>
    <row r="259" spans="2:9" x14ac:dyDescent="0.25">
      <c r="B259" s="14"/>
      <c r="D259" s="14"/>
      <c r="G259" s="16"/>
      <c r="H259" s="16"/>
    </row>
    <row r="260" spans="2:9" x14ac:dyDescent="0.25">
      <c r="B260" s="14"/>
      <c r="D260" s="14"/>
      <c r="G260" s="16"/>
      <c r="H260" s="16"/>
    </row>
    <row r="261" spans="2:9" x14ac:dyDescent="0.25">
      <c r="F261"/>
      <c r="G261" s="16"/>
      <c r="H261" s="16"/>
      <c r="I261"/>
    </row>
    <row r="262" spans="2:9" x14ac:dyDescent="0.25">
      <c r="B262" s="14"/>
      <c r="D262" s="14"/>
      <c r="G262" s="16"/>
      <c r="H262" s="16"/>
    </row>
    <row r="263" spans="2:9" x14ac:dyDescent="0.25">
      <c r="F263"/>
      <c r="G263" s="16"/>
      <c r="H263" s="16"/>
      <c r="I263"/>
    </row>
    <row r="264" spans="2:9" x14ac:dyDescent="0.25">
      <c r="F264"/>
      <c r="G264" s="16"/>
      <c r="H264" s="16"/>
      <c r="I264"/>
    </row>
    <row r="265" spans="2:9" x14ac:dyDescent="0.25">
      <c r="G265" s="16"/>
      <c r="H265" s="16"/>
      <c r="I265"/>
    </row>
    <row r="266" spans="2:9" x14ac:dyDescent="0.25">
      <c r="F266"/>
      <c r="G266" s="16"/>
      <c r="H266" s="16"/>
      <c r="I266"/>
    </row>
    <row r="267" spans="2:9" x14ac:dyDescent="0.25">
      <c r="F267"/>
      <c r="G267" s="16"/>
      <c r="H267" s="16"/>
      <c r="I267"/>
    </row>
    <row r="268" spans="2:9" x14ac:dyDescent="0.25">
      <c r="F268"/>
      <c r="G268" s="16"/>
      <c r="H268" s="16"/>
      <c r="I268"/>
    </row>
    <row r="269" spans="2:9" x14ac:dyDescent="0.25">
      <c r="G269" s="16"/>
      <c r="H269" s="16"/>
      <c r="I269"/>
    </row>
    <row r="270" spans="2:9" x14ac:dyDescent="0.25">
      <c r="B270" s="14"/>
      <c r="D270" s="14"/>
      <c r="G270" s="16"/>
      <c r="H270" s="16"/>
    </row>
    <row r="271" spans="2:9" x14ac:dyDescent="0.25">
      <c r="F271"/>
      <c r="G271" s="16"/>
      <c r="H271" s="16"/>
      <c r="I271"/>
    </row>
    <row r="272" spans="2:9" x14ac:dyDescent="0.25">
      <c r="F272"/>
      <c r="G272" s="16"/>
      <c r="H272" s="16"/>
      <c r="I272"/>
    </row>
    <row r="273" spans="2:9" x14ac:dyDescent="0.25">
      <c r="F273"/>
      <c r="G273" s="16"/>
      <c r="H273" s="16"/>
      <c r="I273"/>
    </row>
    <row r="274" spans="2:9" x14ac:dyDescent="0.25">
      <c r="F274"/>
      <c r="G274" s="16"/>
      <c r="H274" s="16"/>
      <c r="I274"/>
    </row>
    <row r="275" spans="2:9" x14ac:dyDescent="0.25">
      <c r="B275" s="14"/>
      <c r="D275" s="14"/>
      <c r="G275" s="16"/>
      <c r="H275" s="16"/>
    </row>
    <row r="276" spans="2:9" x14ac:dyDescent="0.25">
      <c r="B276" s="14"/>
      <c r="D276" s="14"/>
      <c r="G276" s="16"/>
      <c r="H276" s="16"/>
    </row>
    <row r="277" spans="2:9" x14ac:dyDescent="0.25">
      <c r="B277" s="14"/>
      <c r="D277" s="14"/>
      <c r="G277" s="16"/>
      <c r="H277" s="16"/>
    </row>
    <row r="278" spans="2:9" x14ac:dyDescent="0.25">
      <c r="B278" s="14"/>
      <c r="D278" s="14"/>
      <c r="G278" s="16"/>
      <c r="H278" s="16"/>
    </row>
    <row r="279" spans="2:9" x14ac:dyDescent="0.25">
      <c r="G279" s="16"/>
      <c r="H279" s="16"/>
      <c r="I279"/>
    </row>
    <row r="280" spans="2:9" x14ac:dyDescent="0.25">
      <c r="F280"/>
      <c r="G280" s="16"/>
      <c r="H280" s="16"/>
      <c r="I280"/>
    </row>
    <row r="281" spans="2:9" x14ac:dyDescent="0.25">
      <c r="F281"/>
      <c r="G281" s="16"/>
      <c r="H281" s="16"/>
      <c r="I281"/>
    </row>
    <row r="282" spans="2:9" x14ac:dyDescent="0.25">
      <c r="B282" s="14"/>
      <c r="D282" s="14"/>
      <c r="G282" s="16"/>
      <c r="H282" s="16"/>
    </row>
    <row r="283" spans="2:9" x14ac:dyDescent="0.25">
      <c r="F283"/>
      <c r="I283"/>
    </row>
    <row r="284" spans="2:9" x14ac:dyDescent="0.25">
      <c r="F284"/>
      <c r="I284"/>
    </row>
    <row r="285" spans="2:9" x14ac:dyDescent="0.25">
      <c r="I285"/>
    </row>
    <row r="286" spans="2:9" x14ac:dyDescent="0.25">
      <c r="F286"/>
      <c r="I286"/>
    </row>
  </sheetData>
  <autoFilter ref="A2:J176"/>
  <sortState ref="A3:J176">
    <sortCondition ref="H3:H176"/>
    <sortCondition descending="1" ref="I3:I176"/>
    <sortCondition descending="1" ref="G3:G176"/>
  </sortState>
  <conditionalFormatting sqref="G3:G176">
    <cfRule type="cellIs" dxfId="13" priority="1" operator="lessThan">
      <formula>1</formula>
    </cfRule>
    <cfRule type="cellIs" dxfId="12" priority="3" operator="greaterThan">
      <formula>1</formula>
    </cfRule>
  </conditionalFormatting>
  <conditionalFormatting sqref="G3:G176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{F6175D58-564E-4104-AD4A-5F352F9D6A99}</x14:id>
        </ext>
      </extLst>
    </cfRule>
  </conditionalFormatting>
  <pageMargins left="0.7" right="0.7" top="0.75" bottom="0.75" header="0.3" footer="0.3"/>
  <pageSetup paperSize="9" scale="68" fitToHeight="0" orientation="portrait" r:id="rId1"/>
  <headerFooter>
    <oddFooter>&amp;LPríloha č. 1_1b Revitalizácie tratí&amp;R&amp;P l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175D58-564E-4104-AD4A-5F352F9D6A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view="pageLayout" topLeftCell="C16" zoomScaleNormal="100" workbookViewId="0">
      <selection activeCell="I38" sqref="I38"/>
    </sheetView>
  </sheetViews>
  <sheetFormatPr defaultColWidth="9.140625" defaultRowHeight="15" x14ac:dyDescent="0.25"/>
  <cols>
    <col min="1" max="1" width="7.85546875" style="13" customWidth="1"/>
    <col min="2" max="2" width="8.42578125" style="13" customWidth="1"/>
    <col min="3" max="3" width="5.42578125" style="13" customWidth="1"/>
    <col min="4" max="4" width="33.85546875" style="13" customWidth="1"/>
    <col min="5" max="5" width="12.85546875" style="29" bestFit="1" customWidth="1"/>
    <col min="6" max="6" width="5.42578125" style="25" customWidth="1"/>
    <col min="7" max="7" width="9.42578125" style="25" customWidth="1"/>
    <col min="8" max="8" width="9.7109375" style="13" customWidth="1"/>
    <col min="9" max="9" width="49.85546875" style="13" customWidth="1"/>
    <col min="10" max="10" width="47.140625" style="13" customWidth="1"/>
    <col min="11" max="11" width="14.85546875" style="13" customWidth="1"/>
    <col min="12" max="16384" width="9.140625" style="13"/>
  </cols>
  <sheetData>
    <row r="1" spans="1:11" ht="18.75" x14ac:dyDescent="0.25">
      <c r="A1" s="82" t="s">
        <v>633</v>
      </c>
      <c r="E1" s="13"/>
    </row>
    <row r="2" spans="1:11" ht="45" x14ac:dyDescent="0.25">
      <c r="A2" s="21" t="s">
        <v>288</v>
      </c>
      <c r="B2" s="21" t="s">
        <v>383</v>
      </c>
      <c r="C2" s="21" t="s">
        <v>335</v>
      </c>
      <c r="D2" s="21" t="s">
        <v>337</v>
      </c>
      <c r="E2" s="434" t="s">
        <v>600</v>
      </c>
      <c r="F2" s="434" t="s">
        <v>310</v>
      </c>
      <c r="G2" s="435" t="s">
        <v>469</v>
      </c>
      <c r="H2" s="435" t="s">
        <v>467</v>
      </c>
      <c r="I2" s="435" t="s">
        <v>291</v>
      </c>
      <c r="J2" s="435" t="s">
        <v>624</v>
      </c>
      <c r="K2" s="435" t="s">
        <v>1477</v>
      </c>
    </row>
    <row r="3" spans="1:11" ht="30" x14ac:dyDescent="0.25">
      <c r="A3" s="13">
        <v>1</v>
      </c>
      <c r="B3" s="13" t="s">
        <v>569</v>
      </c>
      <c r="C3" s="26" t="s">
        <v>6</v>
      </c>
      <c r="D3" s="27" t="s">
        <v>7</v>
      </c>
      <c r="E3" s="28">
        <v>2.34682577805631</v>
      </c>
      <c r="F3" s="20">
        <v>11.276847520179059</v>
      </c>
      <c r="G3" s="25" t="s">
        <v>470</v>
      </c>
      <c r="H3" s="13" t="s">
        <v>563</v>
      </c>
      <c r="I3" s="13" t="s">
        <v>625</v>
      </c>
      <c r="J3" s="13" t="s">
        <v>289</v>
      </c>
      <c r="K3" s="13" t="s">
        <v>1473</v>
      </c>
    </row>
    <row r="4" spans="1:11" ht="30" x14ac:dyDescent="0.25">
      <c r="A4" s="13">
        <v>2</v>
      </c>
      <c r="B4" s="13" t="s">
        <v>571</v>
      </c>
      <c r="C4" s="26" t="s">
        <v>58</v>
      </c>
      <c r="D4" s="27" t="s">
        <v>59</v>
      </c>
      <c r="E4" s="28">
        <v>4.8861230706391225</v>
      </c>
      <c r="F4" s="20">
        <v>6.7008408985321228</v>
      </c>
      <c r="G4" s="25" t="s">
        <v>470</v>
      </c>
      <c r="H4" s="13" t="s">
        <v>563</v>
      </c>
      <c r="I4" s="13" t="s">
        <v>293</v>
      </c>
      <c r="J4" s="13" t="s">
        <v>303</v>
      </c>
      <c r="K4" s="13" t="s">
        <v>1473</v>
      </c>
    </row>
    <row r="5" spans="1:11" x14ac:dyDescent="0.25">
      <c r="A5" s="13">
        <v>3</v>
      </c>
      <c r="B5" s="13" t="s">
        <v>578</v>
      </c>
      <c r="C5" s="26" t="s">
        <v>100</v>
      </c>
      <c r="D5" s="27" t="s">
        <v>101</v>
      </c>
      <c r="E5" s="28">
        <v>14.708694158252621</v>
      </c>
      <c r="F5" s="20">
        <v>6.6972778580542167</v>
      </c>
      <c r="G5" s="25" t="s">
        <v>470</v>
      </c>
      <c r="H5" s="29" t="s">
        <v>563</v>
      </c>
      <c r="I5" s="29" t="s">
        <v>297</v>
      </c>
      <c r="J5" s="29" t="s">
        <v>290</v>
      </c>
      <c r="K5" s="13" t="s">
        <v>1473</v>
      </c>
    </row>
    <row r="6" spans="1:11" x14ac:dyDescent="0.25">
      <c r="A6" s="13">
        <v>4</v>
      </c>
      <c r="B6" s="13" t="s">
        <v>575</v>
      </c>
      <c r="C6" s="26" t="s">
        <v>98</v>
      </c>
      <c r="D6" s="27" t="s">
        <v>99</v>
      </c>
      <c r="E6" s="28">
        <v>6.0080454382739763</v>
      </c>
      <c r="F6" s="20">
        <v>6.6289971381775503</v>
      </c>
      <c r="G6" s="25" t="s">
        <v>470</v>
      </c>
      <c r="H6" s="29" t="s">
        <v>563</v>
      </c>
      <c r="I6" s="29" t="s">
        <v>297</v>
      </c>
      <c r="J6" s="29" t="s">
        <v>290</v>
      </c>
      <c r="K6" s="25" t="s">
        <v>1473</v>
      </c>
    </row>
    <row r="7" spans="1:11" ht="30" x14ac:dyDescent="0.25">
      <c r="A7" s="13">
        <v>5</v>
      </c>
      <c r="B7" s="13" t="s">
        <v>573</v>
      </c>
      <c r="C7" s="26" t="s">
        <v>20</v>
      </c>
      <c r="D7" s="27" t="s">
        <v>21</v>
      </c>
      <c r="E7" s="28">
        <v>5.8297573105086498</v>
      </c>
      <c r="F7" s="20">
        <v>5.0928798901252179</v>
      </c>
      <c r="G7" s="25" t="s">
        <v>470</v>
      </c>
      <c r="H7" s="29" t="s">
        <v>563</v>
      </c>
      <c r="I7" s="29" t="s">
        <v>296</v>
      </c>
      <c r="J7" s="29" t="s">
        <v>621</v>
      </c>
      <c r="K7" s="13" t="s">
        <v>1473</v>
      </c>
    </row>
    <row r="8" spans="1:11" x14ac:dyDescent="0.25">
      <c r="A8" s="13">
        <v>6</v>
      </c>
      <c r="B8" s="13" t="s">
        <v>577</v>
      </c>
      <c r="C8" s="26" t="s">
        <v>96</v>
      </c>
      <c r="D8" s="27" t="s">
        <v>97</v>
      </c>
      <c r="E8" s="28">
        <v>10.051626099417422</v>
      </c>
      <c r="F8" s="20">
        <v>4.4141048612048079</v>
      </c>
      <c r="G8" s="25" t="s">
        <v>470</v>
      </c>
      <c r="H8" s="29" t="s">
        <v>563</v>
      </c>
      <c r="I8" s="29" t="s">
        <v>297</v>
      </c>
      <c r="J8" s="29" t="s">
        <v>290</v>
      </c>
      <c r="K8" s="13" t="s">
        <v>1473</v>
      </c>
    </row>
    <row r="9" spans="1:11" ht="30" x14ac:dyDescent="0.25">
      <c r="A9" s="13">
        <v>7</v>
      </c>
      <c r="B9" s="13" t="s">
        <v>570</v>
      </c>
      <c r="C9" s="69" t="s">
        <v>120</v>
      </c>
      <c r="D9" s="70" t="s">
        <v>121</v>
      </c>
      <c r="E9" s="83">
        <v>45.800104089387901</v>
      </c>
      <c r="F9" s="102">
        <v>3.6730203676097295</v>
      </c>
      <c r="G9" s="72" t="s">
        <v>470</v>
      </c>
      <c r="H9" s="68" t="s">
        <v>563</v>
      </c>
      <c r="I9" s="68" t="s">
        <v>300</v>
      </c>
      <c r="J9" s="68" t="s">
        <v>567</v>
      </c>
      <c r="K9" s="13" t="s">
        <v>471</v>
      </c>
    </row>
    <row r="10" spans="1:11" ht="30" x14ac:dyDescent="0.25">
      <c r="A10" s="13">
        <v>8</v>
      </c>
      <c r="B10" s="13" t="s">
        <v>572</v>
      </c>
      <c r="C10" s="26" t="s">
        <v>70</v>
      </c>
      <c r="D10" s="27" t="s">
        <v>71</v>
      </c>
      <c r="E10" s="28">
        <v>6.0053986593361062</v>
      </c>
      <c r="F10" s="20">
        <v>3.3081471650148409</v>
      </c>
      <c r="G10" s="25" t="s">
        <v>470</v>
      </c>
      <c r="H10" s="13" t="s">
        <v>563</v>
      </c>
      <c r="I10" s="13" t="s">
        <v>385</v>
      </c>
      <c r="J10" s="13" t="s">
        <v>298</v>
      </c>
      <c r="K10" s="13" t="s">
        <v>1473</v>
      </c>
    </row>
    <row r="11" spans="1:11" ht="30" x14ac:dyDescent="0.25">
      <c r="A11" s="13">
        <v>9</v>
      </c>
      <c r="B11" s="13" t="s">
        <v>574</v>
      </c>
      <c r="C11" s="26" t="s">
        <v>74</v>
      </c>
      <c r="D11" s="27" t="s">
        <v>75</v>
      </c>
      <c r="E11" s="28">
        <v>8.125226945864469</v>
      </c>
      <c r="F11" s="20">
        <v>2.8774521358118017</v>
      </c>
      <c r="G11" s="25" t="s">
        <v>470</v>
      </c>
      <c r="H11" s="29" t="s">
        <v>563</v>
      </c>
      <c r="I11" s="29" t="s">
        <v>384</v>
      </c>
      <c r="J11" s="29" t="s">
        <v>622</v>
      </c>
      <c r="K11" s="13" t="s">
        <v>471</v>
      </c>
    </row>
    <row r="12" spans="1:11" ht="30" x14ac:dyDescent="0.25">
      <c r="A12" s="13">
        <v>10</v>
      </c>
      <c r="B12" s="13" t="s">
        <v>576</v>
      </c>
      <c r="C12" s="26" t="s">
        <v>22</v>
      </c>
      <c r="D12" s="27" t="s">
        <v>23</v>
      </c>
      <c r="E12" s="28">
        <v>12.283698184402052</v>
      </c>
      <c r="F12" s="20">
        <v>2.1123282158357006</v>
      </c>
      <c r="G12" s="25" t="s">
        <v>470</v>
      </c>
      <c r="H12" s="29" t="s">
        <v>563</v>
      </c>
      <c r="I12" s="29" t="s">
        <v>296</v>
      </c>
      <c r="J12" s="29" t="s">
        <v>621</v>
      </c>
      <c r="K12" s="13" t="s">
        <v>1473</v>
      </c>
    </row>
    <row r="13" spans="1:11" x14ac:dyDescent="0.25">
      <c r="A13" s="13">
        <v>11</v>
      </c>
      <c r="B13" s="13" t="s">
        <v>579</v>
      </c>
      <c r="C13" s="26" t="s">
        <v>178</v>
      </c>
      <c r="D13" s="27" t="s">
        <v>179</v>
      </c>
      <c r="E13" s="28">
        <v>23.517346505130426</v>
      </c>
      <c r="F13" s="20">
        <v>2.0538425665771789</v>
      </c>
      <c r="G13" s="25" t="s">
        <v>470</v>
      </c>
      <c r="H13" s="29" t="s">
        <v>563</v>
      </c>
      <c r="I13" s="29" t="s">
        <v>297</v>
      </c>
      <c r="J13" s="29" t="s">
        <v>623</v>
      </c>
      <c r="K13" s="13" t="s">
        <v>471</v>
      </c>
    </row>
    <row r="14" spans="1:11" ht="30" x14ac:dyDescent="0.25">
      <c r="A14" s="13">
        <v>12</v>
      </c>
      <c r="B14" s="13" t="s">
        <v>582</v>
      </c>
      <c r="C14" s="26" t="s">
        <v>198</v>
      </c>
      <c r="D14" s="27" t="s">
        <v>199</v>
      </c>
      <c r="E14" s="28">
        <v>2.4430615353195613</v>
      </c>
      <c r="F14" s="20">
        <v>5.6541509100901468</v>
      </c>
      <c r="G14" s="25" t="s">
        <v>470</v>
      </c>
      <c r="H14" s="13" t="s">
        <v>564</v>
      </c>
      <c r="I14" s="13" t="s">
        <v>301</v>
      </c>
      <c r="J14" s="13" t="s">
        <v>304</v>
      </c>
      <c r="K14" s="13" t="s">
        <v>471</v>
      </c>
    </row>
    <row r="15" spans="1:11" x14ac:dyDescent="0.25">
      <c r="A15" s="13">
        <v>13</v>
      </c>
      <c r="B15" s="13" t="s">
        <v>580</v>
      </c>
      <c r="C15" s="26" t="s">
        <v>204</v>
      </c>
      <c r="D15" s="27" t="s">
        <v>205</v>
      </c>
      <c r="E15" s="28">
        <v>5.4827370700610789</v>
      </c>
      <c r="F15" s="20">
        <v>4.0006094587007412</v>
      </c>
      <c r="G15" s="25" t="s">
        <v>470</v>
      </c>
      <c r="H15" s="13" t="s">
        <v>564</v>
      </c>
      <c r="I15" s="13" t="s">
        <v>301</v>
      </c>
      <c r="J15" s="13" t="s">
        <v>304</v>
      </c>
      <c r="K15" s="13" t="s">
        <v>471</v>
      </c>
    </row>
    <row r="16" spans="1:11" x14ac:dyDescent="0.25">
      <c r="A16" s="13">
        <v>14</v>
      </c>
      <c r="B16" s="13" t="s">
        <v>581</v>
      </c>
      <c r="C16" s="26" t="s">
        <v>206</v>
      </c>
      <c r="D16" s="27" t="s">
        <v>207</v>
      </c>
      <c r="E16" s="28">
        <v>5.1304292241710785</v>
      </c>
      <c r="F16" s="20">
        <v>3.7314467231180424</v>
      </c>
      <c r="G16" s="25" t="s">
        <v>470</v>
      </c>
      <c r="H16" s="13" t="s">
        <v>564</v>
      </c>
      <c r="I16" s="13" t="s">
        <v>301</v>
      </c>
      <c r="J16" s="13" t="s">
        <v>304</v>
      </c>
      <c r="K16" s="13" t="s">
        <v>471</v>
      </c>
    </row>
    <row r="17" spans="1:11" ht="30" x14ac:dyDescent="0.25">
      <c r="A17" s="13">
        <v>15</v>
      </c>
      <c r="B17" s="13" t="s">
        <v>584</v>
      </c>
      <c r="C17" s="26" t="s">
        <v>72</v>
      </c>
      <c r="D17" s="27" t="s">
        <v>73</v>
      </c>
      <c r="E17" s="28">
        <v>3.5802562439033894</v>
      </c>
      <c r="F17" s="20">
        <v>2.6811093786966635</v>
      </c>
      <c r="G17" s="25" t="s">
        <v>470</v>
      </c>
      <c r="H17" s="13" t="s">
        <v>564</v>
      </c>
      <c r="I17" s="13" t="s">
        <v>294</v>
      </c>
      <c r="J17" s="13" t="s">
        <v>295</v>
      </c>
      <c r="K17" s="13" t="s">
        <v>471</v>
      </c>
    </row>
    <row r="18" spans="1:11" x14ac:dyDescent="0.25">
      <c r="A18" s="13">
        <v>16</v>
      </c>
      <c r="B18" s="13" t="s">
        <v>586</v>
      </c>
      <c r="C18" s="26" t="s">
        <v>196</v>
      </c>
      <c r="D18" s="27" t="s">
        <v>197</v>
      </c>
      <c r="E18" s="28">
        <v>13.530688752207695</v>
      </c>
      <c r="F18" s="20">
        <v>2.2209177712231059</v>
      </c>
      <c r="G18" s="25" t="s">
        <v>470</v>
      </c>
      <c r="H18" s="13" t="s">
        <v>564</v>
      </c>
      <c r="I18" s="13" t="s">
        <v>301</v>
      </c>
      <c r="J18" s="13" t="s">
        <v>304</v>
      </c>
      <c r="K18" s="13" t="s">
        <v>471</v>
      </c>
    </row>
    <row r="19" spans="1:11" ht="30" x14ac:dyDescent="0.25">
      <c r="A19" s="13">
        <v>17</v>
      </c>
      <c r="B19" s="13" t="s">
        <v>587</v>
      </c>
      <c r="C19" s="26" t="s">
        <v>60</v>
      </c>
      <c r="D19" s="27" t="s">
        <v>61</v>
      </c>
      <c r="E19" s="28">
        <v>10.00999308700669</v>
      </c>
      <c r="F19" s="20">
        <v>2.1636867391216295</v>
      </c>
      <c r="G19" s="25" t="s">
        <v>470</v>
      </c>
      <c r="H19" s="13" t="s">
        <v>564</v>
      </c>
      <c r="I19" s="13" t="s">
        <v>627</v>
      </c>
      <c r="J19" s="13" t="s">
        <v>626</v>
      </c>
      <c r="K19" s="13" t="s">
        <v>471</v>
      </c>
    </row>
    <row r="20" spans="1:11" x14ac:dyDescent="0.25">
      <c r="A20" s="13">
        <v>18</v>
      </c>
      <c r="B20" s="13" t="s">
        <v>595</v>
      </c>
      <c r="C20" s="26" t="s">
        <v>248</v>
      </c>
      <c r="D20" s="27" t="s">
        <v>249</v>
      </c>
      <c r="E20" s="28">
        <v>11.615730615568991</v>
      </c>
      <c r="F20" s="20">
        <v>2.1113236899730783</v>
      </c>
      <c r="G20" s="25" t="s">
        <v>470</v>
      </c>
      <c r="H20" s="29" t="s">
        <v>564</v>
      </c>
      <c r="I20" s="13" t="s">
        <v>297</v>
      </c>
      <c r="J20" s="13" t="s">
        <v>306</v>
      </c>
      <c r="K20" s="13" t="s">
        <v>471</v>
      </c>
    </row>
    <row r="21" spans="1:11" x14ac:dyDescent="0.25">
      <c r="A21" s="13">
        <v>19</v>
      </c>
      <c r="B21" s="13" t="s">
        <v>588</v>
      </c>
      <c r="C21" s="26" t="s">
        <v>274</v>
      </c>
      <c r="D21" s="27" t="s">
        <v>275</v>
      </c>
      <c r="E21" s="28">
        <v>117.756610526478</v>
      </c>
      <c r="F21" s="20">
        <v>1.6415089959780573</v>
      </c>
      <c r="G21" s="25" t="s">
        <v>470</v>
      </c>
      <c r="H21" s="13" t="s">
        <v>564</v>
      </c>
      <c r="I21" s="13" t="s">
        <v>309</v>
      </c>
      <c r="J21" s="13" t="s">
        <v>308</v>
      </c>
      <c r="K21" s="13" t="s">
        <v>471</v>
      </c>
    </row>
    <row r="22" spans="1:11" ht="30" x14ac:dyDescent="0.25">
      <c r="A22" s="13">
        <v>20</v>
      </c>
      <c r="B22" s="13" t="s">
        <v>585</v>
      </c>
      <c r="C22" s="26" t="s">
        <v>78</v>
      </c>
      <c r="D22" s="27" t="s">
        <v>79</v>
      </c>
      <c r="E22" s="28">
        <v>2.8489233978558777</v>
      </c>
      <c r="F22" s="20">
        <v>1.5832943113862328</v>
      </c>
      <c r="G22" s="25" t="s">
        <v>470</v>
      </c>
      <c r="H22" s="13" t="s">
        <v>564</v>
      </c>
      <c r="I22" s="13" t="s">
        <v>299</v>
      </c>
      <c r="J22" s="13" t="s">
        <v>302</v>
      </c>
      <c r="K22" s="13" t="s">
        <v>471</v>
      </c>
    </row>
    <row r="23" spans="1:11" x14ac:dyDescent="0.25">
      <c r="A23" s="13">
        <v>21</v>
      </c>
      <c r="B23" s="13" t="s">
        <v>597</v>
      </c>
      <c r="C23" s="26" t="s">
        <v>212</v>
      </c>
      <c r="D23" s="27" t="s">
        <v>213</v>
      </c>
      <c r="E23" s="28">
        <v>24.100957557812375</v>
      </c>
      <c r="F23" s="20">
        <v>1.5686260044445215</v>
      </c>
      <c r="G23" s="25" t="s">
        <v>470</v>
      </c>
      <c r="H23" s="29" t="s">
        <v>564</v>
      </c>
      <c r="I23" s="13" t="s">
        <v>297</v>
      </c>
      <c r="J23" s="13" t="s">
        <v>305</v>
      </c>
      <c r="K23" s="13" t="s">
        <v>471</v>
      </c>
    </row>
    <row r="24" spans="1:11" x14ac:dyDescent="0.25">
      <c r="A24" s="13">
        <v>22</v>
      </c>
      <c r="B24" s="13" t="s">
        <v>589</v>
      </c>
      <c r="C24" s="26" t="s">
        <v>208</v>
      </c>
      <c r="D24" s="27" t="s">
        <v>209</v>
      </c>
      <c r="E24" s="28">
        <v>10.41409602259362</v>
      </c>
      <c r="F24" s="20">
        <v>1.473215417704923</v>
      </c>
      <c r="G24" s="25" t="s">
        <v>470</v>
      </c>
      <c r="H24" s="13" t="s">
        <v>564</v>
      </c>
      <c r="I24" s="13" t="s">
        <v>301</v>
      </c>
      <c r="J24" s="13" t="s">
        <v>304</v>
      </c>
      <c r="K24" s="13" t="s">
        <v>471</v>
      </c>
    </row>
    <row r="25" spans="1:11" x14ac:dyDescent="0.25">
      <c r="A25" s="13">
        <v>23</v>
      </c>
      <c r="B25" s="13" t="s">
        <v>583</v>
      </c>
      <c r="C25" s="26" t="s">
        <v>170</v>
      </c>
      <c r="D25" s="27" t="s">
        <v>171</v>
      </c>
      <c r="E25" s="28">
        <v>10.277550223134158</v>
      </c>
      <c r="F25" s="20">
        <v>1.3828852762516213</v>
      </c>
      <c r="G25" s="25" t="s">
        <v>470</v>
      </c>
      <c r="H25" s="13" t="s">
        <v>564</v>
      </c>
      <c r="I25" s="13" t="s">
        <v>301</v>
      </c>
      <c r="J25" s="13" t="s">
        <v>568</v>
      </c>
      <c r="K25" s="13" t="s">
        <v>471</v>
      </c>
    </row>
    <row r="26" spans="1:11" x14ac:dyDescent="0.25">
      <c r="A26" s="13">
        <v>24</v>
      </c>
      <c r="B26" s="13" t="s">
        <v>591</v>
      </c>
      <c r="C26" s="69" t="s">
        <v>52</v>
      </c>
      <c r="D26" s="70" t="s">
        <v>53</v>
      </c>
      <c r="E26" s="83">
        <v>3.4608397991329798</v>
      </c>
      <c r="F26" s="102">
        <v>2.6579489087175046</v>
      </c>
      <c r="G26" s="72" t="s">
        <v>470</v>
      </c>
      <c r="H26" s="84" t="s">
        <v>565</v>
      </c>
      <c r="I26" s="68" t="s">
        <v>292</v>
      </c>
      <c r="J26" s="68" t="s">
        <v>628</v>
      </c>
      <c r="K26" s="13" t="s">
        <v>471</v>
      </c>
    </row>
    <row r="27" spans="1:11" x14ac:dyDescent="0.25">
      <c r="A27" s="68">
        <v>25</v>
      </c>
      <c r="B27" s="68" t="s">
        <v>596</v>
      </c>
      <c r="C27" s="69" t="s">
        <v>258</v>
      </c>
      <c r="D27" s="70" t="s">
        <v>259</v>
      </c>
      <c r="E27" s="83">
        <v>13.322127751714515</v>
      </c>
      <c r="F27" s="102">
        <v>1.7851348085730636</v>
      </c>
      <c r="G27" s="72" t="s">
        <v>470</v>
      </c>
      <c r="H27" s="84" t="s">
        <v>565</v>
      </c>
      <c r="I27" s="68" t="s">
        <v>307</v>
      </c>
      <c r="J27" s="68" t="s">
        <v>629</v>
      </c>
      <c r="K27" s="13" t="s">
        <v>471</v>
      </c>
    </row>
    <row r="28" spans="1:11" x14ac:dyDescent="0.25">
      <c r="A28" s="53">
        <v>26</v>
      </c>
      <c r="B28" s="53" t="s">
        <v>594</v>
      </c>
      <c r="C28" s="59" t="s">
        <v>44</v>
      </c>
      <c r="D28" s="60" t="s">
        <v>45</v>
      </c>
      <c r="E28" s="76">
        <v>9.8031087478629715</v>
      </c>
      <c r="F28" s="54">
        <v>1.4178405021389926</v>
      </c>
      <c r="G28" s="57" t="s">
        <v>470</v>
      </c>
      <c r="H28" s="103" t="s">
        <v>565</v>
      </c>
      <c r="I28" s="53" t="s">
        <v>292</v>
      </c>
      <c r="J28" s="53" t="s">
        <v>630</v>
      </c>
      <c r="K28" s="53" t="s">
        <v>471</v>
      </c>
    </row>
    <row r="29" spans="1:11" x14ac:dyDescent="0.25">
      <c r="A29" s="13">
        <v>27</v>
      </c>
      <c r="B29" s="13" t="s">
        <v>598</v>
      </c>
      <c r="C29" s="69" t="s">
        <v>190</v>
      </c>
      <c r="D29" s="70" t="s">
        <v>191</v>
      </c>
      <c r="E29" s="83">
        <v>14.53609542022326</v>
      </c>
      <c r="F29" s="102">
        <v>0.42659052249486551</v>
      </c>
      <c r="G29" s="72" t="s">
        <v>471</v>
      </c>
      <c r="H29" s="84" t="s">
        <v>564</v>
      </c>
      <c r="I29" s="68" t="s">
        <v>297</v>
      </c>
      <c r="J29" s="68" t="s">
        <v>631</v>
      </c>
      <c r="K29" s="13" t="s">
        <v>471</v>
      </c>
    </row>
    <row r="30" spans="1:11" x14ac:dyDescent="0.25">
      <c r="A30" s="13">
        <v>28</v>
      </c>
      <c r="B30" s="13" t="s">
        <v>590</v>
      </c>
      <c r="C30" s="26" t="s">
        <v>282</v>
      </c>
      <c r="D30" s="27" t="s">
        <v>282</v>
      </c>
      <c r="E30" s="28">
        <v>17.694023183319651</v>
      </c>
      <c r="F30" s="20">
        <v>-0.19569413692616688</v>
      </c>
      <c r="G30" s="25" t="s">
        <v>471</v>
      </c>
      <c r="H30" s="29" t="s">
        <v>564</v>
      </c>
      <c r="I30" s="13" t="s">
        <v>307</v>
      </c>
      <c r="J30" s="13" t="s">
        <v>632</v>
      </c>
      <c r="K30" s="13" t="s">
        <v>471</v>
      </c>
    </row>
    <row r="31" spans="1:11" x14ac:dyDescent="0.25">
      <c r="A31" s="13">
        <v>29</v>
      </c>
      <c r="B31" s="13" t="s">
        <v>593</v>
      </c>
      <c r="C31" s="26" t="s">
        <v>264</v>
      </c>
      <c r="D31" s="27" t="s">
        <v>265</v>
      </c>
      <c r="E31" s="28">
        <v>11.588933458632493</v>
      </c>
      <c r="F31" s="20">
        <v>0.32769959052808134</v>
      </c>
      <c r="G31" s="25" t="s">
        <v>471</v>
      </c>
      <c r="H31" s="29" t="s">
        <v>565</v>
      </c>
      <c r="I31" s="13" t="s">
        <v>307</v>
      </c>
      <c r="J31" s="13" t="s">
        <v>632</v>
      </c>
      <c r="K31" s="13" t="s">
        <v>471</v>
      </c>
    </row>
    <row r="32" spans="1:11" x14ac:dyDescent="0.25">
      <c r="A32" s="13">
        <v>30</v>
      </c>
      <c r="B32" s="13" t="s">
        <v>592</v>
      </c>
      <c r="C32" s="26" t="s">
        <v>260</v>
      </c>
      <c r="D32" s="27" t="s">
        <v>261</v>
      </c>
      <c r="E32" s="28">
        <v>8.8332815423482653</v>
      </c>
      <c r="F32" s="20">
        <v>8.6526836748119923E-2</v>
      </c>
      <c r="G32" s="25" t="s">
        <v>471</v>
      </c>
      <c r="H32" s="29" t="s">
        <v>565</v>
      </c>
      <c r="I32" s="13" t="s">
        <v>307</v>
      </c>
      <c r="J32" s="13" t="s">
        <v>306</v>
      </c>
      <c r="K32" s="13" t="s">
        <v>471</v>
      </c>
    </row>
    <row r="33" spans="3:4" x14ac:dyDescent="0.25">
      <c r="C33" s="26"/>
      <c r="D33" s="27"/>
    </row>
    <row r="34" spans="3:4" x14ac:dyDescent="0.25">
      <c r="C34" s="26"/>
      <c r="D34" s="27"/>
    </row>
    <row r="35" spans="3:4" x14ac:dyDescent="0.25">
      <c r="C35" s="26"/>
      <c r="D35" s="27"/>
    </row>
    <row r="36" spans="3:4" x14ac:dyDescent="0.25">
      <c r="C36" s="26"/>
      <c r="D36" s="27"/>
    </row>
    <row r="37" spans="3:4" x14ac:dyDescent="0.25">
      <c r="C37" s="26"/>
      <c r="D37" s="27"/>
    </row>
    <row r="38" spans="3:4" x14ac:dyDescent="0.25">
      <c r="C38" s="26"/>
      <c r="D38" s="27"/>
    </row>
    <row r="39" spans="3:4" x14ac:dyDescent="0.25">
      <c r="C39" s="26"/>
      <c r="D39" s="27"/>
    </row>
    <row r="40" spans="3:4" x14ac:dyDescent="0.25">
      <c r="C40" s="26"/>
      <c r="D40" s="27"/>
    </row>
    <row r="41" spans="3:4" x14ac:dyDescent="0.25">
      <c r="C41" s="26"/>
      <c r="D41" s="27"/>
    </row>
    <row r="42" spans="3:4" x14ac:dyDescent="0.25">
      <c r="C42" s="26"/>
      <c r="D42" s="27"/>
    </row>
    <row r="43" spans="3:4" x14ac:dyDescent="0.25">
      <c r="C43" s="26"/>
      <c r="D43" s="27"/>
    </row>
    <row r="44" spans="3:4" x14ac:dyDescent="0.25">
      <c r="C44" s="26"/>
      <c r="D44" s="27"/>
    </row>
    <row r="45" spans="3:4" x14ac:dyDescent="0.25">
      <c r="C45" s="26"/>
      <c r="D45" s="27"/>
    </row>
    <row r="46" spans="3:4" x14ac:dyDescent="0.25">
      <c r="C46" s="26"/>
      <c r="D46" s="27"/>
    </row>
    <row r="47" spans="3:4" x14ac:dyDescent="0.25">
      <c r="C47" s="26"/>
      <c r="D47" s="27"/>
    </row>
    <row r="48" spans="3:4" x14ac:dyDescent="0.25">
      <c r="C48" s="26"/>
      <c r="D48" s="27"/>
    </row>
    <row r="49" spans="3:4" x14ac:dyDescent="0.25">
      <c r="C49" s="26"/>
      <c r="D49" s="27"/>
    </row>
    <row r="50" spans="3:4" x14ac:dyDescent="0.25">
      <c r="C50" s="26"/>
      <c r="D50" s="27"/>
    </row>
    <row r="51" spans="3:4" x14ac:dyDescent="0.25">
      <c r="C51" s="26"/>
      <c r="D51" s="27"/>
    </row>
    <row r="52" spans="3:4" x14ac:dyDescent="0.25">
      <c r="C52" s="26"/>
      <c r="D52" s="27"/>
    </row>
    <row r="53" spans="3:4" x14ac:dyDescent="0.25">
      <c r="C53" s="26"/>
      <c r="D53" s="27"/>
    </row>
    <row r="54" spans="3:4" x14ac:dyDescent="0.25">
      <c r="C54" s="26"/>
      <c r="D54" s="27"/>
    </row>
    <row r="55" spans="3:4" x14ac:dyDescent="0.25">
      <c r="C55" s="26"/>
      <c r="D55" s="27"/>
    </row>
    <row r="56" spans="3:4" x14ac:dyDescent="0.25">
      <c r="C56" s="26"/>
      <c r="D56" s="27"/>
    </row>
    <row r="57" spans="3:4" x14ac:dyDescent="0.25">
      <c r="C57" s="26"/>
      <c r="D57" s="27"/>
    </row>
    <row r="58" spans="3:4" x14ac:dyDescent="0.25">
      <c r="C58" s="26"/>
      <c r="D58" s="27"/>
    </row>
    <row r="59" spans="3:4" x14ac:dyDescent="0.25">
      <c r="C59" s="26"/>
      <c r="D59" s="27"/>
    </row>
    <row r="60" spans="3:4" x14ac:dyDescent="0.25">
      <c r="C60" s="26"/>
      <c r="D60" s="27"/>
    </row>
    <row r="61" spans="3:4" x14ac:dyDescent="0.25">
      <c r="C61" s="26"/>
      <c r="D61" s="27"/>
    </row>
    <row r="62" spans="3:4" x14ac:dyDescent="0.25">
      <c r="C62" s="26"/>
      <c r="D62" s="27"/>
    </row>
    <row r="63" spans="3:4" x14ac:dyDescent="0.25">
      <c r="C63" s="26"/>
      <c r="D63" s="27"/>
    </row>
    <row r="64" spans="3:4" x14ac:dyDescent="0.25">
      <c r="C64" s="26"/>
      <c r="D64" s="27"/>
    </row>
    <row r="65" spans="3:4" x14ac:dyDescent="0.25">
      <c r="C65" s="26"/>
      <c r="D65" s="27"/>
    </row>
    <row r="66" spans="3:4" x14ac:dyDescent="0.25">
      <c r="C66" s="26"/>
      <c r="D66" s="27"/>
    </row>
    <row r="67" spans="3:4" x14ac:dyDescent="0.25">
      <c r="C67" s="26"/>
      <c r="D67" s="27"/>
    </row>
    <row r="68" spans="3:4" x14ac:dyDescent="0.25">
      <c r="C68" s="26"/>
      <c r="D68" s="27"/>
    </row>
    <row r="69" spans="3:4" x14ac:dyDescent="0.25">
      <c r="C69" s="26"/>
      <c r="D69" s="27"/>
    </row>
    <row r="70" spans="3:4" x14ac:dyDescent="0.25">
      <c r="C70" s="26"/>
      <c r="D70" s="27"/>
    </row>
    <row r="71" spans="3:4" x14ac:dyDescent="0.25">
      <c r="C71" s="26"/>
      <c r="D71" s="27"/>
    </row>
    <row r="72" spans="3:4" x14ac:dyDescent="0.25">
      <c r="C72" s="26"/>
      <c r="D72" s="27"/>
    </row>
    <row r="73" spans="3:4" x14ac:dyDescent="0.25">
      <c r="C73" s="26"/>
      <c r="D73" s="27"/>
    </row>
    <row r="74" spans="3:4" x14ac:dyDescent="0.25">
      <c r="C74" s="26"/>
      <c r="D74" s="27"/>
    </row>
    <row r="75" spans="3:4" x14ac:dyDescent="0.25">
      <c r="C75" s="26"/>
      <c r="D75" s="27"/>
    </row>
    <row r="76" spans="3:4" x14ac:dyDescent="0.25">
      <c r="C76" s="26"/>
      <c r="D76" s="27"/>
    </row>
    <row r="77" spans="3:4" x14ac:dyDescent="0.25">
      <c r="C77" s="26"/>
      <c r="D77" s="27"/>
    </row>
    <row r="78" spans="3:4" x14ac:dyDescent="0.25">
      <c r="C78" s="26"/>
      <c r="D78" s="27"/>
    </row>
    <row r="79" spans="3:4" x14ac:dyDescent="0.25">
      <c r="C79" s="26"/>
      <c r="D79" s="27"/>
    </row>
    <row r="80" spans="3:4" x14ac:dyDescent="0.25">
      <c r="C80" s="26"/>
      <c r="D80" s="27"/>
    </row>
    <row r="81" spans="3:4" x14ac:dyDescent="0.25">
      <c r="C81" s="26"/>
      <c r="D81" s="27"/>
    </row>
    <row r="82" spans="3:4" x14ac:dyDescent="0.25">
      <c r="C82" s="26"/>
      <c r="D82" s="27"/>
    </row>
    <row r="83" spans="3:4" x14ac:dyDescent="0.25">
      <c r="C83" s="26"/>
      <c r="D83" s="27"/>
    </row>
    <row r="84" spans="3:4" x14ac:dyDescent="0.25">
      <c r="C84" s="26"/>
      <c r="D84" s="27"/>
    </row>
    <row r="85" spans="3:4" x14ac:dyDescent="0.25">
      <c r="C85" s="26"/>
      <c r="D85" s="27"/>
    </row>
    <row r="86" spans="3:4" x14ac:dyDescent="0.25">
      <c r="C86" s="26"/>
      <c r="D86" s="27"/>
    </row>
    <row r="87" spans="3:4" x14ac:dyDescent="0.25">
      <c r="C87" s="26"/>
      <c r="D87" s="27"/>
    </row>
    <row r="88" spans="3:4" x14ac:dyDescent="0.25">
      <c r="C88" s="26"/>
      <c r="D88" s="27"/>
    </row>
    <row r="89" spans="3:4" x14ac:dyDescent="0.25">
      <c r="C89" s="26"/>
      <c r="D89" s="27"/>
    </row>
    <row r="90" spans="3:4" x14ac:dyDescent="0.25">
      <c r="C90" s="26"/>
      <c r="D90" s="27"/>
    </row>
    <row r="91" spans="3:4" x14ac:dyDescent="0.25">
      <c r="C91" s="26"/>
      <c r="D91" s="27"/>
    </row>
    <row r="92" spans="3:4" x14ac:dyDescent="0.25">
      <c r="C92" s="26"/>
      <c r="D92" s="27"/>
    </row>
    <row r="93" spans="3:4" x14ac:dyDescent="0.25">
      <c r="C93" s="26"/>
      <c r="D93" s="27"/>
    </row>
    <row r="94" spans="3:4" x14ac:dyDescent="0.25">
      <c r="C94" s="26"/>
      <c r="D94" s="27"/>
    </row>
    <row r="95" spans="3:4" x14ac:dyDescent="0.25">
      <c r="C95" s="26"/>
      <c r="D95" s="27"/>
    </row>
    <row r="96" spans="3:4" x14ac:dyDescent="0.25">
      <c r="C96" s="26"/>
      <c r="D96" s="27"/>
    </row>
    <row r="97" spans="3:4" x14ac:dyDescent="0.25">
      <c r="C97" s="26"/>
      <c r="D97" s="27"/>
    </row>
    <row r="98" spans="3:4" x14ac:dyDescent="0.25">
      <c r="C98" s="26"/>
      <c r="D98" s="27"/>
    </row>
    <row r="99" spans="3:4" x14ac:dyDescent="0.25">
      <c r="C99" s="26"/>
      <c r="D99" s="27"/>
    </row>
    <row r="100" spans="3:4" x14ac:dyDescent="0.25">
      <c r="C100" s="26"/>
      <c r="D100" s="27"/>
    </row>
    <row r="101" spans="3:4" x14ac:dyDescent="0.25">
      <c r="C101" s="26"/>
      <c r="D101" s="27"/>
    </row>
    <row r="102" spans="3:4" x14ac:dyDescent="0.25">
      <c r="C102" s="26"/>
      <c r="D102" s="27"/>
    </row>
    <row r="103" spans="3:4" x14ac:dyDescent="0.25">
      <c r="C103" s="26"/>
      <c r="D103" s="27"/>
    </row>
    <row r="104" spans="3:4" x14ac:dyDescent="0.25">
      <c r="C104" s="26"/>
      <c r="D104" s="27"/>
    </row>
    <row r="105" spans="3:4" x14ac:dyDescent="0.25">
      <c r="C105" s="26"/>
      <c r="D105" s="27"/>
    </row>
    <row r="106" spans="3:4" x14ac:dyDescent="0.25">
      <c r="C106" s="26"/>
      <c r="D106" s="27"/>
    </row>
    <row r="107" spans="3:4" x14ac:dyDescent="0.25">
      <c r="C107" s="26"/>
      <c r="D107" s="27"/>
    </row>
    <row r="108" spans="3:4" x14ac:dyDescent="0.25">
      <c r="C108" s="26"/>
      <c r="D108" s="27"/>
    </row>
    <row r="109" spans="3:4" x14ac:dyDescent="0.25">
      <c r="C109" s="26"/>
      <c r="D109" s="27"/>
    </row>
    <row r="110" spans="3:4" x14ac:dyDescent="0.25">
      <c r="C110" s="26"/>
      <c r="D110" s="27"/>
    </row>
    <row r="111" spans="3:4" x14ac:dyDescent="0.25">
      <c r="C111" s="26"/>
      <c r="D111" s="27"/>
    </row>
    <row r="112" spans="3:4" x14ac:dyDescent="0.25">
      <c r="C112" s="26"/>
      <c r="D112" s="27"/>
    </row>
    <row r="113" spans="3:4" x14ac:dyDescent="0.25">
      <c r="C113" s="26"/>
      <c r="D113" s="27"/>
    </row>
    <row r="114" spans="3:4" x14ac:dyDescent="0.25">
      <c r="C114" s="26"/>
      <c r="D114" s="27"/>
    </row>
    <row r="115" spans="3:4" x14ac:dyDescent="0.25">
      <c r="C115" s="26"/>
      <c r="D115" s="27"/>
    </row>
    <row r="116" spans="3:4" x14ac:dyDescent="0.25">
      <c r="C116" s="26"/>
      <c r="D116" s="27"/>
    </row>
    <row r="117" spans="3:4" x14ac:dyDescent="0.25">
      <c r="C117" s="26"/>
      <c r="D117" s="27"/>
    </row>
    <row r="118" spans="3:4" x14ac:dyDescent="0.25">
      <c r="C118" s="26"/>
      <c r="D118" s="27"/>
    </row>
    <row r="119" spans="3:4" x14ac:dyDescent="0.25">
      <c r="C119" s="26"/>
      <c r="D119" s="27"/>
    </row>
    <row r="120" spans="3:4" x14ac:dyDescent="0.25">
      <c r="C120" s="26"/>
      <c r="D120" s="27"/>
    </row>
    <row r="121" spans="3:4" x14ac:dyDescent="0.25">
      <c r="C121" s="26"/>
      <c r="D121" s="27"/>
    </row>
    <row r="122" spans="3:4" x14ac:dyDescent="0.25">
      <c r="C122" s="26"/>
      <c r="D122" s="27"/>
    </row>
    <row r="123" spans="3:4" x14ac:dyDescent="0.25">
      <c r="C123" s="26"/>
      <c r="D123" s="27"/>
    </row>
    <row r="124" spans="3:4" x14ac:dyDescent="0.25">
      <c r="C124" s="26"/>
      <c r="D124" s="27"/>
    </row>
    <row r="125" spans="3:4" x14ac:dyDescent="0.25">
      <c r="C125" s="26"/>
      <c r="D125" s="27"/>
    </row>
    <row r="126" spans="3:4" x14ac:dyDescent="0.25">
      <c r="C126" s="26"/>
      <c r="D126" s="27"/>
    </row>
    <row r="127" spans="3:4" x14ac:dyDescent="0.25">
      <c r="C127" s="26"/>
      <c r="D127" s="27"/>
    </row>
    <row r="128" spans="3:4" x14ac:dyDescent="0.25">
      <c r="C128" s="26"/>
      <c r="D128" s="27"/>
    </row>
    <row r="129" spans="3:4" x14ac:dyDescent="0.25">
      <c r="C129" s="26"/>
      <c r="D129" s="27"/>
    </row>
    <row r="130" spans="3:4" x14ac:dyDescent="0.25">
      <c r="C130" s="26"/>
      <c r="D130" s="27"/>
    </row>
    <row r="131" spans="3:4" x14ac:dyDescent="0.25">
      <c r="C131" s="26"/>
      <c r="D131" s="27"/>
    </row>
    <row r="132" spans="3:4" x14ac:dyDescent="0.25">
      <c r="C132" s="26"/>
      <c r="D132" s="27"/>
    </row>
    <row r="133" spans="3:4" x14ac:dyDescent="0.25">
      <c r="C133" s="26"/>
      <c r="D133" s="27"/>
    </row>
    <row r="134" spans="3:4" x14ac:dyDescent="0.25">
      <c r="C134" s="26"/>
      <c r="D134" s="27"/>
    </row>
    <row r="135" spans="3:4" x14ac:dyDescent="0.25">
      <c r="C135" s="26"/>
      <c r="D135" s="27"/>
    </row>
    <row r="136" spans="3:4" x14ac:dyDescent="0.25">
      <c r="C136" s="26"/>
      <c r="D136" s="27"/>
    </row>
    <row r="137" spans="3:4" x14ac:dyDescent="0.25">
      <c r="C137" s="26"/>
      <c r="D137" s="27"/>
    </row>
    <row r="138" spans="3:4" x14ac:dyDescent="0.25">
      <c r="C138" s="26"/>
      <c r="D138" s="27"/>
    </row>
    <row r="139" spans="3:4" x14ac:dyDescent="0.25">
      <c r="C139" s="26"/>
      <c r="D139" s="27"/>
    </row>
    <row r="140" spans="3:4" x14ac:dyDescent="0.25">
      <c r="C140" s="26"/>
      <c r="D140" s="27"/>
    </row>
    <row r="141" spans="3:4" x14ac:dyDescent="0.25">
      <c r="C141" s="26"/>
      <c r="D141" s="27"/>
    </row>
    <row r="142" spans="3:4" x14ac:dyDescent="0.25">
      <c r="C142" s="26"/>
      <c r="D142" s="27"/>
    </row>
    <row r="143" spans="3:4" x14ac:dyDescent="0.25">
      <c r="C143" s="26"/>
      <c r="D143" s="27"/>
    </row>
    <row r="144" spans="3:4" x14ac:dyDescent="0.25">
      <c r="C144" s="26"/>
      <c r="D144" s="27"/>
    </row>
    <row r="145" spans="3:4" x14ac:dyDescent="0.25">
      <c r="C145" s="26"/>
      <c r="D145" s="27"/>
    </row>
    <row r="146" spans="3:4" x14ac:dyDescent="0.25">
      <c r="C146" s="26"/>
      <c r="D146" s="27"/>
    </row>
    <row r="147" spans="3:4" x14ac:dyDescent="0.25">
      <c r="C147" s="26"/>
      <c r="D147" s="27"/>
    </row>
    <row r="148" spans="3:4" x14ac:dyDescent="0.25">
      <c r="C148" s="26"/>
      <c r="D148" s="27"/>
    </row>
  </sheetData>
  <autoFilter ref="A2:K32"/>
  <sortState ref="A3:J32">
    <sortCondition ref="G3:G32"/>
    <sortCondition descending="1" ref="H3:H32"/>
    <sortCondition descending="1" ref="F3:F32"/>
  </sortState>
  <conditionalFormatting sqref="F3:F32">
    <cfRule type="cellIs" dxfId="11" priority="1" operator="lessThan">
      <formula>1</formula>
    </cfRule>
    <cfRule type="cellIs" dxfId="10" priority="2" operator="greaterThan">
      <formula>1</formula>
    </cfRule>
  </conditionalFormatting>
  <conditionalFormatting sqref="F3:F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{3BB81135-8452-4F80-AE00-2D6A5A1E0741}</x14:id>
        </ext>
      </extLst>
    </cfRule>
  </conditionalFormatting>
  <pageMargins left="0.7" right="0.7" top="0.75" bottom="0.75" header="0.3" footer="0.3"/>
  <pageSetup paperSize="9" scale="64" fitToHeight="0" orientation="landscape" r:id="rId1"/>
  <headerFooter>
    <oddFooter>&amp;LPríloha č. 1_2a Úzke miesta&amp;R&amp;P l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B81135-8452-4F80-AE00-2D6A5A1E07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F3:F32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4"/>
  <sheetViews>
    <sheetView zoomScaleNormal="100" workbookViewId="0">
      <selection activeCell="D3" sqref="D3"/>
    </sheetView>
  </sheetViews>
  <sheetFormatPr defaultRowHeight="15" x14ac:dyDescent="0.25"/>
  <cols>
    <col min="1" max="1" width="9.140625" style="14"/>
    <col min="2" max="2" width="9.42578125" style="14" bestFit="1" customWidth="1"/>
    <col min="3" max="3" width="5.140625" style="14" bestFit="1" customWidth="1"/>
    <col min="4" max="4" width="36.5703125" style="31" bestFit="1" customWidth="1"/>
    <col min="5" max="5" width="7.7109375" style="39" customWidth="1"/>
    <col min="6" max="6" width="11.28515625" style="14" customWidth="1"/>
    <col min="7" max="8" width="12.85546875" style="14" customWidth="1"/>
    <col min="9" max="9" width="11.85546875" style="7" bestFit="1" customWidth="1"/>
    <col min="11" max="11" width="14" customWidth="1"/>
    <col min="12" max="12" width="15" customWidth="1"/>
  </cols>
  <sheetData>
    <row r="1" spans="1:12" s="30" customFormat="1" ht="18.75" x14ac:dyDescent="0.25">
      <c r="A1" s="82" t="s">
        <v>619</v>
      </c>
      <c r="E1" s="37"/>
    </row>
    <row r="2" spans="1:12" ht="51" customHeight="1" x14ac:dyDescent="0.25">
      <c r="A2" s="434" t="s">
        <v>288</v>
      </c>
      <c r="B2" s="435" t="s">
        <v>383</v>
      </c>
      <c r="C2" s="435" t="s">
        <v>335</v>
      </c>
      <c r="D2" s="435" t="s">
        <v>337</v>
      </c>
      <c r="E2" s="21" t="s">
        <v>562</v>
      </c>
      <c r="F2" s="434" t="s">
        <v>600</v>
      </c>
      <c r="G2" s="434" t="s">
        <v>554</v>
      </c>
      <c r="H2" s="434" t="s">
        <v>1579</v>
      </c>
      <c r="I2" s="435" t="s">
        <v>555</v>
      </c>
      <c r="J2" s="435" t="s">
        <v>556</v>
      </c>
      <c r="K2" s="435" t="s">
        <v>566</v>
      </c>
      <c r="L2" s="435" t="s">
        <v>1477</v>
      </c>
    </row>
    <row r="3" spans="1:12" x14ac:dyDescent="0.25">
      <c r="A3" s="436">
        <v>1</v>
      </c>
      <c r="B3" s="437" t="s">
        <v>578</v>
      </c>
      <c r="C3" s="436" t="s">
        <v>100</v>
      </c>
      <c r="D3" s="436" t="s">
        <v>101</v>
      </c>
      <c r="E3" s="438" t="s">
        <v>561</v>
      </c>
      <c r="F3" s="439">
        <v>14.708694158252621</v>
      </c>
      <c r="G3" s="440">
        <v>6.6972778580542167</v>
      </c>
      <c r="H3" s="439">
        <v>1.8694335919834153</v>
      </c>
      <c r="I3" s="439" t="s">
        <v>470</v>
      </c>
      <c r="J3" s="439" t="s">
        <v>470</v>
      </c>
      <c r="K3" s="439" t="s">
        <v>599</v>
      </c>
      <c r="L3" s="439" t="s">
        <v>1473</v>
      </c>
    </row>
    <row r="4" spans="1:12" x14ac:dyDescent="0.25">
      <c r="A4" s="436">
        <v>2</v>
      </c>
      <c r="B4" s="437" t="s">
        <v>575</v>
      </c>
      <c r="C4" s="436" t="s">
        <v>98</v>
      </c>
      <c r="D4" s="436" t="s">
        <v>99</v>
      </c>
      <c r="E4" s="438" t="s">
        <v>561</v>
      </c>
      <c r="F4" s="439">
        <v>6.0080454382739763</v>
      </c>
      <c r="G4" s="439">
        <v>6.6289971381775503</v>
      </c>
      <c r="H4" s="439">
        <v>2.5992702759628514</v>
      </c>
      <c r="I4" s="439" t="s">
        <v>470</v>
      </c>
      <c r="J4" s="439" t="s">
        <v>470</v>
      </c>
      <c r="K4" s="439" t="s">
        <v>599</v>
      </c>
      <c r="L4" s="439" t="s">
        <v>1473</v>
      </c>
    </row>
    <row r="5" spans="1:12" x14ac:dyDescent="0.25">
      <c r="A5" s="436">
        <v>3</v>
      </c>
      <c r="B5" s="437" t="s">
        <v>724</v>
      </c>
      <c r="C5" s="436" t="s">
        <v>256</v>
      </c>
      <c r="D5" s="436" t="s">
        <v>257</v>
      </c>
      <c r="E5" s="438" t="s">
        <v>561</v>
      </c>
      <c r="F5" s="439">
        <v>5.2515312738994604</v>
      </c>
      <c r="G5" s="439">
        <v>4.5382316092571218</v>
      </c>
      <c r="H5" s="439">
        <v>1.9175288648061337</v>
      </c>
      <c r="I5" s="439" t="s">
        <v>470</v>
      </c>
      <c r="J5" s="439" t="s">
        <v>470</v>
      </c>
      <c r="K5" s="439"/>
      <c r="L5" s="439" t="s">
        <v>1473</v>
      </c>
    </row>
    <row r="6" spans="1:12" x14ac:dyDescent="0.25">
      <c r="A6" s="436">
        <v>4</v>
      </c>
      <c r="B6" s="437" t="s">
        <v>577</v>
      </c>
      <c r="C6" s="436" t="s">
        <v>96</v>
      </c>
      <c r="D6" s="436" t="s">
        <v>97</v>
      </c>
      <c r="E6" s="438" t="s">
        <v>561</v>
      </c>
      <c r="F6" s="439">
        <v>10.051626099417422</v>
      </c>
      <c r="G6" s="439">
        <v>4.4141048612048079</v>
      </c>
      <c r="H6" s="439">
        <v>1.3380691576029267</v>
      </c>
      <c r="I6" s="439" t="s">
        <v>470</v>
      </c>
      <c r="J6" s="439" t="s">
        <v>470</v>
      </c>
      <c r="K6" s="439" t="s">
        <v>599</v>
      </c>
      <c r="L6" s="439" t="s">
        <v>1473</v>
      </c>
    </row>
    <row r="7" spans="1:12" x14ac:dyDescent="0.25">
      <c r="A7" s="436">
        <v>5</v>
      </c>
      <c r="B7" s="437" t="s">
        <v>725</v>
      </c>
      <c r="C7" s="436" t="s">
        <v>102</v>
      </c>
      <c r="D7" s="436" t="s">
        <v>103</v>
      </c>
      <c r="E7" s="438" t="s">
        <v>561</v>
      </c>
      <c r="F7" s="439">
        <v>30.1840493615105</v>
      </c>
      <c r="G7" s="439">
        <v>4.1422876126503043</v>
      </c>
      <c r="H7" s="439">
        <v>2.1366800505734296</v>
      </c>
      <c r="I7" s="439" t="s">
        <v>470</v>
      </c>
      <c r="J7" s="439" t="s">
        <v>470</v>
      </c>
      <c r="K7" s="439"/>
      <c r="L7" s="439" t="s">
        <v>1473</v>
      </c>
    </row>
    <row r="8" spans="1:12" x14ac:dyDescent="0.25">
      <c r="A8" s="436">
        <v>6</v>
      </c>
      <c r="B8" s="437" t="s">
        <v>570</v>
      </c>
      <c r="C8" s="436" t="s">
        <v>120</v>
      </c>
      <c r="D8" s="436" t="s">
        <v>121</v>
      </c>
      <c r="E8" s="438" t="s">
        <v>561</v>
      </c>
      <c r="F8" s="439">
        <v>45.800104089387922</v>
      </c>
      <c r="G8" s="439">
        <v>3.6730203676097295</v>
      </c>
      <c r="H8" s="439">
        <v>0.52485679091885273</v>
      </c>
      <c r="I8" s="439" t="s">
        <v>470</v>
      </c>
      <c r="J8" s="439" t="s">
        <v>471</v>
      </c>
      <c r="K8" s="439" t="s">
        <v>599</v>
      </c>
      <c r="L8" s="439" t="s">
        <v>471</v>
      </c>
    </row>
    <row r="9" spans="1:12" x14ac:dyDescent="0.25">
      <c r="A9" s="436">
        <v>7</v>
      </c>
      <c r="B9" s="437" t="s">
        <v>591</v>
      </c>
      <c r="C9" s="436" t="s">
        <v>52</v>
      </c>
      <c r="D9" s="436" t="s">
        <v>53</v>
      </c>
      <c r="E9" s="438" t="s">
        <v>561</v>
      </c>
      <c r="F9" s="439">
        <v>3.4608397991329798</v>
      </c>
      <c r="G9" s="439">
        <v>2.6579489087175046</v>
      </c>
      <c r="H9" s="439">
        <v>0.6727624831928426</v>
      </c>
      <c r="I9" s="439" t="s">
        <v>470</v>
      </c>
      <c r="J9" s="439" t="s">
        <v>471</v>
      </c>
      <c r="K9" s="439" t="s">
        <v>599</v>
      </c>
      <c r="L9" s="439" t="s">
        <v>471</v>
      </c>
    </row>
    <row r="10" spans="1:12" x14ac:dyDescent="0.25">
      <c r="A10" s="436">
        <v>8</v>
      </c>
      <c r="B10" s="437" t="s">
        <v>726</v>
      </c>
      <c r="C10" s="436" t="s">
        <v>80</v>
      </c>
      <c r="D10" s="436" t="s">
        <v>81</v>
      </c>
      <c r="E10" s="438">
        <v>1</v>
      </c>
      <c r="F10" s="439">
        <v>3.3331984720021599</v>
      </c>
      <c r="G10" s="439">
        <v>2.6157774582246112</v>
      </c>
      <c r="H10" s="439">
        <v>2.6157774582246112</v>
      </c>
      <c r="I10" s="439" t="s">
        <v>470</v>
      </c>
      <c r="J10" s="439" t="s">
        <v>470</v>
      </c>
      <c r="K10" s="439"/>
      <c r="L10" s="439" t="s">
        <v>1473</v>
      </c>
    </row>
    <row r="11" spans="1:12" x14ac:dyDescent="0.25">
      <c r="A11" s="436">
        <v>9</v>
      </c>
      <c r="B11" s="437" t="s">
        <v>727</v>
      </c>
      <c r="C11" s="436" t="s">
        <v>88</v>
      </c>
      <c r="D11" s="436" t="s">
        <v>89</v>
      </c>
      <c r="E11" s="438" t="s">
        <v>561</v>
      </c>
      <c r="F11" s="439">
        <v>5.6760777536274096</v>
      </c>
      <c r="G11" s="439">
        <v>2.4910410624994506</v>
      </c>
      <c r="H11" s="439">
        <v>2.4910410624994506</v>
      </c>
      <c r="I11" s="439" t="s">
        <v>470</v>
      </c>
      <c r="J11" s="439" t="s">
        <v>470</v>
      </c>
      <c r="K11" s="439"/>
      <c r="L11" s="439" t="s">
        <v>471</v>
      </c>
    </row>
    <row r="12" spans="1:12" x14ac:dyDescent="0.25">
      <c r="A12" s="436">
        <v>10</v>
      </c>
      <c r="B12" s="437" t="s">
        <v>728</v>
      </c>
      <c r="C12" s="436" t="s">
        <v>104</v>
      </c>
      <c r="D12" s="436" t="s">
        <v>105</v>
      </c>
      <c r="E12" s="438" t="s">
        <v>561</v>
      </c>
      <c r="F12" s="439">
        <v>19.027805706271721</v>
      </c>
      <c r="G12" s="439">
        <v>2.3947957751992677</v>
      </c>
      <c r="H12" s="439">
        <v>1.0813489384810349</v>
      </c>
      <c r="I12" s="439" t="s">
        <v>470</v>
      </c>
      <c r="J12" s="439" t="s">
        <v>470</v>
      </c>
      <c r="K12" s="439"/>
      <c r="L12" s="439" t="s">
        <v>1473</v>
      </c>
    </row>
    <row r="13" spans="1:12" x14ac:dyDescent="0.25">
      <c r="A13" s="436">
        <v>11</v>
      </c>
      <c r="B13" s="437" t="s">
        <v>595</v>
      </c>
      <c r="C13" s="436" t="s">
        <v>248</v>
      </c>
      <c r="D13" s="436" t="s">
        <v>249</v>
      </c>
      <c r="E13" s="438" t="s">
        <v>561</v>
      </c>
      <c r="F13" s="439">
        <v>11.615730615568991</v>
      </c>
      <c r="G13" s="439">
        <v>2.1113236899730783</v>
      </c>
      <c r="H13" s="439">
        <v>0.79571226047023602</v>
      </c>
      <c r="I13" s="439" t="s">
        <v>470</v>
      </c>
      <c r="J13" s="439" t="s">
        <v>471</v>
      </c>
      <c r="K13" s="439" t="s">
        <v>599</v>
      </c>
      <c r="L13" s="439" t="s">
        <v>471</v>
      </c>
    </row>
    <row r="14" spans="1:12" x14ac:dyDescent="0.25">
      <c r="A14" s="436">
        <v>12</v>
      </c>
      <c r="B14" s="437" t="s">
        <v>729</v>
      </c>
      <c r="C14" s="436" t="s">
        <v>82</v>
      </c>
      <c r="D14" s="436" t="s">
        <v>83</v>
      </c>
      <c r="E14" s="438" t="s">
        <v>561</v>
      </c>
      <c r="F14" s="439">
        <v>4.3496858313782596</v>
      </c>
      <c r="G14" s="439">
        <v>2.1099168312577143</v>
      </c>
      <c r="H14" s="439">
        <v>2.1099168312577143</v>
      </c>
      <c r="I14" s="439" t="s">
        <v>470</v>
      </c>
      <c r="J14" s="439" t="s">
        <v>470</v>
      </c>
      <c r="K14" s="439"/>
      <c r="L14" s="439" t="s">
        <v>1473</v>
      </c>
    </row>
    <row r="15" spans="1:12" x14ac:dyDescent="0.25">
      <c r="A15" s="436">
        <v>13</v>
      </c>
      <c r="B15" s="437" t="s">
        <v>579</v>
      </c>
      <c r="C15" s="436" t="s">
        <v>178</v>
      </c>
      <c r="D15" s="436" t="s">
        <v>179</v>
      </c>
      <c r="E15" s="438" t="s">
        <v>561</v>
      </c>
      <c r="F15" s="439">
        <v>23.517346505130426</v>
      </c>
      <c r="G15" s="439">
        <v>2.0538425665771789</v>
      </c>
      <c r="H15" s="439">
        <v>0.91809233873882101</v>
      </c>
      <c r="I15" s="439" t="s">
        <v>470</v>
      </c>
      <c r="J15" s="439" t="s">
        <v>471</v>
      </c>
      <c r="K15" s="439" t="s">
        <v>599</v>
      </c>
      <c r="L15" s="439" t="s">
        <v>471</v>
      </c>
    </row>
    <row r="16" spans="1:12" x14ac:dyDescent="0.25">
      <c r="A16" s="436">
        <v>14</v>
      </c>
      <c r="B16" s="437" t="s">
        <v>730</v>
      </c>
      <c r="C16" s="436" t="s">
        <v>210</v>
      </c>
      <c r="D16" s="436" t="s">
        <v>211</v>
      </c>
      <c r="E16" s="438" t="s">
        <v>561</v>
      </c>
      <c r="F16" s="439">
        <v>23.010844045206294</v>
      </c>
      <c r="G16" s="439">
        <v>2.0399192429739337</v>
      </c>
      <c r="H16" s="439">
        <v>2.0399192429739337</v>
      </c>
      <c r="I16" s="439" t="s">
        <v>470</v>
      </c>
      <c r="J16" s="439" t="s">
        <v>470</v>
      </c>
      <c r="K16" s="439"/>
      <c r="L16" s="439" t="s">
        <v>471</v>
      </c>
    </row>
    <row r="17" spans="1:12" x14ac:dyDescent="0.25">
      <c r="A17" s="436">
        <v>15</v>
      </c>
      <c r="B17" s="437" t="s">
        <v>731</v>
      </c>
      <c r="C17" s="436" t="s">
        <v>176</v>
      </c>
      <c r="D17" s="436" t="s">
        <v>177</v>
      </c>
      <c r="E17" s="438" t="s">
        <v>561</v>
      </c>
      <c r="F17" s="439">
        <v>3.3905289711033499</v>
      </c>
      <c r="G17" s="439">
        <v>2.0304655136294896</v>
      </c>
      <c r="H17" s="439">
        <v>2.0304655136294896</v>
      </c>
      <c r="I17" s="439" t="s">
        <v>470</v>
      </c>
      <c r="J17" s="439" t="s">
        <v>470</v>
      </c>
      <c r="K17" s="439"/>
      <c r="L17" s="439" t="s">
        <v>1473</v>
      </c>
    </row>
    <row r="18" spans="1:12" x14ac:dyDescent="0.25">
      <c r="A18" s="436">
        <v>16</v>
      </c>
      <c r="B18" s="437" t="s">
        <v>732</v>
      </c>
      <c r="C18" s="436" t="s">
        <v>198</v>
      </c>
      <c r="D18" s="436" t="s">
        <v>199</v>
      </c>
      <c r="E18" s="438" t="s">
        <v>561</v>
      </c>
      <c r="F18" s="439">
        <v>8.4535669213837661</v>
      </c>
      <c r="G18" s="439">
        <v>1.910030891731006</v>
      </c>
      <c r="H18" s="439">
        <v>1.910030891731006</v>
      </c>
      <c r="I18" s="439" t="s">
        <v>470</v>
      </c>
      <c r="J18" s="439" t="s">
        <v>470</v>
      </c>
      <c r="K18" s="439"/>
      <c r="L18" s="439" t="s">
        <v>1473</v>
      </c>
    </row>
    <row r="19" spans="1:12" x14ac:dyDescent="0.25">
      <c r="A19" s="436">
        <v>17</v>
      </c>
      <c r="B19" s="437" t="s">
        <v>596</v>
      </c>
      <c r="C19" s="436" t="s">
        <v>258</v>
      </c>
      <c r="D19" s="436" t="s">
        <v>259</v>
      </c>
      <c r="E19" s="438" t="s">
        <v>561</v>
      </c>
      <c r="F19" s="439">
        <v>13.322127751714515</v>
      </c>
      <c r="G19" s="439">
        <v>1.7851348085730636</v>
      </c>
      <c r="H19" s="439">
        <v>0.98786427646520136</v>
      </c>
      <c r="I19" s="439" t="s">
        <v>470</v>
      </c>
      <c r="J19" s="439" t="s">
        <v>471</v>
      </c>
      <c r="K19" s="439" t="s">
        <v>599</v>
      </c>
      <c r="L19" s="439" t="s">
        <v>1473</v>
      </c>
    </row>
    <row r="20" spans="1:12" x14ac:dyDescent="0.25">
      <c r="A20" s="436">
        <v>18</v>
      </c>
      <c r="B20" s="437" t="s">
        <v>733</v>
      </c>
      <c r="C20" s="436" t="s">
        <v>246</v>
      </c>
      <c r="D20" s="436" t="s">
        <v>247</v>
      </c>
      <c r="E20" s="438" t="s">
        <v>561</v>
      </c>
      <c r="F20" s="439">
        <v>11.235297050067864</v>
      </c>
      <c r="G20" s="439">
        <v>1.6994898100763238</v>
      </c>
      <c r="H20" s="439">
        <v>1.4087811092989886</v>
      </c>
      <c r="I20" s="439" t="s">
        <v>470</v>
      </c>
      <c r="J20" s="439" t="s">
        <v>470</v>
      </c>
      <c r="K20" s="439"/>
      <c r="L20" s="439" t="s">
        <v>471</v>
      </c>
    </row>
    <row r="21" spans="1:12" x14ac:dyDescent="0.25">
      <c r="A21" s="436">
        <v>19</v>
      </c>
      <c r="B21" s="437" t="s">
        <v>734</v>
      </c>
      <c r="C21" s="436" t="s">
        <v>138</v>
      </c>
      <c r="D21" s="436" t="s">
        <v>139</v>
      </c>
      <c r="E21" s="438" t="s">
        <v>561</v>
      </c>
      <c r="F21" s="439">
        <v>14.406347411600413</v>
      </c>
      <c r="G21" s="439">
        <v>1.6111068644494351</v>
      </c>
      <c r="H21" s="439">
        <v>1.2584483524712464</v>
      </c>
      <c r="I21" s="439" t="s">
        <v>470</v>
      </c>
      <c r="J21" s="439" t="s">
        <v>470</v>
      </c>
      <c r="K21" s="439"/>
      <c r="L21" s="439" t="s">
        <v>471</v>
      </c>
    </row>
    <row r="22" spans="1:12" x14ac:dyDescent="0.25">
      <c r="A22" s="436">
        <v>20</v>
      </c>
      <c r="B22" s="437" t="s">
        <v>585</v>
      </c>
      <c r="C22" s="436" t="s">
        <v>78</v>
      </c>
      <c r="D22" s="436" t="s">
        <v>79</v>
      </c>
      <c r="E22" s="438" t="s">
        <v>561</v>
      </c>
      <c r="F22" s="439">
        <v>2.8489233978558777</v>
      </c>
      <c r="G22" s="439">
        <v>1.5832943113862328</v>
      </c>
      <c r="H22" s="439">
        <v>9.4720483652210669E-2</v>
      </c>
      <c r="I22" s="439" t="s">
        <v>470</v>
      </c>
      <c r="J22" s="439" t="s">
        <v>471</v>
      </c>
      <c r="K22" s="439" t="s">
        <v>599</v>
      </c>
      <c r="L22" s="439" t="s">
        <v>471</v>
      </c>
    </row>
    <row r="23" spans="1:12" x14ac:dyDescent="0.25">
      <c r="A23" s="436">
        <v>21</v>
      </c>
      <c r="B23" s="437" t="s">
        <v>597</v>
      </c>
      <c r="C23" s="436" t="s">
        <v>212</v>
      </c>
      <c r="D23" s="436" t="s">
        <v>213</v>
      </c>
      <c r="E23" s="438" t="s">
        <v>561</v>
      </c>
      <c r="F23" s="439">
        <v>24.100957557812375</v>
      </c>
      <c r="G23" s="439">
        <v>1.5686260044445215</v>
      </c>
      <c r="H23" s="439">
        <v>0.1200843528292896</v>
      </c>
      <c r="I23" s="439" t="s">
        <v>470</v>
      </c>
      <c r="J23" s="439" t="s">
        <v>471</v>
      </c>
      <c r="K23" s="439" t="s">
        <v>599</v>
      </c>
      <c r="L23" s="439" t="s">
        <v>471</v>
      </c>
    </row>
    <row r="24" spans="1:12" x14ac:dyDescent="0.25">
      <c r="A24" s="436">
        <v>22</v>
      </c>
      <c r="B24" s="437" t="s">
        <v>735</v>
      </c>
      <c r="C24" s="436" t="s">
        <v>244</v>
      </c>
      <c r="D24" s="436" t="s">
        <v>245</v>
      </c>
      <c r="E24" s="438" t="s">
        <v>561</v>
      </c>
      <c r="F24" s="439">
        <v>7.0829179704292899</v>
      </c>
      <c r="G24" s="439">
        <v>1.5444461979274957</v>
      </c>
      <c r="H24" s="439">
        <v>1.5444461979274957</v>
      </c>
      <c r="I24" s="439" t="s">
        <v>470</v>
      </c>
      <c r="J24" s="439" t="s">
        <v>470</v>
      </c>
      <c r="K24" s="439"/>
      <c r="L24" s="439" t="s">
        <v>471</v>
      </c>
    </row>
    <row r="25" spans="1:12" x14ac:dyDescent="0.25">
      <c r="A25" s="436">
        <v>23</v>
      </c>
      <c r="B25" s="437" t="s">
        <v>736</v>
      </c>
      <c r="C25" s="436" t="s">
        <v>94</v>
      </c>
      <c r="D25" s="436" t="s">
        <v>95</v>
      </c>
      <c r="E25" s="438" t="s">
        <v>561</v>
      </c>
      <c r="F25" s="439">
        <v>8.2654536422224201</v>
      </c>
      <c r="G25" s="439">
        <v>1.4281131393369204</v>
      </c>
      <c r="H25" s="439">
        <v>0.97953404312562975</v>
      </c>
      <c r="I25" s="439" t="s">
        <v>470</v>
      </c>
      <c r="J25" s="439" t="s">
        <v>471</v>
      </c>
      <c r="K25" s="439"/>
      <c r="L25" s="439" t="s">
        <v>1473</v>
      </c>
    </row>
    <row r="26" spans="1:12" x14ac:dyDescent="0.25">
      <c r="A26" s="436">
        <v>24</v>
      </c>
      <c r="B26" s="437" t="s">
        <v>594</v>
      </c>
      <c r="C26" s="436" t="s">
        <v>44</v>
      </c>
      <c r="D26" s="436" t="s">
        <v>45</v>
      </c>
      <c r="E26" s="438" t="s">
        <v>561</v>
      </c>
      <c r="F26" s="439">
        <v>9.8031087478629715</v>
      </c>
      <c r="G26" s="439">
        <v>1.4178405021389926</v>
      </c>
      <c r="H26" s="439">
        <v>0.33919652557817409</v>
      </c>
      <c r="I26" s="439" t="s">
        <v>470</v>
      </c>
      <c r="J26" s="439" t="s">
        <v>471</v>
      </c>
      <c r="K26" s="439" t="s">
        <v>599</v>
      </c>
      <c r="L26" s="439" t="s">
        <v>471</v>
      </c>
    </row>
    <row r="27" spans="1:12" x14ac:dyDescent="0.25">
      <c r="A27" s="436">
        <v>25</v>
      </c>
      <c r="B27" s="437" t="s">
        <v>583</v>
      </c>
      <c r="C27" s="436" t="s">
        <v>170</v>
      </c>
      <c r="D27" s="436" t="s">
        <v>171</v>
      </c>
      <c r="E27" s="438" t="s">
        <v>561</v>
      </c>
      <c r="F27" s="439">
        <v>10.277550223134158</v>
      </c>
      <c r="G27" s="439">
        <v>1.3828852762516213</v>
      </c>
      <c r="H27" s="439">
        <v>-0.20070383822215579</v>
      </c>
      <c r="I27" s="439" t="s">
        <v>470</v>
      </c>
      <c r="J27" s="439" t="s">
        <v>471</v>
      </c>
      <c r="K27" s="439" t="s">
        <v>599</v>
      </c>
      <c r="L27" s="439" t="s">
        <v>471</v>
      </c>
    </row>
    <row r="28" spans="1:12" x14ac:dyDescent="0.25">
      <c r="A28" s="436">
        <v>26</v>
      </c>
      <c r="B28" s="437" t="s">
        <v>737</v>
      </c>
      <c r="C28" s="436" t="s">
        <v>186</v>
      </c>
      <c r="D28" s="436" t="s">
        <v>187</v>
      </c>
      <c r="E28" s="438" t="s">
        <v>561</v>
      </c>
      <c r="F28" s="439">
        <v>12.138224245206706</v>
      </c>
      <c r="G28" s="439">
        <v>1.2877403479840366</v>
      </c>
      <c r="H28" s="439">
        <v>0.75072978615112662</v>
      </c>
      <c r="I28" s="439" t="s">
        <v>470</v>
      </c>
      <c r="J28" s="439" t="s">
        <v>471</v>
      </c>
      <c r="K28" s="439"/>
      <c r="L28" s="439" t="s">
        <v>471</v>
      </c>
    </row>
    <row r="29" spans="1:12" x14ac:dyDescent="0.25">
      <c r="A29" s="436">
        <v>27</v>
      </c>
      <c r="B29" s="437" t="s">
        <v>738</v>
      </c>
      <c r="C29" s="436" t="s">
        <v>196</v>
      </c>
      <c r="D29" s="436" t="s">
        <v>197</v>
      </c>
      <c r="E29" s="438">
        <v>1</v>
      </c>
      <c r="F29" s="439">
        <v>26.890352002307853</v>
      </c>
      <c r="G29" s="439">
        <v>1.2868823241483345</v>
      </c>
      <c r="H29" s="439">
        <v>1.2868823241483345</v>
      </c>
      <c r="I29" s="439" t="s">
        <v>470</v>
      </c>
      <c r="J29" s="439" t="s">
        <v>470</v>
      </c>
      <c r="K29" s="439"/>
      <c r="L29" s="439" t="s">
        <v>471</v>
      </c>
    </row>
    <row r="30" spans="1:12" x14ac:dyDescent="0.25">
      <c r="A30" s="436">
        <v>28</v>
      </c>
      <c r="B30" s="437" t="s">
        <v>739</v>
      </c>
      <c r="C30" s="436" t="s">
        <v>236</v>
      </c>
      <c r="D30" s="436" t="s">
        <v>237</v>
      </c>
      <c r="E30" s="441">
        <v>1</v>
      </c>
      <c r="F30" s="439">
        <v>32.261725700733123</v>
      </c>
      <c r="G30" s="439">
        <v>1.2374658324439456</v>
      </c>
      <c r="H30" s="439">
        <v>1.2374658324439456</v>
      </c>
      <c r="I30" s="439" t="s">
        <v>470</v>
      </c>
      <c r="J30" s="439" t="s">
        <v>470</v>
      </c>
      <c r="K30" s="439"/>
      <c r="L30" s="439" t="s">
        <v>1473</v>
      </c>
    </row>
    <row r="31" spans="1:12" x14ac:dyDescent="0.25">
      <c r="A31" s="436">
        <v>29</v>
      </c>
      <c r="B31" s="437" t="s">
        <v>740</v>
      </c>
      <c r="C31" s="436" t="s">
        <v>274</v>
      </c>
      <c r="D31" s="436" t="s">
        <v>275</v>
      </c>
      <c r="E31" s="441">
        <v>1</v>
      </c>
      <c r="F31" s="439">
        <v>6.3453988894487461</v>
      </c>
      <c r="G31" s="439">
        <v>1.2199768426511353</v>
      </c>
      <c r="H31" s="439">
        <v>1.2199768426511353</v>
      </c>
      <c r="I31" s="439" t="s">
        <v>470</v>
      </c>
      <c r="J31" s="439" t="s">
        <v>470</v>
      </c>
      <c r="K31" s="439"/>
      <c r="L31" s="439" t="s">
        <v>471</v>
      </c>
    </row>
    <row r="32" spans="1:12" x14ac:dyDescent="0.25">
      <c r="A32" s="436">
        <v>30</v>
      </c>
      <c r="B32" s="437" t="s">
        <v>741</v>
      </c>
      <c r="C32" s="436" t="s">
        <v>202</v>
      </c>
      <c r="D32" s="436" t="s">
        <v>203</v>
      </c>
      <c r="E32" s="438" t="s">
        <v>561</v>
      </c>
      <c r="F32" s="439">
        <v>5.7435430533876506</v>
      </c>
      <c r="G32" s="439">
        <v>1.1859444696108945</v>
      </c>
      <c r="H32" s="439">
        <v>1.1859444696108945</v>
      </c>
      <c r="I32" s="439" t="s">
        <v>470</v>
      </c>
      <c r="J32" s="439" t="s">
        <v>470</v>
      </c>
      <c r="K32" s="439"/>
      <c r="L32" s="439" t="s">
        <v>471</v>
      </c>
    </row>
    <row r="33" spans="1:12" x14ac:dyDescent="0.25">
      <c r="A33" s="436">
        <v>31</v>
      </c>
      <c r="B33" s="437" t="s">
        <v>742</v>
      </c>
      <c r="C33" s="436" t="s">
        <v>206</v>
      </c>
      <c r="D33" s="436" t="s">
        <v>207</v>
      </c>
      <c r="E33" s="441">
        <v>1</v>
      </c>
      <c r="F33" s="439">
        <v>8.4599068681005924</v>
      </c>
      <c r="G33" s="439">
        <v>1.1852478332715914</v>
      </c>
      <c r="H33" s="439">
        <v>1.1852478332715914</v>
      </c>
      <c r="I33" s="439" t="s">
        <v>470</v>
      </c>
      <c r="J33" s="439" t="s">
        <v>470</v>
      </c>
      <c r="K33" s="439"/>
      <c r="L33" s="439" t="s">
        <v>471</v>
      </c>
    </row>
    <row r="34" spans="1:12" x14ac:dyDescent="0.25">
      <c r="A34" s="436">
        <v>32</v>
      </c>
      <c r="B34" s="437" t="s">
        <v>743</v>
      </c>
      <c r="C34" s="436" t="s">
        <v>281</v>
      </c>
      <c r="D34" s="436" t="s">
        <v>281</v>
      </c>
      <c r="E34" s="438" t="s">
        <v>561</v>
      </c>
      <c r="F34" s="439">
        <v>28.925204522705695</v>
      </c>
      <c r="G34" s="439">
        <v>1.0495436557003166</v>
      </c>
      <c r="H34" s="439">
        <v>1.0495436557003166</v>
      </c>
      <c r="I34" s="439" t="s">
        <v>470</v>
      </c>
      <c r="J34" s="439" t="s">
        <v>470</v>
      </c>
      <c r="K34" s="439"/>
      <c r="L34" s="439" t="s">
        <v>471</v>
      </c>
    </row>
    <row r="35" spans="1:12" x14ac:dyDescent="0.25">
      <c r="A35" s="436">
        <v>33</v>
      </c>
      <c r="B35" s="437" t="s">
        <v>744</v>
      </c>
      <c r="C35" s="437" t="s">
        <v>232</v>
      </c>
      <c r="D35" s="437" t="s">
        <v>233</v>
      </c>
      <c r="E35" s="442" t="s">
        <v>561</v>
      </c>
      <c r="F35" s="443">
        <v>5.7543381298692982</v>
      </c>
      <c r="G35" s="439">
        <v>1.0247045692833443</v>
      </c>
      <c r="H35" s="439">
        <v>1.0247045692833443</v>
      </c>
      <c r="I35" s="443" t="s">
        <v>470</v>
      </c>
      <c r="J35" s="443" t="s">
        <v>470</v>
      </c>
      <c r="K35" s="439"/>
      <c r="L35" s="439" t="s">
        <v>471</v>
      </c>
    </row>
    <row r="36" spans="1:12" x14ac:dyDescent="0.25">
      <c r="A36" s="444">
        <v>34</v>
      </c>
      <c r="B36" s="444" t="s">
        <v>745</v>
      </c>
      <c r="C36" s="444" t="s">
        <v>66</v>
      </c>
      <c r="D36" s="444" t="s">
        <v>67</v>
      </c>
      <c r="E36" s="445">
        <v>1</v>
      </c>
      <c r="F36" s="446">
        <v>38.115427809735813</v>
      </c>
      <c r="G36" s="446">
        <v>1.0143405239662366</v>
      </c>
      <c r="H36" s="446">
        <v>1.0143405239662366</v>
      </c>
      <c r="I36" s="446" t="s">
        <v>470</v>
      </c>
      <c r="J36" s="446" t="s">
        <v>470</v>
      </c>
      <c r="K36" s="446"/>
      <c r="L36" s="446" t="s">
        <v>1473</v>
      </c>
    </row>
    <row r="37" spans="1:12" x14ac:dyDescent="0.25">
      <c r="A37" s="436">
        <v>35</v>
      </c>
      <c r="B37" s="437" t="s">
        <v>746</v>
      </c>
      <c r="C37" s="436" t="s">
        <v>112</v>
      </c>
      <c r="D37" s="436" t="s">
        <v>113</v>
      </c>
      <c r="E37" s="438" t="s">
        <v>561</v>
      </c>
      <c r="F37" s="439">
        <v>9.479422496201245</v>
      </c>
      <c r="G37" s="439">
        <v>0.9927385405271586</v>
      </c>
      <c r="H37" s="439">
        <v>0.77419340966701777</v>
      </c>
      <c r="I37" s="439" t="s">
        <v>471</v>
      </c>
      <c r="J37" s="439" t="s">
        <v>471</v>
      </c>
      <c r="K37" s="439"/>
      <c r="L37" s="439" t="s">
        <v>471</v>
      </c>
    </row>
    <row r="38" spans="1:12" x14ac:dyDescent="0.25">
      <c r="A38" s="436">
        <v>36</v>
      </c>
      <c r="B38" s="437" t="s">
        <v>747</v>
      </c>
      <c r="C38" s="436" t="s">
        <v>150</v>
      </c>
      <c r="D38" s="436" t="s">
        <v>151</v>
      </c>
      <c r="E38" s="438" t="s">
        <v>561</v>
      </c>
      <c r="F38" s="439">
        <v>6.733847371362752</v>
      </c>
      <c r="G38" s="439">
        <v>0.92318878424623874</v>
      </c>
      <c r="H38" s="439">
        <v>0.61594681460568279</v>
      </c>
      <c r="I38" s="439" t="s">
        <v>471</v>
      </c>
      <c r="J38" s="439" t="s">
        <v>471</v>
      </c>
      <c r="K38" s="439"/>
      <c r="L38" s="439" t="s">
        <v>471</v>
      </c>
    </row>
    <row r="39" spans="1:12" x14ac:dyDescent="0.25">
      <c r="A39" s="436">
        <v>37</v>
      </c>
      <c r="B39" s="437" t="s">
        <v>748</v>
      </c>
      <c r="C39" s="436" t="s">
        <v>134</v>
      </c>
      <c r="D39" s="436" t="s">
        <v>135</v>
      </c>
      <c r="E39" s="438" t="s">
        <v>561</v>
      </c>
      <c r="F39" s="439">
        <v>45.651066623860139</v>
      </c>
      <c r="G39" s="439">
        <v>0.92315069988971932</v>
      </c>
      <c r="H39" s="439">
        <v>0.76917202893077208</v>
      </c>
      <c r="I39" s="439" t="s">
        <v>471</v>
      </c>
      <c r="J39" s="439" t="s">
        <v>471</v>
      </c>
      <c r="K39" s="439"/>
      <c r="L39" s="439" t="s">
        <v>471</v>
      </c>
    </row>
    <row r="40" spans="1:12" x14ac:dyDescent="0.25">
      <c r="A40" s="436">
        <v>38</v>
      </c>
      <c r="B40" s="437" t="s">
        <v>749</v>
      </c>
      <c r="C40" s="436" t="s">
        <v>66</v>
      </c>
      <c r="D40" s="436" t="s">
        <v>67</v>
      </c>
      <c r="E40" s="438" t="s">
        <v>561</v>
      </c>
      <c r="F40" s="439">
        <v>41.061446986020044</v>
      </c>
      <c r="G40" s="439">
        <v>0.92201238518534501</v>
      </c>
      <c r="H40" s="439">
        <v>0.92201238518534501</v>
      </c>
      <c r="I40" s="439" t="s">
        <v>471</v>
      </c>
      <c r="J40" s="439" t="s">
        <v>471</v>
      </c>
      <c r="K40" s="439"/>
      <c r="L40" s="439" t="s">
        <v>1473</v>
      </c>
    </row>
    <row r="41" spans="1:12" x14ac:dyDescent="0.25">
      <c r="A41" s="436">
        <v>39</v>
      </c>
      <c r="B41" s="437" t="s">
        <v>750</v>
      </c>
      <c r="C41" s="436" t="s">
        <v>38</v>
      </c>
      <c r="D41" s="436" t="s">
        <v>39</v>
      </c>
      <c r="E41" s="438" t="s">
        <v>561</v>
      </c>
      <c r="F41" s="439">
        <v>4.5445919972598636</v>
      </c>
      <c r="G41" s="439">
        <v>0.91501215431259497</v>
      </c>
      <c r="H41" s="439">
        <v>0.91501215431259497</v>
      </c>
      <c r="I41" s="439" t="s">
        <v>471</v>
      </c>
      <c r="J41" s="439" t="s">
        <v>471</v>
      </c>
      <c r="K41" s="439"/>
      <c r="L41" s="439" t="s">
        <v>471</v>
      </c>
    </row>
    <row r="42" spans="1:12" x14ac:dyDescent="0.25">
      <c r="A42" s="436">
        <v>40</v>
      </c>
      <c r="B42" s="437" t="s">
        <v>751</v>
      </c>
      <c r="C42" s="436" t="s">
        <v>76</v>
      </c>
      <c r="D42" s="436" t="s">
        <v>77</v>
      </c>
      <c r="E42" s="438" t="s">
        <v>561</v>
      </c>
      <c r="F42" s="439">
        <v>5.6087032313597076</v>
      </c>
      <c r="G42" s="439">
        <v>0.88674894420158867</v>
      </c>
      <c r="H42" s="439">
        <v>0.88674894420158867</v>
      </c>
      <c r="I42" s="439" t="s">
        <v>471</v>
      </c>
      <c r="J42" s="439" t="s">
        <v>471</v>
      </c>
      <c r="K42" s="439"/>
      <c r="L42" s="439" t="s">
        <v>471</v>
      </c>
    </row>
    <row r="43" spans="1:12" x14ac:dyDescent="0.25">
      <c r="A43" s="436">
        <v>41</v>
      </c>
      <c r="B43" s="437" t="s">
        <v>752</v>
      </c>
      <c r="C43" s="436" t="s">
        <v>168</v>
      </c>
      <c r="D43" s="436" t="s">
        <v>169</v>
      </c>
      <c r="E43" s="438" t="s">
        <v>561</v>
      </c>
      <c r="F43" s="439">
        <v>16.663938861077508</v>
      </c>
      <c r="G43" s="439">
        <v>0.86907414260255211</v>
      </c>
      <c r="H43" s="439">
        <v>0.86907414260255211</v>
      </c>
      <c r="I43" s="439" t="s">
        <v>471</v>
      </c>
      <c r="J43" s="439" t="s">
        <v>471</v>
      </c>
      <c r="K43" s="439"/>
      <c r="L43" s="439" t="s">
        <v>1473</v>
      </c>
    </row>
    <row r="44" spans="1:12" x14ac:dyDescent="0.25">
      <c r="A44" s="436">
        <v>42</v>
      </c>
      <c r="B44" s="437" t="s">
        <v>753</v>
      </c>
      <c r="C44" s="436" t="s">
        <v>214</v>
      </c>
      <c r="D44" s="436" t="s">
        <v>215</v>
      </c>
      <c r="E44" s="438" t="s">
        <v>561</v>
      </c>
      <c r="F44" s="439">
        <v>10.162710088525637</v>
      </c>
      <c r="G44" s="439">
        <v>0.86307889948402605</v>
      </c>
      <c r="H44" s="439">
        <v>0.18262834929639304</v>
      </c>
      <c r="I44" s="439" t="s">
        <v>471</v>
      </c>
      <c r="J44" s="439" t="s">
        <v>471</v>
      </c>
      <c r="K44" s="439"/>
      <c r="L44" s="439" t="s">
        <v>471</v>
      </c>
    </row>
    <row r="45" spans="1:12" x14ac:dyDescent="0.25">
      <c r="A45" s="436">
        <v>43</v>
      </c>
      <c r="B45" s="437" t="s">
        <v>754</v>
      </c>
      <c r="C45" s="436" t="s">
        <v>174</v>
      </c>
      <c r="D45" s="436" t="s">
        <v>175</v>
      </c>
      <c r="E45" s="438" t="s">
        <v>561</v>
      </c>
      <c r="F45" s="439">
        <v>15.796076716390203</v>
      </c>
      <c r="G45" s="439">
        <v>0.78511202431836091</v>
      </c>
      <c r="H45" s="439">
        <v>0.78511202431836091</v>
      </c>
      <c r="I45" s="439" t="s">
        <v>471</v>
      </c>
      <c r="J45" s="439" t="s">
        <v>471</v>
      </c>
      <c r="K45" s="439"/>
      <c r="L45" s="439" t="s">
        <v>471</v>
      </c>
    </row>
    <row r="46" spans="1:12" x14ac:dyDescent="0.25">
      <c r="A46" s="436">
        <v>44</v>
      </c>
      <c r="B46" s="437" t="s">
        <v>755</v>
      </c>
      <c r="C46" s="436" t="s">
        <v>180</v>
      </c>
      <c r="D46" s="436" t="s">
        <v>181</v>
      </c>
      <c r="E46" s="438" t="s">
        <v>561</v>
      </c>
      <c r="F46" s="439">
        <v>14.825501123424408</v>
      </c>
      <c r="G46" s="439">
        <v>0.75912528155878201</v>
      </c>
      <c r="H46" s="439">
        <v>0.52322479314203307</v>
      </c>
      <c r="I46" s="439" t="s">
        <v>471</v>
      </c>
      <c r="J46" s="439" t="s">
        <v>471</v>
      </c>
      <c r="K46" s="439"/>
      <c r="L46" s="439" t="s">
        <v>471</v>
      </c>
    </row>
    <row r="47" spans="1:12" x14ac:dyDescent="0.25">
      <c r="A47" s="436">
        <v>45</v>
      </c>
      <c r="B47" s="437" t="s">
        <v>756</v>
      </c>
      <c r="C47" s="436" t="s">
        <v>126</v>
      </c>
      <c r="D47" s="436" t="s">
        <v>127</v>
      </c>
      <c r="E47" s="438" t="s">
        <v>561</v>
      </c>
      <c r="F47" s="439">
        <v>6.5788924240621816</v>
      </c>
      <c r="G47" s="439">
        <v>0.65133451868917791</v>
      </c>
      <c r="H47" s="439">
        <v>0.58414207624508674</v>
      </c>
      <c r="I47" s="439" t="s">
        <v>471</v>
      </c>
      <c r="J47" s="439" t="s">
        <v>471</v>
      </c>
      <c r="K47" s="439"/>
      <c r="L47" s="439" t="s">
        <v>471</v>
      </c>
    </row>
    <row r="48" spans="1:12" x14ac:dyDescent="0.25">
      <c r="A48" s="436">
        <v>46</v>
      </c>
      <c r="B48" s="437" t="s">
        <v>757</v>
      </c>
      <c r="C48" s="436" t="s">
        <v>136</v>
      </c>
      <c r="D48" s="436" t="s">
        <v>137</v>
      </c>
      <c r="E48" s="438" t="s">
        <v>561</v>
      </c>
      <c r="F48" s="439">
        <v>10.924249701888259</v>
      </c>
      <c r="G48" s="439">
        <v>0.64576875787788945</v>
      </c>
      <c r="H48" s="439">
        <v>0.64576875787788945</v>
      </c>
      <c r="I48" s="439" t="s">
        <v>471</v>
      </c>
      <c r="J48" s="439" t="s">
        <v>471</v>
      </c>
      <c r="K48" s="439"/>
      <c r="L48" s="439" t="s">
        <v>471</v>
      </c>
    </row>
    <row r="49" spans="1:12" x14ac:dyDescent="0.25">
      <c r="A49" s="436">
        <v>47</v>
      </c>
      <c r="B49" s="437" t="s">
        <v>758</v>
      </c>
      <c r="C49" s="436" t="s">
        <v>70</v>
      </c>
      <c r="D49" s="436" t="s">
        <v>71</v>
      </c>
      <c r="E49" s="438" t="s">
        <v>561</v>
      </c>
      <c r="F49" s="439">
        <v>8.0671883260253292</v>
      </c>
      <c r="G49" s="439">
        <v>0.62424153441595953</v>
      </c>
      <c r="H49" s="439">
        <v>0.62424153441595953</v>
      </c>
      <c r="I49" s="439" t="s">
        <v>471</v>
      </c>
      <c r="J49" s="439" t="s">
        <v>471</v>
      </c>
      <c r="K49" s="439"/>
      <c r="L49" s="439" t="s">
        <v>471</v>
      </c>
    </row>
    <row r="50" spans="1:12" x14ac:dyDescent="0.25">
      <c r="A50" s="436">
        <v>48</v>
      </c>
      <c r="B50" s="437" t="s">
        <v>759</v>
      </c>
      <c r="C50" s="436" t="s">
        <v>34</v>
      </c>
      <c r="D50" s="436" t="s">
        <v>35</v>
      </c>
      <c r="E50" s="438" t="s">
        <v>561</v>
      </c>
      <c r="F50" s="439">
        <v>5.2246582118722378</v>
      </c>
      <c r="G50" s="439">
        <v>0.57945839352661455</v>
      </c>
      <c r="H50" s="439">
        <v>0.45931464543124878</v>
      </c>
      <c r="I50" s="439" t="s">
        <v>471</v>
      </c>
      <c r="J50" s="439" t="s">
        <v>471</v>
      </c>
      <c r="K50" s="439"/>
      <c r="L50" s="439" t="s">
        <v>471</v>
      </c>
    </row>
    <row r="51" spans="1:12" x14ac:dyDescent="0.25">
      <c r="A51" s="436">
        <v>49</v>
      </c>
      <c r="B51" s="437" t="s">
        <v>760</v>
      </c>
      <c r="C51" s="436" t="s">
        <v>158</v>
      </c>
      <c r="D51" s="436" t="s">
        <v>159</v>
      </c>
      <c r="E51" s="438" t="s">
        <v>561</v>
      </c>
      <c r="F51" s="439">
        <v>10.843517991102528</v>
      </c>
      <c r="G51" s="439">
        <v>0.52861598366625584</v>
      </c>
      <c r="H51" s="439">
        <v>0.52861598366625584</v>
      </c>
      <c r="I51" s="439" t="s">
        <v>471</v>
      </c>
      <c r="J51" s="439" t="s">
        <v>471</v>
      </c>
      <c r="K51" s="439"/>
      <c r="L51" s="439" t="s">
        <v>471</v>
      </c>
    </row>
    <row r="52" spans="1:12" x14ac:dyDescent="0.25">
      <c r="A52" s="436">
        <v>50</v>
      </c>
      <c r="B52" s="437" t="s">
        <v>761</v>
      </c>
      <c r="C52" s="436" t="s">
        <v>54</v>
      </c>
      <c r="D52" s="436" t="s">
        <v>55</v>
      </c>
      <c r="E52" s="438" t="s">
        <v>561</v>
      </c>
      <c r="F52" s="439">
        <v>4.7767036456500431</v>
      </c>
      <c r="G52" s="439">
        <v>0.48451488757921457</v>
      </c>
      <c r="H52" s="439">
        <v>0.48451488757921457</v>
      </c>
      <c r="I52" s="439" t="s">
        <v>471</v>
      </c>
      <c r="J52" s="439" t="s">
        <v>471</v>
      </c>
      <c r="K52" s="439"/>
      <c r="L52" s="439" t="s">
        <v>471</v>
      </c>
    </row>
    <row r="53" spans="1:12" x14ac:dyDescent="0.25">
      <c r="A53" s="436">
        <v>51</v>
      </c>
      <c r="B53" s="437" t="s">
        <v>598</v>
      </c>
      <c r="C53" s="436" t="s">
        <v>190</v>
      </c>
      <c r="D53" s="436" t="s">
        <v>191</v>
      </c>
      <c r="E53" s="438" t="s">
        <v>561</v>
      </c>
      <c r="F53" s="439">
        <v>14.53609542022326</v>
      </c>
      <c r="G53" s="439">
        <v>0.42659052249486551</v>
      </c>
      <c r="H53" s="439">
        <v>0.23426528400128205</v>
      </c>
      <c r="I53" s="439" t="s">
        <v>471</v>
      </c>
      <c r="J53" s="439" t="s">
        <v>471</v>
      </c>
      <c r="K53" s="439" t="s">
        <v>599</v>
      </c>
      <c r="L53" s="439" t="s">
        <v>471</v>
      </c>
    </row>
    <row r="54" spans="1:12" x14ac:dyDescent="0.25">
      <c r="A54" s="436">
        <v>52</v>
      </c>
      <c r="B54" s="437" t="s">
        <v>762</v>
      </c>
      <c r="C54" s="436" t="s">
        <v>74</v>
      </c>
      <c r="D54" s="436" t="s">
        <v>75</v>
      </c>
      <c r="E54" s="438" t="s">
        <v>561</v>
      </c>
      <c r="F54" s="439">
        <v>12.830148060108947</v>
      </c>
      <c r="G54" s="439">
        <v>0.42498616781905302</v>
      </c>
      <c r="H54" s="439">
        <v>0.42498616781905302</v>
      </c>
      <c r="I54" s="439" t="s">
        <v>471</v>
      </c>
      <c r="J54" s="439" t="s">
        <v>471</v>
      </c>
      <c r="K54" s="439"/>
      <c r="L54" s="439" t="s">
        <v>471</v>
      </c>
    </row>
    <row r="55" spans="1:12" x14ac:dyDescent="0.25">
      <c r="A55" s="436">
        <v>53</v>
      </c>
      <c r="B55" s="437" t="s">
        <v>763</v>
      </c>
      <c r="C55" s="436" t="s">
        <v>12</v>
      </c>
      <c r="D55" s="436" t="s">
        <v>13</v>
      </c>
      <c r="E55" s="438" t="s">
        <v>561</v>
      </c>
      <c r="F55" s="439">
        <v>8.1689353597162349</v>
      </c>
      <c r="G55" s="439">
        <v>0.41641654149589008</v>
      </c>
      <c r="H55" s="439">
        <v>0.28464867172400232</v>
      </c>
      <c r="I55" s="439" t="s">
        <v>471</v>
      </c>
      <c r="J55" s="439" t="s">
        <v>471</v>
      </c>
      <c r="K55" s="439"/>
      <c r="L55" s="439" t="s">
        <v>471</v>
      </c>
    </row>
    <row r="56" spans="1:12" x14ac:dyDescent="0.25">
      <c r="A56" s="436">
        <v>54</v>
      </c>
      <c r="B56" s="437" t="s">
        <v>764</v>
      </c>
      <c r="C56" s="436" t="s">
        <v>160</v>
      </c>
      <c r="D56" s="436" t="s">
        <v>161</v>
      </c>
      <c r="E56" s="438" t="s">
        <v>561</v>
      </c>
      <c r="F56" s="439">
        <v>4.4292110583044995</v>
      </c>
      <c r="G56" s="439">
        <v>0.37297504609995186</v>
      </c>
      <c r="H56" s="439">
        <v>0.37297504609995186</v>
      </c>
      <c r="I56" s="439" t="s">
        <v>471</v>
      </c>
      <c r="J56" s="439" t="s">
        <v>471</v>
      </c>
      <c r="K56" s="439"/>
      <c r="L56" s="439" t="s">
        <v>471</v>
      </c>
    </row>
    <row r="57" spans="1:12" x14ac:dyDescent="0.25">
      <c r="A57" s="436">
        <v>55</v>
      </c>
      <c r="B57" s="437" t="s">
        <v>765</v>
      </c>
      <c r="C57" s="436" t="s">
        <v>124</v>
      </c>
      <c r="D57" s="436" t="s">
        <v>125</v>
      </c>
      <c r="E57" s="438" t="s">
        <v>561</v>
      </c>
      <c r="F57" s="439">
        <v>13.699953044892172</v>
      </c>
      <c r="G57" s="439">
        <v>0.33900027388783616</v>
      </c>
      <c r="H57" s="439">
        <v>0.19858748370282089</v>
      </c>
      <c r="I57" s="439" t="s">
        <v>471</v>
      </c>
      <c r="J57" s="439" t="s">
        <v>471</v>
      </c>
      <c r="K57" s="439"/>
      <c r="L57" s="439" t="s">
        <v>471</v>
      </c>
    </row>
    <row r="58" spans="1:12" x14ac:dyDescent="0.25">
      <c r="A58" s="436">
        <v>56</v>
      </c>
      <c r="B58" s="437" t="s">
        <v>593</v>
      </c>
      <c r="C58" s="436" t="s">
        <v>264</v>
      </c>
      <c r="D58" s="436" t="s">
        <v>265</v>
      </c>
      <c r="E58" s="438" t="s">
        <v>561</v>
      </c>
      <c r="F58" s="439">
        <v>11.588933458632493</v>
      </c>
      <c r="G58" s="439">
        <v>0.32769959052808134</v>
      </c>
      <c r="H58" s="439">
        <v>0.32769959052808134</v>
      </c>
      <c r="I58" s="439" t="s">
        <v>471</v>
      </c>
      <c r="J58" s="439" t="s">
        <v>471</v>
      </c>
      <c r="K58" s="439" t="s">
        <v>599</v>
      </c>
      <c r="L58" s="439" t="s">
        <v>471</v>
      </c>
    </row>
    <row r="59" spans="1:12" x14ac:dyDescent="0.25">
      <c r="A59" s="436">
        <v>57</v>
      </c>
      <c r="B59" s="437" t="s">
        <v>766</v>
      </c>
      <c r="C59" s="436" t="s">
        <v>252</v>
      </c>
      <c r="D59" s="436" t="s">
        <v>253</v>
      </c>
      <c r="E59" s="438" t="s">
        <v>561</v>
      </c>
      <c r="F59" s="439">
        <v>6.0783047742884442</v>
      </c>
      <c r="G59" s="439">
        <v>0.32045418393182273</v>
      </c>
      <c r="H59" s="439">
        <v>0.32045418393182273</v>
      </c>
      <c r="I59" s="439" t="s">
        <v>471</v>
      </c>
      <c r="J59" s="439" t="s">
        <v>471</v>
      </c>
      <c r="K59" s="439"/>
      <c r="L59" s="439" t="s">
        <v>471</v>
      </c>
    </row>
    <row r="60" spans="1:12" x14ac:dyDescent="0.25">
      <c r="A60" s="436">
        <v>58</v>
      </c>
      <c r="B60" s="437" t="s">
        <v>767</v>
      </c>
      <c r="C60" s="436" t="s">
        <v>242</v>
      </c>
      <c r="D60" s="436" t="s">
        <v>243</v>
      </c>
      <c r="E60" s="438" t="s">
        <v>561</v>
      </c>
      <c r="F60" s="439">
        <v>10.916762459030053</v>
      </c>
      <c r="G60" s="439">
        <v>0.2921062671130894</v>
      </c>
      <c r="H60" s="439">
        <v>0.2921062671130894</v>
      </c>
      <c r="I60" s="439" t="s">
        <v>471</v>
      </c>
      <c r="J60" s="439" t="s">
        <v>471</v>
      </c>
      <c r="K60" s="439"/>
      <c r="L60" s="439" t="s">
        <v>471</v>
      </c>
    </row>
    <row r="61" spans="1:12" x14ac:dyDescent="0.25">
      <c r="A61" s="436">
        <v>59</v>
      </c>
      <c r="B61" s="437" t="s">
        <v>768</v>
      </c>
      <c r="C61" s="436" t="s">
        <v>262</v>
      </c>
      <c r="D61" s="436" t="s">
        <v>263</v>
      </c>
      <c r="E61" s="438" t="s">
        <v>561</v>
      </c>
      <c r="F61" s="439">
        <v>23.662467358985698</v>
      </c>
      <c r="G61" s="439">
        <v>0.28350762713256306</v>
      </c>
      <c r="H61" s="439">
        <v>0.28350762713256306</v>
      </c>
      <c r="I61" s="439" t="s">
        <v>471</v>
      </c>
      <c r="J61" s="439" t="s">
        <v>471</v>
      </c>
      <c r="K61" s="439"/>
      <c r="L61" s="439" t="s">
        <v>471</v>
      </c>
    </row>
    <row r="62" spans="1:12" x14ac:dyDescent="0.25">
      <c r="A62" s="436">
        <v>60</v>
      </c>
      <c r="B62" s="437" t="s">
        <v>769</v>
      </c>
      <c r="C62" s="436" t="s">
        <v>254</v>
      </c>
      <c r="D62" s="436" t="s">
        <v>255</v>
      </c>
      <c r="E62" s="438" t="s">
        <v>561</v>
      </c>
      <c r="F62" s="439">
        <v>6.7774098686070108</v>
      </c>
      <c r="G62" s="439">
        <v>0.25083062403075829</v>
      </c>
      <c r="H62" s="439">
        <v>0.25083062403075829</v>
      </c>
      <c r="I62" s="439" t="s">
        <v>471</v>
      </c>
      <c r="J62" s="439" t="s">
        <v>471</v>
      </c>
      <c r="K62" s="439"/>
      <c r="L62" s="439" t="s">
        <v>471</v>
      </c>
    </row>
    <row r="63" spans="1:12" x14ac:dyDescent="0.25">
      <c r="A63" s="436">
        <v>61</v>
      </c>
      <c r="B63" s="437" t="s">
        <v>770</v>
      </c>
      <c r="C63" s="436" t="s">
        <v>238</v>
      </c>
      <c r="D63" s="436" t="s">
        <v>239</v>
      </c>
      <c r="E63" s="438" t="s">
        <v>561</v>
      </c>
      <c r="F63" s="439">
        <v>19.604966394660984</v>
      </c>
      <c r="G63" s="439">
        <v>0.23470405598965094</v>
      </c>
      <c r="H63" s="439">
        <v>0.23470405598965094</v>
      </c>
      <c r="I63" s="439" t="s">
        <v>471</v>
      </c>
      <c r="J63" s="439" t="s">
        <v>471</v>
      </c>
      <c r="K63" s="439"/>
      <c r="L63" s="439" t="s">
        <v>1473</v>
      </c>
    </row>
    <row r="64" spans="1:12" x14ac:dyDescent="0.25">
      <c r="A64" s="436">
        <v>62</v>
      </c>
      <c r="B64" s="437" t="s">
        <v>771</v>
      </c>
      <c r="C64" s="436" t="s">
        <v>86</v>
      </c>
      <c r="D64" s="436" t="s">
        <v>87</v>
      </c>
      <c r="E64" s="438" t="s">
        <v>561</v>
      </c>
      <c r="F64" s="439">
        <v>14.807099257108844</v>
      </c>
      <c r="G64" s="439">
        <v>0.19496217716799408</v>
      </c>
      <c r="H64" s="439">
        <v>0.19496217716799408</v>
      </c>
      <c r="I64" s="439" t="s">
        <v>471</v>
      </c>
      <c r="J64" s="439" t="s">
        <v>471</v>
      </c>
      <c r="K64" s="439"/>
      <c r="L64" s="439" t="s">
        <v>471</v>
      </c>
    </row>
    <row r="65" spans="1:12" x14ac:dyDescent="0.25">
      <c r="A65" s="436">
        <v>63</v>
      </c>
      <c r="B65" s="437" t="s">
        <v>772</v>
      </c>
      <c r="C65" s="436" t="s">
        <v>122</v>
      </c>
      <c r="D65" s="436" t="s">
        <v>123</v>
      </c>
      <c r="E65" s="438" t="s">
        <v>561</v>
      </c>
      <c r="F65" s="439">
        <v>11.857357792677766</v>
      </c>
      <c r="G65" s="439">
        <v>0.16749129835951854</v>
      </c>
      <c r="H65" s="439">
        <v>0.15001678173050889</v>
      </c>
      <c r="I65" s="439" t="s">
        <v>471</v>
      </c>
      <c r="J65" s="439" t="s">
        <v>471</v>
      </c>
      <c r="K65" s="439"/>
      <c r="L65" s="439" t="s">
        <v>471</v>
      </c>
    </row>
    <row r="66" spans="1:12" x14ac:dyDescent="0.25">
      <c r="A66" s="436">
        <v>64</v>
      </c>
      <c r="B66" s="437" t="s">
        <v>773</v>
      </c>
      <c r="C66" s="436" t="s">
        <v>152</v>
      </c>
      <c r="D66" s="436" t="s">
        <v>153</v>
      </c>
      <c r="E66" s="438" t="s">
        <v>561</v>
      </c>
      <c r="F66" s="439">
        <v>5.8806020816116948</v>
      </c>
      <c r="G66" s="439">
        <v>0.15954114578885761</v>
      </c>
      <c r="H66" s="439">
        <v>-2.6478888353151046E-2</v>
      </c>
      <c r="I66" s="439" t="s">
        <v>471</v>
      </c>
      <c r="J66" s="439" t="s">
        <v>471</v>
      </c>
      <c r="K66" s="439"/>
      <c r="L66" s="439" t="s">
        <v>471</v>
      </c>
    </row>
    <row r="67" spans="1:12" x14ac:dyDescent="0.25">
      <c r="A67" s="436">
        <v>65</v>
      </c>
      <c r="B67" s="437" t="s">
        <v>774</v>
      </c>
      <c r="C67" s="436" t="s">
        <v>130</v>
      </c>
      <c r="D67" s="436" t="s">
        <v>131</v>
      </c>
      <c r="E67" s="438" t="s">
        <v>561</v>
      </c>
      <c r="F67" s="439">
        <v>8.3058940697739914</v>
      </c>
      <c r="G67" s="439">
        <v>0.14796784572946187</v>
      </c>
      <c r="H67" s="439">
        <v>0.14796784572946187</v>
      </c>
      <c r="I67" s="439" t="s">
        <v>471</v>
      </c>
      <c r="J67" s="439" t="s">
        <v>471</v>
      </c>
      <c r="K67" s="439"/>
      <c r="L67" s="439" t="s">
        <v>471</v>
      </c>
    </row>
    <row r="68" spans="1:12" x14ac:dyDescent="0.25">
      <c r="A68" s="436">
        <v>66</v>
      </c>
      <c r="B68" s="437" t="s">
        <v>775</v>
      </c>
      <c r="C68" s="436" t="s">
        <v>218</v>
      </c>
      <c r="D68" s="436" t="s">
        <v>219</v>
      </c>
      <c r="E68" s="438" t="s">
        <v>561</v>
      </c>
      <c r="F68" s="439">
        <v>2.8835087521494418</v>
      </c>
      <c r="G68" s="439">
        <v>9.8913930544345163E-2</v>
      </c>
      <c r="H68" s="439">
        <v>9.8913930544345163E-2</v>
      </c>
      <c r="I68" s="439" t="s">
        <v>471</v>
      </c>
      <c r="J68" s="439" t="s">
        <v>471</v>
      </c>
      <c r="K68" s="439"/>
      <c r="L68" s="439" t="s">
        <v>471</v>
      </c>
    </row>
    <row r="69" spans="1:12" x14ac:dyDescent="0.25">
      <c r="A69" s="436">
        <v>67</v>
      </c>
      <c r="B69" s="437" t="s">
        <v>776</v>
      </c>
      <c r="C69" s="436" t="s">
        <v>110</v>
      </c>
      <c r="D69" s="436" t="s">
        <v>111</v>
      </c>
      <c r="E69" s="438" t="s">
        <v>561</v>
      </c>
      <c r="F69" s="439">
        <v>14.087359389416282</v>
      </c>
      <c r="G69" s="439">
        <v>9.4276086935644127E-2</v>
      </c>
      <c r="H69" s="439">
        <v>-6.7135919666482718E-2</v>
      </c>
      <c r="I69" s="439" t="s">
        <v>471</v>
      </c>
      <c r="J69" s="439" t="s">
        <v>471</v>
      </c>
      <c r="K69" s="439"/>
      <c r="L69" s="439" t="s">
        <v>471</v>
      </c>
    </row>
    <row r="70" spans="1:12" x14ac:dyDescent="0.25">
      <c r="A70" s="436">
        <v>68</v>
      </c>
      <c r="B70" s="437" t="s">
        <v>592</v>
      </c>
      <c r="C70" s="436" t="s">
        <v>260</v>
      </c>
      <c r="D70" s="436" t="s">
        <v>261</v>
      </c>
      <c r="E70" s="438" t="s">
        <v>561</v>
      </c>
      <c r="F70" s="439">
        <v>8.8332815423482653</v>
      </c>
      <c r="G70" s="439">
        <v>8.6526836748119923E-2</v>
      </c>
      <c r="H70" s="439">
        <v>8.6526836748119923E-2</v>
      </c>
      <c r="I70" s="439" t="s">
        <v>471</v>
      </c>
      <c r="J70" s="439" t="s">
        <v>471</v>
      </c>
      <c r="K70" s="439" t="s">
        <v>599</v>
      </c>
      <c r="L70" s="439" t="s">
        <v>471</v>
      </c>
    </row>
    <row r="71" spans="1:12" x14ac:dyDescent="0.25">
      <c r="A71" s="436">
        <v>69</v>
      </c>
      <c r="B71" s="437" t="s">
        <v>777</v>
      </c>
      <c r="C71" s="436" t="s">
        <v>36</v>
      </c>
      <c r="D71" s="436" t="s">
        <v>37</v>
      </c>
      <c r="E71" s="438" t="s">
        <v>561</v>
      </c>
      <c r="F71" s="439">
        <v>2.159549165667181</v>
      </c>
      <c r="G71" s="439">
        <v>6.1651493466675616E-2</v>
      </c>
      <c r="H71" s="439">
        <v>1.8938465943812894E-2</v>
      </c>
      <c r="I71" s="439" t="s">
        <v>471</v>
      </c>
      <c r="J71" s="439" t="s">
        <v>471</v>
      </c>
      <c r="K71" s="439"/>
      <c r="L71" s="439" t="s">
        <v>471</v>
      </c>
    </row>
    <row r="72" spans="1:12" x14ac:dyDescent="0.25">
      <c r="A72" s="436">
        <v>70</v>
      </c>
      <c r="B72" s="437" t="s">
        <v>778</v>
      </c>
      <c r="C72" s="436" t="s">
        <v>16</v>
      </c>
      <c r="D72" s="436" t="s">
        <v>17</v>
      </c>
      <c r="E72" s="438" t="s">
        <v>561</v>
      </c>
      <c r="F72" s="439">
        <v>23.814701509258732</v>
      </c>
      <c r="G72" s="439">
        <v>4.5346792678160629E-2</v>
      </c>
      <c r="H72" s="439">
        <v>4.5346792678160629E-2</v>
      </c>
      <c r="I72" s="439" t="s">
        <v>471</v>
      </c>
      <c r="J72" s="439" t="s">
        <v>471</v>
      </c>
      <c r="K72" s="439"/>
      <c r="L72" s="439" t="s">
        <v>471</v>
      </c>
    </row>
    <row r="73" spans="1:12" x14ac:dyDescent="0.25">
      <c r="A73" s="436">
        <v>71</v>
      </c>
      <c r="B73" s="437" t="s">
        <v>779</v>
      </c>
      <c r="C73" s="436" t="s">
        <v>200</v>
      </c>
      <c r="D73" s="436" t="s">
        <v>201</v>
      </c>
      <c r="E73" s="438" t="s">
        <v>561</v>
      </c>
      <c r="F73" s="439">
        <v>11.401959295731988</v>
      </c>
      <c r="G73" s="439">
        <v>1.7527762563776791E-2</v>
      </c>
      <c r="H73" s="439">
        <v>1.7527762563776791E-2</v>
      </c>
      <c r="I73" s="439" t="s">
        <v>471</v>
      </c>
      <c r="J73" s="439" t="s">
        <v>471</v>
      </c>
      <c r="K73" s="439"/>
      <c r="L73" s="439" t="s">
        <v>471</v>
      </c>
    </row>
    <row r="74" spans="1:12" x14ac:dyDescent="0.25">
      <c r="A74" s="436">
        <v>72</v>
      </c>
      <c r="B74" s="437" t="s">
        <v>780</v>
      </c>
      <c r="C74" s="436" t="s">
        <v>142</v>
      </c>
      <c r="D74" s="436" t="s">
        <v>143</v>
      </c>
      <c r="E74" s="438" t="s">
        <v>561</v>
      </c>
      <c r="F74" s="439">
        <v>38.14142858092864</v>
      </c>
      <c r="G74" s="439">
        <v>1.161590072536116E-2</v>
      </c>
      <c r="H74" s="439">
        <v>1.161590072536116E-2</v>
      </c>
      <c r="I74" s="439" t="s">
        <v>471</v>
      </c>
      <c r="J74" s="439" t="s">
        <v>471</v>
      </c>
      <c r="K74" s="439"/>
      <c r="L74" s="439" t="s">
        <v>471</v>
      </c>
    </row>
    <row r="75" spans="1:12" x14ac:dyDescent="0.25">
      <c r="A75" s="436">
        <v>73</v>
      </c>
      <c r="B75" s="437" t="s">
        <v>781</v>
      </c>
      <c r="C75" s="436" t="s">
        <v>0</v>
      </c>
      <c r="D75" s="436" t="s">
        <v>1</v>
      </c>
      <c r="E75" s="438" t="s">
        <v>561</v>
      </c>
      <c r="F75" s="439">
        <v>1.1403925012787155</v>
      </c>
      <c r="G75" s="439">
        <v>0</v>
      </c>
      <c r="H75" s="439">
        <v>0</v>
      </c>
      <c r="I75" s="439" t="s">
        <v>471</v>
      </c>
      <c r="J75" s="439" t="s">
        <v>471</v>
      </c>
      <c r="K75" s="439"/>
      <c r="L75" s="439" t="s">
        <v>471</v>
      </c>
    </row>
    <row r="76" spans="1:12" x14ac:dyDescent="0.25">
      <c r="A76" s="436">
        <v>74</v>
      </c>
      <c r="B76" s="437" t="s">
        <v>782</v>
      </c>
      <c r="C76" s="436" t="s">
        <v>6</v>
      </c>
      <c r="D76" s="436" t="s">
        <v>7</v>
      </c>
      <c r="E76" s="438" t="s">
        <v>561</v>
      </c>
      <c r="F76" s="439">
        <v>0.23885755393011374</v>
      </c>
      <c r="G76" s="439">
        <v>0</v>
      </c>
      <c r="H76" s="439">
        <v>0</v>
      </c>
      <c r="I76" s="439" t="s">
        <v>471</v>
      </c>
      <c r="J76" s="439" t="s">
        <v>471</v>
      </c>
      <c r="K76" s="439"/>
      <c r="L76" s="439" t="s">
        <v>471</v>
      </c>
    </row>
    <row r="77" spans="1:12" x14ac:dyDescent="0.25">
      <c r="A77" s="436">
        <v>75</v>
      </c>
      <c r="B77" s="437" t="s">
        <v>783</v>
      </c>
      <c r="C77" s="436" t="s">
        <v>10</v>
      </c>
      <c r="D77" s="436" t="s">
        <v>11</v>
      </c>
      <c r="E77" s="438" t="s">
        <v>561</v>
      </c>
      <c r="F77" s="439">
        <v>1.9162531993448639</v>
      </c>
      <c r="G77" s="439">
        <v>0</v>
      </c>
      <c r="H77" s="439">
        <v>0</v>
      </c>
      <c r="I77" s="439" t="s">
        <v>471</v>
      </c>
      <c r="J77" s="439" t="s">
        <v>471</v>
      </c>
      <c r="K77" s="439"/>
      <c r="L77" s="439" t="s">
        <v>471</v>
      </c>
    </row>
    <row r="78" spans="1:12" x14ac:dyDescent="0.25">
      <c r="A78" s="436">
        <v>76</v>
      </c>
      <c r="B78" s="437" t="s">
        <v>784</v>
      </c>
      <c r="C78" s="436" t="s">
        <v>14</v>
      </c>
      <c r="D78" s="436" t="s">
        <v>15</v>
      </c>
      <c r="E78" s="438" t="s">
        <v>561</v>
      </c>
      <c r="F78" s="439">
        <v>0.32232226828116572</v>
      </c>
      <c r="G78" s="439">
        <v>0</v>
      </c>
      <c r="H78" s="439">
        <v>0</v>
      </c>
      <c r="I78" s="439" t="s">
        <v>471</v>
      </c>
      <c r="J78" s="439" t="s">
        <v>471</v>
      </c>
      <c r="K78" s="439"/>
      <c r="L78" s="439" t="s">
        <v>471</v>
      </c>
    </row>
    <row r="79" spans="1:12" x14ac:dyDescent="0.25">
      <c r="A79" s="436">
        <v>77</v>
      </c>
      <c r="B79" s="437" t="s">
        <v>785</v>
      </c>
      <c r="C79" s="436" t="s">
        <v>18</v>
      </c>
      <c r="D79" s="436" t="s">
        <v>19</v>
      </c>
      <c r="E79" s="438" t="s">
        <v>561</v>
      </c>
      <c r="F79" s="439">
        <v>1.6698717829432008</v>
      </c>
      <c r="G79" s="439">
        <v>0</v>
      </c>
      <c r="H79" s="439">
        <v>0</v>
      </c>
      <c r="I79" s="439" t="s">
        <v>471</v>
      </c>
      <c r="J79" s="439" t="s">
        <v>471</v>
      </c>
      <c r="K79" s="439"/>
      <c r="L79" s="439" t="s">
        <v>471</v>
      </c>
    </row>
    <row r="80" spans="1:12" x14ac:dyDescent="0.25">
      <c r="A80" s="436">
        <v>78</v>
      </c>
      <c r="B80" s="437" t="s">
        <v>786</v>
      </c>
      <c r="C80" s="436" t="s">
        <v>40</v>
      </c>
      <c r="D80" s="436" t="s">
        <v>41</v>
      </c>
      <c r="E80" s="438" t="s">
        <v>561</v>
      </c>
      <c r="F80" s="439">
        <v>2.4682738046162842</v>
      </c>
      <c r="G80" s="439">
        <v>0</v>
      </c>
      <c r="H80" s="439">
        <v>0</v>
      </c>
      <c r="I80" s="439" t="s">
        <v>471</v>
      </c>
      <c r="J80" s="439" t="s">
        <v>471</v>
      </c>
      <c r="K80" s="439"/>
      <c r="L80" s="439" t="s">
        <v>471</v>
      </c>
    </row>
    <row r="81" spans="1:12" x14ac:dyDescent="0.25">
      <c r="A81" s="436">
        <v>79</v>
      </c>
      <c r="B81" s="437" t="s">
        <v>787</v>
      </c>
      <c r="C81" s="436" t="s">
        <v>46</v>
      </c>
      <c r="D81" s="436" t="s">
        <v>47</v>
      </c>
      <c r="E81" s="438" t="s">
        <v>561</v>
      </c>
      <c r="F81" s="439">
        <v>1.6486009854296475</v>
      </c>
      <c r="G81" s="439">
        <v>0</v>
      </c>
      <c r="H81" s="439">
        <v>0</v>
      </c>
      <c r="I81" s="439" t="s">
        <v>471</v>
      </c>
      <c r="J81" s="439" t="s">
        <v>471</v>
      </c>
      <c r="K81" s="439"/>
      <c r="L81" s="439" t="s">
        <v>471</v>
      </c>
    </row>
    <row r="82" spans="1:12" x14ac:dyDescent="0.25">
      <c r="A82" s="436">
        <v>80</v>
      </c>
      <c r="B82" s="437" t="s">
        <v>788</v>
      </c>
      <c r="C82" s="436" t="s">
        <v>68</v>
      </c>
      <c r="D82" s="436" t="s">
        <v>69</v>
      </c>
      <c r="E82" s="438" t="s">
        <v>561</v>
      </c>
      <c r="F82" s="439">
        <v>1.8033952622716265</v>
      </c>
      <c r="G82" s="439">
        <v>0</v>
      </c>
      <c r="H82" s="439">
        <v>0</v>
      </c>
      <c r="I82" s="439" t="s">
        <v>471</v>
      </c>
      <c r="J82" s="439" t="s">
        <v>471</v>
      </c>
      <c r="K82" s="439"/>
      <c r="L82" s="439" t="s">
        <v>471</v>
      </c>
    </row>
    <row r="83" spans="1:12" x14ac:dyDescent="0.25">
      <c r="A83" s="436">
        <v>81</v>
      </c>
      <c r="B83" s="437" t="s">
        <v>789</v>
      </c>
      <c r="C83" s="436" t="s">
        <v>84</v>
      </c>
      <c r="D83" s="436" t="s">
        <v>85</v>
      </c>
      <c r="E83" s="438" t="s">
        <v>561</v>
      </c>
      <c r="F83" s="439">
        <v>1.8846001450518775</v>
      </c>
      <c r="G83" s="439">
        <v>0</v>
      </c>
      <c r="H83" s="439">
        <v>0</v>
      </c>
      <c r="I83" s="439" t="s">
        <v>471</v>
      </c>
      <c r="J83" s="439" t="s">
        <v>471</v>
      </c>
      <c r="K83" s="439"/>
      <c r="L83" s="439" t="s">
        <v>471</v>
      </c>
    </row>
    <row r="84" spans="1:12" x14ac:dyDescent="0.25">
      <c r="A84" s="436">
        <v>82</v>
      </c>
      <c r="B84" s="437" t="s">
        <v>790</v>
      </c>
      <c r="C84" s="436" t="s">
        <v>90</v>
      </c>
      <c r="D84" s="436" t="s">
        <v>91</v>
      </c>
      <c r="E84" s="438" t="s">
        <v>561</v>
      </c>
      <c r="F84" s="439">
        <v>2.5990430521719396</v>
      </c>
      <c r="G84" s="439">
        <v>0</v>
      </c>
      <c r="H84" s="439">
        <v>0</v>
      </c>
      <c r="I84" s="439" t="s">
        <v>471</v>
      </c>
      <c r="J84" s="439" t="s">
        <v>471</v>
      </c>
      <c r="K84" s="439"/>
      <c r="L84" s="439" t="s">
        <v>471</v>
      </c>
    </row>
    <row r="85" spans="1:12" x14ac:dyDescent="0.25">
      <c r="A85" s="436">
        <v>83</v>
      </c>
      <c r="B85" s="437" t="s">
        <v>791</v>
      </c>
      <c r="C85" s="436" t="s">
        <v>92</v>
      </c>
      <c r="D85" s="436" t="s">
        <v>93</v>
      </c>
      <c r="E85" s="438" t="s">
        <v>561</v>
      </c>
      <c r="F85" s="439">
        <v>0.674916209705541</v>
      </c>
      <c r="G85" s="439">
        <v>0</v>
      </c>
      <c r="H85" s="439">
        <v>0</v>
      </c>
      <c r="I85" s="439" t="s">
        <v>471</v>
      </c>
      <c r="J85" s="439" t="s">
        <v>471</v>
      </c>
      <c r="K85" s="439"/>
      <c r="L85" s="439" t="s">
        <v>471</v>
      </c>
    </row>
    <row r="86" spans="1:12" x14ac:dyDescent="0.25">
      <c r="A86" s="436">
        <v>84</v>
      </c>
      <c r="B86" s="437" t="s">
        <v>792</v>
      </c>
      <c r="C86" s="436" t="s">
        <v>106</v>
      </c>
      <c r="D86" s="436" t="s">
        <v>107</v>
      </c>
      <c r="E86" s="438" t="s">
        <v>561</v>
      </c>
      <c r="F86" s="439">
        <v>6.0315931284118944</v>
      </c>
      <c r="G86" s="439">
        <v>0</v>
      </c>
      <c r="H86" s="439">
        <v>0</v>
      </c>
      <c r="I86" s="439" t="s">
        <v>471</v>
      </c>
      <c r="J86" s="439" t="s">
        <v>471</v>
      </c>
      <c r="K86" s="439"/>
      <c r="L86" s="439" t="s">
        <v>471</v>
      </c>
    </row>
    <row r="87" spans="1:12" x14ac:dyDescent="0.25">
      <c r="A87" s="436">
        <v>85</v>
      </c>
      <c r="B87" s="437" t="s">
        <v>793</v>
      </c>
      <c r="C87" s="436" t="s">
        <v>108</v>
      </c>
      <c r="D87" s="436" t="s">
        <v>109</v>
      </c>
      <c r="E87" s="438" t="s">
        <v>561</v>
      </c>
      <c r="F87" s="439">
        <v>2.0359571848012008</v>
      </c>
      <c r="G87" s="439">
        <v>0</v>
      </c>
      <c r="H87" s="439">
        <v>0</v>
      </c>
      <c r="I87" s="439" t="s">
        <v>471</v>
      </c>
      <c r="J87" s="439" t="s">
        <v>471</v>
      </c>
      <c r="K87" s="439"/>
      <c r="L87" s="439" t="s">
        <v>471</v>
      </c>
    </row>
    <row r="88" spans="1:12" x14ac:dyDescent="0.25">
      <c r="A88" s="436">
        <v>86</v>
      </c>
      <c r="B88" s="437" t="s">
        <v>794</v>
      </c>
      <c r="C88" s="436" t="s">
        <v>114</v>
      </c>
      <c r="D88" s="436" t="s">
        <v>115</v>
      </c>
      <c r="E88" s="438" t="s">
        <v>561</v>
      </c>
      <c r="F88" s="439">
        <v>1.5502985478186901</v>
      </c>
      <c r="G88" s="439">
        <v>0</v>
      </c>
      <c r="H88" s="439">
        <v>0</v>
      </c>
      <c r="I88" s="439" t="s">
        <v>471</v>
      </c>
      <c r="J88" s="439" t="s">
        <v>471</v>
      </c>
      <c r="K88" s="439"/>
      <c r="L88" s="439" t="s">
        <v>471</v>
      </c>
    </row>
    <row r="89" spans="1:12" x14ac:dyDescent="0.25">
      <c r="A89" s="436">
        <v>87</v>
      </c>
      <c r="B89" s="437" t="s">
        <v>795</v>
      </c>
      <c r="C89" s="436" t="s">
        <v>116</v>
      </c>
      <c r="D89" s="436" t="s">
        <v>117</v>
      </c>
      <c r="E89" s="438" t="s">
        <v>561</v>
      </c>
      <c r="F89" s="439">
        <v>1.4794556967920831</v>
      </c>
      <c r="G89" s="439">
        <v>0</v>
      </c>
      <c r="H89" s="439">
        <v>0</v>
      </c>
      <c r="I89" s="439" t="s">
        <v>471</v>
      </c>
      <c r="J89" s="439" t="s">
        <v>471</v>
      </c>
      <c r="K89" s="439"/>
      <c r="L89" s="439" t="s">
        <v>471</v>
      </c>
    </row>
    <row r="90" spans="1:12" x14ac:dyDescent="0.25">
      <c r="A90" s="436">
        <v>88</v>
      </c>
      <c r="B90" s="437" t="s">
        <v>796</v>
      </c>
      <c r="C90" s="436" t="s">
        <v>132</v>
      </c>
      <c r="D90" s="436" t="s">
        <v>133</v>
      </c>
      <c r="E90" s="438" t="s">
        <v>561</v>
      </c>
      <c r="F90" s="439">
        <v>1.9862996924889764</v>
      </c>
      <c r="G90" s="439">
        <v>0</v>
      </c>
      <c r="H90" s="439">
        <v>0</v>
      </c>
      <c r="I90" s="439" t="s">
        <v>471</v>
      </c>
      <c r="J90" s="439" t="s">
        <v>471</v>
      </c>
      <c r="K90" s="439"/>
      <c r="L90" s="439" t="s">
        <v>471</v>
      </c>
    </row>
    <row r="91" spans="1:12" x14ac:dyDescent="0.25">
      <c r="A91" s="436">
        <v>89</v>
      </c>
      <c r="B91" s="437" t="s">
        <v>797</v>
      </c>
      <c r="C91" s="436" t="s">
        <v>146</v>
      </c>
      <c r="D91" s="436" t="s">
        <v>147</v>
      </c>
      <c r="E91" s="438" t="s">
        <v>561</v>
      </c>
      <c r="F91" s="439">
        <v>5.0000580440927055E-2</v>
      </c>
      <c r="G91" s="439">
        <v>0</v>
      </c>
      <c r="H91" s="439">
        <v>0</v>
      </c>
      <c r="I91" s="439" t="s">
        <v>471</v>
      </c>
      <c r="J91" s="439" t="s">
        <v>471</v>
      </c>
      <c r="K91" s="439"/>
      <c r="L91" s="439" t="s">
        <v>471</v>
      </c>
    </row>
    <row r="92" spans="1:12" x14ac:dyDescent="0.25">
      <c r="A92" s="436">
        <v>90</v>
      </c>
      <c r="B92" s="437" t="s">
        <v>798</v>
      </c>
      <c r="C92" s="436" t="s">
        <v>148</v>
      </c>
      <c r="D92" s="436" t="s">
        <v>149</v>
      </c>
      <c r="E92" s="438" t="s">
        <v>561</v>
      </c>
      <c r="F92" s="439">
        <v>3.8249703296803981</v>
      </c>
      <c r="G92" s="439">
        <v>0</v>
      </c>
      <c r="H92" s="439">
        <v>0</v>
      </c>
      <c r="I92" s="439" t="s">
        <v>471</v>
      </c>
      <c r="J92" s="439" t="s">
        <v>471</v>
      </c>
      <c r="K92" s="439"/>
      <c r="L92" s="439" t="s">
        <v>471</v>
      </c>
    </row>
    <row r="93" spans="1:12" x14ac:dyDescent="0.25">
      <c r="A93" s="436">
        <v>91</v>
      </c>
      <c r="B93" s="437" t="s">
        <v>799</v>
      </c>
      <c r="C93" s="436" t="s">
        <v>154</v>
      </c>
      <c r="D93" s="436" t="s">
        <v>155</v>
      </c>
      <c r="E93" s="438" t="s">
        <v>561</v>
      </c>
      <c r="F93" s="439">
        <v>1.2358072839557392</v>
      </c>
      <c r="G93" s="439">
        <v>0</v>
      </c>
      <c r="H93" s="439">
        <v>0</v>
      </c>
      <c r="I93" s="439" t="s">
        <v>471</v>
      </c>
      <c r="J93" s="439" t="s">
        <v>471</v>
      </c>
      <c r="K93" s="439"/>
      <c r="L93" s="439" t="s">
        <v>471</v>
      </c>
    </row>
    <row r="94" spans="1:12" x14ac:dyDescent="0.25">
      <c r="A94" s="436">
        <v>92</v>
      </c>
      <c r="B94" s="437" t="s">
        <v>800</v>
      </c>
      <c r="C94" s="436" t="s">
        <v>156</v>
      </c>
      <c r="D94" s="447" t="s">
        <v>157</v>
      </c>
      <c r="E94" s="438" t="s">
        <v>561</v>
      </c>
      <c r="F94" s="439">
        <v>2.0945944859281611</v>
      </c>
      <c r="G94" s="439">
        <v>0</v>
      </c>
      <c r="H94" s="439">
        <v>0</v>
      </c>
      <c r="I94" s="439" t="s">
        <v>471</v>
      </c>
      <c r="J94" s="439" t="s">
        <v>471</v>
      </c>
      <c r="K94" s="439"/>
      <c r="L94" s="439" t="s">
        <v>471</v>
      </c>
    </row>
    <row r="95" spans="1:12" x14ac:dyDescent="0.25">
      <c r="A95" s="436">
        <v>93</v>
      </c>
      <c r="B95" s="437" t="s">
        <v>801</v>
      </c>
      <c r="C95" s="436" t="s">
        <v>162</v>
      </c>
      <c r="D95" s="436" t="s">
        <v>163</v>
      </c>
      <c r="E95" s="438" t="s">
        <v>561</v>
      </c>
      <c r="F95" s="439">
        <v>3.3475805893945934</v>
      </c>
      <c r="G95" s="439">
        <v>0</v>
      </c>
      <c r="H95" s="439">
        <v>0</v>
      </c>
      <c r="I95" s="439" t="s">
        <v>471</v>
      </c>
      <c r="J95" s="439" t="s">
        <v>471</v>
      </c>
      <c r="K95" s="439"/>
      <c r="L95" s="439" t="s">
        <v>471</v>
      </c>
    </row>
    <row r="96" spans="1:12" x14ac:dyDescent="0.25">
      <c r="A96" s="436">
        <v>94</v>
      </c>
      <c r="B96" s="437" t="s">
        <v>802</v>
      </c>
      <c r="C96" s="436" t="s">
        <v>164</v>
      </c>
      <c r="D96" s="436" t="s">
        <v>165</v>
      </c>
      <c r="E96" s="438" t="s">
        <v>561</v>
      </c>
      <c r="F96" s="439">
        <v>2.0137624569761408</v>
      </c>
      <c r="G96" s="439">
        <v>0</v>
      </c>
      <c r="H96" s="439">
        <v>0</v>
      </c>
      <c r="I96" s="439" t="s">
        <v>471</v>
      </c>
      <c r="J96" s="439" t="s">
        <v>471</v>
      </c>
      <c r="K96" s="439"/>
      <c r="L96" s="439" t="s">
        <v>471</v>
      </c>
    </row>
    <row r="97" spans="1:12" x14ac:dyDescent="0.25">
      <c r="A97" s="436">
        <v>95</v>
      </c>
      <c r="B97" s="437" t="s">
        <v>803</v>
      </c>
      <c r="C97" s="436" t="s">
        <v>182</v>
      </c>
      <c r="D97" s="436" t="s">
        <v>183</v>
      </c>
      <c r="E97" s="438" t="s">
        <v>561</v>
      </c>
      <c r="F97" s="439">
        <v>0.18368256247208667</v>
      </c>
      <c r="G97" s="439">
        <v>0</v>
      </c>
      <c r="H97" s="439">
        <v>0</v>
      </c>
      <c r="I97" s="439" t="s">
        <v>471</v>
      </c>
      <c r="J97" s="439" t="s">
        <v>471</v>
      </c>
      <c r="K97" s="439"/>
      <c r="L97" s="439" t="s">
        <v>471</v>
      </c>
    </row>
    <row r="98" spans="1:12" x14ac:dyDescent="0.25">
      <c r="A98" s="436">
        <v>96</v>
      </c>
      <c r="B98" s="437" t="s">
        <v>804</v>
      </c>
      <c r="C98" s="436" t="s">
        <v>188</v>
      </c>
      <c r="D98" s="436" t="s">
        <v>189</v>
      </c>
      <c r="E98" s="438" t="s">
        <v>561</v>
      </c>
      <c r="F98" s="439">
        <v>2.0724241711786626</v>
      </c>
      <c r="G98" s="439">
        <v>0</v>
      </c>
      <c r="H98" s="439">
        <v>0</v>
      </c>
      <c r="I98" s="439" t="s">
        <v>471</v>
      </c>
      <c r="J98" s="439" t="s">
        <v>471</v>
      </c>
      <c r="K98" s="439"/>
      <c r="L98" s="439" t="s">
        <v>471</v>
      </c>
    </row>
    <row r="99" spans="1:12" x14ac:dyDescent="0.25">
      <c r="A99" s="436">
        <v>97</v>
      </c>
      <c r="B99" s="437" t="s">
        <v>805</v>
      </c>
      <c r="C99" s="436" t="s">
        <v>192</v>
      </c>
      <c r="D99" s="436" t="s">
        <v>193</v>
      </c>
      <c r="E99" s="438" t="s">
        <v>561</v>
      </c>
      <c r="F99" s="439">
        <v>3.3085690292466059</v>
      </c>
      <c r="G99" s="439">
        <v>0</v>
      </c>
      <c r="H99" s="439">
        <v>0</v>
      </c>
      <c r="I99" s="439" t="s">
        <v>471</v>
      </c>
      <c r="J99" s="439" t="s">
        <v>471</v>
      </c>
      <c r="K99" s="439"/>
      <c r="L99" s="439" t="s">
        <v>471</v>
      </c>
    </row>
    <row r="100" spans="1:12" x14ac:dyDescent="0.25">
      <c r="A100" s="436">
        <v>98</v>
      </c>
      <c r="B100" s="437" t="s">
        <v>806</v>
      </c>
      <c r="C100" s="436" t="s">
        <v>220</v>
      </c>
      <c r="D100" s="436" t="s">
        <v>221</v>
      </c>
      <c r="E100" s="438" t="s">
        <v>561</v>
      </c>
      <c r="F100" s="439">
        <v>2.1507604525112805</v>
      </c>
      <c r="G100" s="439">
        <v>0</v>
      </c>
      <c r="H100" s="439">
        <v>0</v>
      </c>
      <c r="I100" s="439" t="s">
        <v>471</v>
      </c>
      <c r="J100" s="439" t="s">
        <v>471</v>
      </c>
      <c r="K100" s="439"/>
      <c r="L100" s="439" t="s">
        <v>471</v>
      </c>
    </row>
    <row r="101" spans="1:12" x14ac:dyDescent="0.25">
      <c r="A101" s="436">
        <v>99</v>
      </c>
      <c r="B101" s="437" t="s">
        <v>807</v>
      </c>
      <c r="C101" s="436" t="s">
        <v>222</v>
      </c>
      <c r="D101" s="436" t="s">
        <v>223</v>
      </c>
      <c r="E101" s="438" t="s">
        <v>561</v>
      </c>
      <c r="F101" s="439">
        <v>1.7476183618158756</v>
      </c>
      <c r="G101" s="439">
        <v>0</v>
      </c>
      <c r="H101" s="439">
        <v>0</v>
      </c>
      <c r="I101" s="439" t="s">
        <v>471</v>
      </c>
      <c r="J101" s="439" t="s">
        <v>471</v>
      </c>
      <c r="K101" s="439"/>
      <c r="L101" s="439" t="s">
        <v>471</v>
      </c>
    </row>
    <row r="102" spans="1:12" x14ac:dyDescent="0.25">
      <c r="A102" s="436">
        <v>100</v>
      </c>
      <c r="B102" s="437" t="s">
        <v>808</v>
      </c>
      <c r="C102" s="436" t="s">
        <v>224</v>
      </c>
      <c r="D102" s="436" t="s">
        <v>225</v>
      </c>
      <c r="E102" s="438" t="s">
        <v>561</v>
      </c>
      <c r="F102" s="439">
        <v>1.700757571621915</v>
      </c>
      <c r="G102" s="439">
        <v>0</v>
      </c>
      <c r="H102" s="439">
        <v>0</v>
      </c>
      <c r="I102" s="439" t="s">
        <v>471</v>
      </c>
      <c r="J102" s="439" t="s">
        <v>471</v>
      </c>
      <c r="K102" s="439"/>
      <c r="L102" s="439" t="s">
        <v>471</v>
      </c>
    </row>
    <row r="103" spans="1:12" x14ac:dyDescent="0.25">
      <c r="A103" s="436">
        <v>101</v>
      </c>
      <c r="B103" s="437" t="s">
        <v>809</v>
      </c>
      <c r="C103" s="436" t="s">
        <v>230</v>
      </c>
      <c r="D103" s="436" t="s">
        <v>231</v>
      </c>
      <c r="E103" s="438" t="s">
        <v>561</v>
      </c>
      <c r="F103" s="439">
        <v>3.1671963198722084</v>
      </c>
      <c r="G103" s="439">
        <v>0</v>
      </c>
      <c r="H103" s="439">
        <v>0</v>
      </c>
      <c r="I103" s="439" t="s">
        <v>471</v>
      </c>
      <c r="J103" s="439" t="s">
        <v>471</v>
      </c>
      <c r="K103" s="439"/>
      <c r="L103" s="439" t="s">
        <v>471</v>
      </c>
    </row>
    <row r="104" spans="1:12" x14ac:dyDescent="0.25">
      <c r="A104" s="436">
        <v>102</v>
      </c>
      <c r="B104" s="437" t="s">
        <v>810</v>
      </c>
      <c r="C104" s="436" t="s">
        <v>250</v>
      </c>
      <c r="D104" s="436" t="s">
        <v>251</v>
      </c>
      <c r="E104" s="438" t="s">
        <v>561</v>
      </c>
      <c r="F104" s="439">
        <v>1.6635639450048805</v>
      </c>
      <c r="G104" s="439">
        <v>0</v>
      </c>
      <c r="H104" s="439">
        <v>0</v>
      </c>
      <c r="I104" s="439" t="s">
        <v>471</v>
      </c>
      <c r="J104" s="439" t="s">
        <v>471</v>
      </c>
      <c r="K104" s="439"/>
      <c r="L104" s="439" t="s">
        <v>471</v>
      </c>
    </row>
    <row r="105" spans="1:12" x14ac:dyDescent="0.25">
      <c r="A105" s="436">
        <v>103</v>
      </c>
      <c r="B105" s="437" t="s">
        <v>811</v>
      </c>
      <c r="C105" s="436" t="s">
        <v>266</v>
      </c>
      <c r="D105" s="436" t="s">
        <v>267</v>
      </c>
      <c r="E105" s="438" t="s">
        <v>561</v>
      </c>
      <c r="F105" s="439">
        <v>0.78278265153997373</v>
      </c>
      <c r="G105" s="439">
        <v>0</v>
      </c>
      <c r="H105" s="439">
        <v>0</v>
      </c>
      <c r="I105" s="439" t="s">
        <v>471</v>
      </c>
      <c r="J105" s="439" t="s">
        <v>471</v>
      </c>
      <c r="K105" s="439"/>
      <c r="L105" s="439" t="s">
        <v>471</v>
      </c>
    </row>
    <row r="106" spans="1:12" x14ac:dyDescent="0.25">
      <c r="A106" s="436">
        <v>104</v>
      </c>
      <c r="B106" s="437" t="s">
        <v>812</v>
      </c>
      <c r="C106" s="436" t="s">
        <v>278</v>
      </c>
      <c r="D106" s="436" t="s">
        <v>279</v>
      </c>
      <c r="E106" s="438" t="s">
        <v>561</v>
      </c>
      <c r="F106" s="439">
        <v>0.9656504621439812</v>
      </c>
      <c r="G106" s="439">
        <v>0</v>
      </c>
      <c r="H106" s="439">
        <v>0</v>
      </c>
      <c r="I106" s="439" t="s">
        <v>471</v>
      </c>
      <c r="J106" s="439" t="s">
        <v>471</v>
      </c>
      <c r="K106" s="439"/>
      <c r="L106" s="439" t="s">
        <v>471</v>
      </c>
    </row>
    <row r="107" spans="1:12" x14ac:dyDescent="0.25">
      <c r="A107" s="436">
        <v>105</v>
      </c>
      <c r="B107" s="437" t="s">
        <v>813</v>
      </c>
      <c r="C107" s="436" t="s">
        <v>280</v>
      </c>
      <c r="D107" s="436" t="s">
        <v>280</v>
      </c>
      <c r="E107" s="438" t="s">
        <v>561</v>
      </c>
      <c r="F107" s="439">
        <v>0.45704956560503918</v>
      </c>
      <c r="G107" s="439">
        <v>0</v>
      </c>
      <c r="H107" s="439">
        <v>0</v>
      </c>
      <c r="I107" s="439" t="s">
        <v>471</v>
      </c>
      <c r="J107" s="439" t="s">
        <v>471</v>
      </c>
      <c r="K107" s="439"/>
      <c r="L107" s="439" t="s">
        <v>471</v>
      </c>
    </row>
    <row r="108" spans="1:12" x14ac:dyDescent="0.25">
      <c r="A108" s="436">
        <v>106</v>
      </c>
      <c r="B108" s="437" t="s">
        <v>814</v>
      </c>
      <c r="C108" s="436" t="s">
        <v>283</v>
      </c>
      <c r="D108" s="436" t="s">
        <v>283</v>
      </c>
      <c r="E108" s="438" t="s">
        <v>561</v>
      </c>
      <c r="F108" s="439">
        <v>0.54442668844129682</v>
      </c>
      <c r="G108" s="439">
        <v>0</v>
      </c>
      <c r="H108" s="439">
        <v>0</v>
      </c>
      <c r="I108" s="439" t="s">
        <v>471</v>
      </c>
      <c r="J108" s="439" t="s">
        <v>471</v>
      </c>
      <c r="K108" s="439"/>
      <c r="L108" s="439" t="s">
        <v>471</v>
      </c>
    </row>
    <row r="109" spans="1:12" x14ac:dyDescent="0.25">
      <c r="A109" s="436">
        <v>107</v>
      </c>
      <c r="B109" s="437" t="s">
        <v>815</v>
      </c>
      <c r="C109" s="436" t="s">
        <v>26</v>
      </c>
      <c r="D109" s="436" t="s">
        <v>27</v>
      </c>
      <c r="E109" s="438" t="s">
        <v>561</v>
      </c>
      <c r="F109" s="439">
        <v>8.1892728685329583</v>
      </c>
      <c r="G109" s="439">
        <v>-1.5278865253502753E-2</v>
      </c>
      <c r="H109" s="439">
        <v>-1.5278865253502753E-2</v>
      </c>
      <c r="I109" s="439" t="s">
        <v>471</v>
      </c>
      <c r="J109" s="439" t="s">
        <v>471</v>
      </c>
      <c r="K109" s="439"/>
      <c r="L109" s="439" t="s">
        <v>471</v>
      </c>
    </row>
    <row r="110" spans="1:12" x14ac:dyDescent="0.25">
      <c r="A110" s="436">
        <v>108</v>
      </c>
      <c r="B110" s="437" t="s">
        <v>816</v>
      </c>
      <c r="C110" s="436" t="s">
        <v>24</v>
      </c>
      <c r="D110" s="436" t="s">
        <v>25</v>
      </c>
      <c r="E110" s="438" t="s">
        <v>561</v>
      </c>
      <c r="F110" s="439">
        <v>10.954141849577841</v>
      </c>
      <c r="G110" s="439">
        <v>-2.3091044697801349E-2</v>
      </c>
      <c r="H110" s="439">
        <v>-2.3091044697801349E-2</v>
      </c>
      <c r="I110" s="439" t="s">
        <v>471</v>
      </c>
      <c r="J110" s="439" t="s">
        <v>471</v>
      </c>
      <c r="K110" s="439"/>
      <c r="L110" s="439" t="s">
        <v>471</v>
      </c>
    </row>
    <row r="111" spans="1:12" x14ac:dyDescent="0.25">
      <c r="A111" s="436">
        <v>109</v>
      </c>
      <c r="B111" s="437" t="s">
        <v>817</v>
      </c>
      <c r="C111" s="436" t="s">
        <v>228</v>
      </c>
      <c r="D111" s="436" t="s">
        <v>229</v>
      </c>
      <c r="E111" s="438" t="s">
        <v>561</v>
      </c>
      <c r="F111" s="439">
        <v>11.638593616808759</v>
      </c>
      <c r="G111" s="439">
        <v>-6.3747662489805901E-2</v>
      </c>
      <c r="H111" s="439">
        <v>-6.3747662489805901E-2</v>
      </c>
      <c r="I111" s="439" t="s">
        <v>471</v>
      </c>
      <c r="J111" s="439" t="s">
        <v>471</v>
      </c>
      <c r="K111" s="439"/>
      <c r="L111" s="439" t="s">
        <v>471</v>
      </c>
    </row>
    <row r="112" spans="1:12" x14ac:dyDescent="0.25">
      <c r="A112" s="436">
        <v>110</v>
      </c>
      <c r="B112" s="437" t="s">
        <v>818</v>
      </c>
      <c r="C112" s="436" t="s">
        <v>20</v>
      </c>
      <c r="D112" s="436" t="s">
        <v>21</v>
      </c>
      <c r="E112" s="438" t="s">
        <v>561</v>
      </c>
      <c r="F112" s="439">
        <v>8.6922559477598114</v>
      </c>
      <c r="G112" s="439">
        <v>-6.7300020845471376E-2</v>
      </c>
      <c r="H112" s="439">
        <v>-6.7300020845471376E-2</v>
      </c>
      <c r="I112" s="439" t="s">
        <v>471</v>
      </c>
      <c r="J112" s="439" t="s">
        <v>471</v>
      </c>
      <c r="K112" s="439"/>
      <c r="L112" s="439" t="s">
        <v>471</v>
      </c>
    </row>
    <row r="113" spans="1:12" x14ac:dyDescent="0.25">
      <c r="A113" s="436">
        <v>111</v>
      </c>
      <c r="B113" s="437" t="s">
        <v>819</v>
      </c>
      <c r="C113" s="436" t="s">
        <v>240</v>
      </c>
      <c r="D113" s="436" t="s">
        <v>241</v>
      </c>
      <c r="E113" s="438" t="s">
        <v>561</v>
      </c>
      <c r="F113" s="439">
        <v>7.0608086883686951</v>
      </c>
      <c r="G113" s="439">
        <v>-0.16338241427086372</v>
      </c>
      <c r="H113" s="439">
        <v>-0.16338241427086372</v>
      </c>
      <c r="I113" s="439" t="s">
        <v>471</v>
      </c>
      <c r="J113" s="439" t="s">
        <v>471</v>
      </c>
      <c r="K113" s="439"/>
      <c r="L113" s="439" t="s">
        <v>471</v>
      </c>
    </row>
    <row r="114" spans="1:12" x14ac:dyDescent="0.25">
      <c r="A114" s="436">
        <v>112</v>
      </c>
      <c r="B114" s="437" t="s">
        <v>820</v>
      </c>
      <c r="C114" s="436" t="s">
        <v>128</v>
      </c>
      <c r="D114" s="436" t="s">
        <v>129</v>
      </c>
      <c r="E114" s="438" t="s">
        <v>561</v>
      </c>
      <c r="F114" s="439">
        <v>8.3450818531789928</v>
      </c>
      <c r="G114" s="439">
        <v>-0.18751490809236904</v>
      </c>
      <c r="H114" s="439">
        <v>-0.2386011429301747</v>
      </c>
      <c r="I114" s="439" t="s">
        <v>471</v>
      </c>
      <c r="J114" s="439" t="s">
        <v>471</v>
      </c>
      <c r="K114" s="439"/>
      <c r="L114" s="439" t="s">
        <v>471</v>
      </c>
    </row>
    <row r="115" spans="1:12" x14ac:dyDescent="0.25">
      <c r="A115" s="436">
        <v>113</v>
      </c>
      <c r="B115" s="437" t="s">
        <v>590</v>
      </c>
      <c r="C115" s="436" t="s">
        <v>282</v>
      </c>
      <c r="D115" s="436" t="s">
        <v>282</v>
      </c>
      <c r="E115" s="438" t="s">
        <v>561</v>
      </c>
      <c r="F115" s="439">
        <v>17.694023183319651</v>
      </c>
      <c r="G115" s="439">
        <v>-0.19569413692616688</v>
      </c>
      <c r="H115" s="439">
        <v>-0.32375726818376349</v>
      </c>
      <c r="I115" s="439" t="s">
        <v>471</v>
      </c>
      <c r="J115" s="439" t="s">
        <v>471</v>
      </c>
      <c r="K115" s="439" t="s">
        <v>599</v>
      </c>
      <c r="L115" s="439" t="s">
        <v>471</v>
      </c>
    </row>
    <row r="116" spans="1:12" x14ac:dyDescent="0.25">
      <c r="A116" s="436">
        <v>114</v>
      </c>
      <c r="B116" s="437" t="s">
        <v>821</v>
      </c>
      <c r="C116" s="436" t="s">
        <v>30</v>
      </c>
      <c r="D116" s="436" t="s">
        <v>31</v>
      </c>
      <c r="E116" s="438" t="s">
        <v>561</v>
      </c>
      <c r="F116" s="439">
        <v>15.255404614127983</v>
      </c>
      <c r="G116" s="439">
        <v>-0.2156120817344182</v>
      </c>
      <c r="H116" s="439">
        <v>-0.2156120817344182</v>
      </c>
      <c r="I116" s="439" t="s">
        <v>471</v>
      </c>
      <c r="J116" s="439" t="s">
        <v>471</v>
      </c>
      <c r="K116" s="439"/>
      <c r="L116" s="439" t="s">
        <v>471</v>
      </c>
    </row>
    <row r="117" spans="1:12" x14ac:dyDescent="0.25">
      <c r="A117" s="436">
        <v>115</v>
      </c>
      <c r="B117" s="437" t="s">
        <v>822</v>
      </c>
      <c r="C117" s="436" t="s">
        <v>184</v>
      </c>
      <c r="D117" s="436" t="s">
        <v>185</v>
      </c>
      <c r="E117" s="438" t="s">
        <v>561</v>
      </c>
      <c r="F117" s="439">
        <v>10.786096714508796</v>
      </c>
      <c r="G117" s="439">
        <v>-0.25081875526191028</v>
      </c>
      <c r="H117" s="439">
        <v>-0.25081875526191028</v>
      </c>
      <c r="I117" s="439" t="s">
        <v>471</v>
      </c>
      <c r="J117" s="439" t="s">
        <v>471</v>
      </c>
      <c r="K117" s="439"/>
      <c r="L117" s="439" t="s">
        <v>471</v>
      </c>
    </row>
    <row r="118" spans="1:12" x14ac:dyDescent="0.25">
      <c r="A118" s="436">
        <v>116</v>
      </c>
      <c r="B118" s="437" t="s">
        <v>823</v>
      </c>
      <c r="C118" s="436" t="s">
        <v>8</v>
      </c>
      <c r="D118" s="436" t="s">
        <v>9</v>
      </c>
      <c r="E118" s="438" t="s">
        <v>561</v>
      </c>
      <c r="F118" s="439">
        <v>6.5825247765056183</v>
      </c>
      <c r="G118" s="439">
        <v>-0.27233463498525134</v>
      </c>
      <c r="H118" s="439">
        <v>-0.27233463498525134</v>
      </c>
      <c r="I118" s="439" t="s">
        <v>471</v>
      </c>
      <c r="J118" s="439" t="s">
        <v>471</v>
      </c>
      <c r="K118" s="439"/>
      <c r="L118" s="439" t="s">
        <v>471</v>
      </c>
    </row>
    <row r="119" spans="1:12" x14ac:dyDescent="0.25">
      <c r="A119" s="436">
        <v>117</v>
      </c>
      <c r="B119" s="437" t="s">
        <v>824</v>
      </c>
      <c r="C119" s="436" t="s">
        <v>166</v>
      </c>
      <c r="D119" s="436" t="s">
        <v>167</v>
      </c>
      <c r="E119" s="438" t="s">
        <v>561</v>
      </c>
      <c r="F119" s="439">
        <v>6.7317284833329367</v>
      </c>
      <c r="G119" s="439">
        <v>-0.33653804380099395</v>
      </c>
      <c r="H119" s="439">
        <v>-0.33653804380099395</v>
      </c>
      <c r="I119" s="439" t="s">
        <v>471</v>
      </c>
      <c r="J119" s="439" t="s">
        <v>471</v>
      </c>
      <c r="K119" s="439"/>
      <c r="L119" s="439" t="s">
        <v>471</v>
      </c>
    </row>
    <row r="120" spans="1:12" x14ac:dyDescent="0.25">
      <c r="A120" s="436">
        <v>118</v>
      </c>
      <c r="B120" s="437" t="s">
        <v>825</v>
      </c>
      <c r="C120" s="436" t="s">
        <v>64</v>
      </c>
      <c r="D120" s="436" t="s">
        <v>65</v>
      </c>
      <c r="E120" s="438" t="s">
        <v>561</v>
      </c>
      <c r="F120" s="439">
        <v>19.493059473804152</v>
      </c>
      <c r="G120" s="439">
        <v>-0.33828301210693851</v>
      </c>
      <c r="H120" s="439">
        <v>-0.33828301210693851</v>
      </c>
      <c r="I120" s="439" t="s">
        <v>471</v>
      </c>
      <c r="J120" s="439" t="s">
        <v>471</v>
      </c>
      <c r="K120" s="439"/>
      <c r="L120" s="439" t="s">
        <v>471</v>
      </c>
    </row>
    <row r="121" spans="1:12" x14ac:dyDescent="0.25">
      <c r="A121" s="436">
        <v>119</v>
      </c>
      <c r="B121" s="437" t="s">
        <v>826</v>
      </c>
      <c r="C121" s="436" t="s">
        <v>216</v>
      </c>
      <c r="D121" s="436" t="s">
        <v>217</v>
      </c>
      <c r="E121" s="438" t="s">
        <v>561</v>
      </c>
      <c r="F121" s="439">
        <v>6.2279916849269084</v>
      </c>
      <c r="G121" s="439">
        <v>-0.36547867555761598</v>
      </c>
      <c r="H121" s="439">
        <v>-0.36547867555761598</v>
      </c>
      <c r="I121" s="439" t="s">
        <v>471</v>
      </c>
      <c r="J121" s="439" t="s">
        <v>471</v>
      </c>
      <c r="K121" s="439"/>
      <c r="L121" s="439" t="s">
        <v>471</v>
      </c>
    </row>
    <row r="122" spans="1:12" x14ac:dyDescent="0.25">
      <c r="A122" s="436">
        <v>120</v>
      </c>
      <c r="B122" s="437" t="s">
        <v>827</v>
      </c>
      <c r="C122" s="436" t="s">
        <v>56</v>
      </c>
      <c r="D122" s="436" t="s">
        <v>57</v>
      </c>
      <c r="E122" s="438" t="s">
        <v>561</v>
      </c>
      <c r="F122" s="439">
        <v>8.6399583971306733</v>
      </c>
      <c r="G122" s="439">
        <v>-0.37138322984055006</v>
      </c>
      <c r="H122" s="439">
        <v>-0.37138322984055006</v>
      </c>
      <c r="I122" s="439" t="s">
        <v>471</v>
      </c>
      <c r="J122" s="439" t="s">
        <v>471</v>
      </c>
      <c r="K122" s="439"/>
      <c r="L122" s="439" t="s">
        <v>471</v>
      </c>
    </row>
    <row r="123" spans="1:12" x14ac:dyDescent="0.25">
      <c r="A123" s="436">
        <v>121</v>
      </c>
      <c r="B123" s="437" t="s">
        <v>828</v>
      </c>
      <c r="C123" s="436" t="s">
        <v>234</v>
      </c>
      <c r="D123" s="436" t="s">
        <v>235</v>
      </c>
      <c r="E123" s="438" t="s">
        <v>561</v>
      </c>
      <c r="F123" s="439">
        <v>13.729993495110033</v>
      </c>
      <c r="G123" s="439">
        <v>-0.39178354450576602</v>
      </c>
      <c r="H123" s="439">
        <v>-0.39178354450576602</v>
      </c>
      <c r="I123" s="439" t="s">
        <v>471</v>
      </c>
      <c r="J123" s="439" t="s">
        <v>471</v>
      </c>
      <c r="K123" s="439"/>
      <c r="L123" s="439" t="s">
        <v>1473</v>
      </c>
    </row>
    <row r="124" spans="1:12" x14ac:dyDescent="0.25">
      <c r="A124" s="436">
        <v>122</v>
      </c>
      <c r="B124" s="437" t="s">
        <v>829</v>
      </c>
      <c r="C124" s="436" t="s">
        <v>272</v>
      </c>
      <c r="D124" s="436" t="s">
        <v>273</v>
      </c>
      <c r="E124" s="438" t="s">
        <v>561</v>
      </c>
      <c r="F124" s="439">
        <v>17.601883971060328</v>
      </c>
      <c r="G124" s="439">
        <v>-0.39441264558558981</v>
      </c>
      <c r="H124" s="439">
        <v>-0.39441264558558981</v>
      </c>
      <c r="I124" s="439" t="s">
        <v>471</v>
      </c>
      <c r="J124" s="439" t="s">
        <v>471</v>
      </c>
      <c r="K124" s="439"/>
      <c r="L124" s="439" t="s">
        <v>471</v>
      </c>
    </row>
    <row r="125" spans="1:12" x14ac:dyDescent="0.25">
      <c r="A125" s="436">
        <v>123</v>
      </c>
      <c r="B125" s="437" t="s">
        <v>830</v>
      </c>
      <c r="C125" s="436" t="s">
        <v>118</v>
      </c>
      <c r="D125" s="436" t="s">
        <v>119</v>
      </c>
      <c r="E125" s="438" t="s">
        <v>561</v>
      </c>
      <c r="F125" s="439">
        <v>19.354492137571448</v>
      </c>
      <c r="G125" s="439">
        <v>-0.41853568733586394</v>
      </c>
      <c r="H125" s="439">
        <v>-0.41853568733586394</v>
      </c>
      <c r="I125" s="439" t="s">
        <v>471</v>
      </c>
      <c r="J125" s="439" t="s">
        <v>471</v>
      </c>
      <c r="K125" s="439"/>
      <c r="L125" s="439" t="s">
        <v>471</v>
      </c>
    </row>
    <row r="126" spans="1:12" x14ac:dyDescent="0.25">
      <c r="A126" s="436">
        <v>124</v>
      </c>
      <c r="B126" s="437" t="s">
        <v>831</v>
      </c>
      <c r="C126" s="436" t="s">
        <v>268</v>
      </c>
      <c r="D126" s="436" t="s">
        <v>269</v>
      </c>
      <c r="E126" s="438" t="s">
        <v>561</v>
      </c>
      <c r="F126" s="439">
        <v>11.639366417335415</v>
      </c>
      <c r="G126" s="439">
        <v>-0.419123729685207</v>
      </c>
      <c r="H126" s="439">
        <v>-0.419123729685207</v>
      </c>
      <c r="I126" s="439" t="s">
        <v>471</v>
      </c>
      <c r="J126" s="439" t="s">
        <v>471</v>
      </c>
      <c r="K126" s="439"/>
      <c r="L126" s="439" t="s">
        <v>471</v>
      </c>
    </row>
    <row r="127" spans="1:12" x14ac:dyDescent="0.25">
      <c r="A127" s="436">
        <v>125</v>
      </c>
      <c r="B127" s="437" t="s">
        <v>832</v>
      </c>
      <c r="C127" s="436" t="s">
        <v>58</v>
      </c>
      <c r="D127" s="436" t="s">
        <v>59</v>
      </c>
      <c r="E127" s="438" t="s">
        <v>561</v>
      </c>
      <c r="F127" s="439">
        <v>13.311721741360236</v>
      </c>
      <c r="G127" s="439">
        <v>-0.46562407810760886</v>
      </c>
      <c r="H127" s="439">
        <v>-0.46562407810760886</v>
      </c>
      <c r="I127" s="439" t="s">
        <v>471</v>
      </c>
      <c r="J127" s="439" t="s">
        <v>471</v>
      </c>
      <c r="K127" s="439"/>
      <c r="L127" s="439" t="s">
        <v>471</v>
      </c>
    </row>
    <row r="128" spans="1:12" x14ac:dyDescent="0.25">
      <c r="A128" s="436">
        <v>126</v>
      </c>
      <c r="B128" s="437" t="s">
        <v>833</v>
      </c>
      <c r="C128" s="436" t="s">
        <v>144</v>
      </c>
      <c r="D128" s="436" t="s">
        <v>145</v>
      </c>
      <c r="E128" s="438" t="s">
        <v>561</v>
      </c>
      <c r="F128" s="439">
        <v>20.11117452761086</v>
      </c>
      <c r="G128" s="439">
        <v>-0.4676896293494413</v>
      </c>
      <c r="H128" s="439">
        <v>-0.4676896293494413</v>
      </c>
      <c r="I128" s="439" t="s">
        <v>471</v>
      </c>
      <c r="J128" s="439" t="s">
        <v>471</v>
      </c>
      <c r="K128" s="439"/>
      <c r="L128" s="439" t="s">
        <v>471</v>
      </c>
    </row>
    <row r="129" spans="1:12" x14ac:dyDescent="0.25">
      <c r="A129" s="436">
        <v>127</v>
      </c>
      <c r="B129" s="437" t="s">
        <v>834</v>
      </c>
      <c r="C129" s="436" t="s">
        <v>42</v>
      </c>
      <c r="D129" s="436" t="s">
        <v>43</v>
      </c>
      <c r="E129" s="438" t="s">
        <v>561</v>
      </c>
      <c r="F129" s="439">
        <v>4.4802965831964725</v>
      </c>
      <c r="G129" s="439">
        <v>-0.53063877694489758</v>
      </c>
      <c r="H129" s="439">
        <v>-0.53063877694489758</v>
      </c>
      <c r="I129" s="439" t="s">
        <v>471</v>
      </c>
      <c r="J129" s="439" t="s">
        <v>471</v>
      </c>
      <c r="K129" s="439"/>
      <c r="L129" s="439" t="s">
        <v>471</v>
      </c>
    </row>
    <row r="130" spans="1:12" x14ac:dyDescent="0.25">
      <c r="A130" s="436">
        <v>128</v>
      </c>
      <c r="B130" s="437" t="s">
        <v>835</v>
      </c>
      <c r="C130" s="436" t="s">
        <v>286</v>
      </c>
      <c r="D130" s="436" t="s">
        <v>287</v>
      </c>
      <c r="E130" s="438" t="s">
        <v>561</v>
      </c>
      <c r="F130" s="439">
        <v>25.411859037127059</v>
      </c>
      <c r="G130" s="439">
        <v>-0.57450081299195033</v>
      </c>
      <c r="H130" s="439">
        <v>-0.57450081299195033</v>
      </c>
      <c r="I130" s="439" t="s">
        <v>471</v>
      </c>
      <c r="J130" s="439" t="s">
        <v>471</v>
      </c>
      <c r="K130" s="439"/>
      <c r="L130" s="439" t="s">
        <v>471</v>
      </c>
    </row>
    <row r="131" spans="1:12" x14ac:dyDescent="0.25">
      <c r="A131" s="436">
        <v>129</v>
      </c>
      <c r="B131" s="437" t="s">
        <v>836</v>
      </c>
      <c r="C131" s="436" t="s">
        <v>172</v>
      </c>
      <c r="D131" s="436" t="s">
        <v>173</v>
      </c>
      <c r="E131" s="438" t="s">
        <v>561</v>
      </c>
      <c r="F131" s="439">
        <v>18.895959546683621</v>
      </c>
      <c r="G131" s="439">
        <v>-0.57473307024721354</v>
      </c>
      <c r="H131" s="439">
        <v>-0.57473307024721354</v>
      </c>
      <c r="I131" s="439" t="s">
        <v>471</v>
      </c>
      <c r="J131" s="439" t="s">
        <v>471</v>
      </c>
      <c r="K131" s="439"/>
      <c r="L131" s="439" t="s">
        <v>471</v>
      </c>
    </row>
    <row r="132" spans="1:12" x14ac:dyDescent="0.25">
      <c r="A132" s="436">
        <v>130</v>
      </c>
      <c r="B132" s="437" t="s">
        <v>837</v>
      </c>
      <c r="C132" s="436" t="s">
        <v>204</v>
      </c>
      <c r="D132" s="436" t="s">
        <v>205</v>
      </c>
      <c r="E132" s="438" t="s">
        <v>561</v>
      </c>
      <c r="F132" s="439">
        <v>16.877856329617522</v>
      </c>
      <c r="G132" s="439">
        <v>-0.57599387587154283</v>
      </c>
      <c r="H132" s="439">
        <v>-0.57599387587154283</v>
      </c>
      <c r="I132" s="439" t="s">
        <v>471</v>
      </c>
      <c r="J132" s="439" t="s">
        <v>471</v>
      </c>
      <c r="K132" s="439"/>
      <c r="L132" s="439" t="s">
        <v>471</v>
      </c>
    </row>
    <row r="133" spans="1:12" x14ac:dyDescent="0.25">
      <c r="A133" s="436">
        <v>131</v>
      </c>
      <c r="B133" s="437" t="s">
        <v>838</v>
      </c>
      <c r="C133" s="436" t="s">
        <v>62</v>
      </c>
      <c r="D133" s="436" t="s">
        <v>63</v>
      </c>
      <c r="E133" s="438" t="s">
        <v>561</v>
      </c>
      <c r="F133" s="439">
        <v>18.528664812813673</v>
      </c>
      <c r="G133" s="439">
        <v>-0.60872001598085346</v>
      </c>
      <c r="H133" s="439">
        <v>-0.60872001598085346</v>
      </c>
      <c r="I133" s="439" t="s">
        <v>471</v>
      </c>
      <c r="J133" s="439" t="s">
        <v>471</v>
      </c>
      <c r="K133" s="439"/>
      <c r="L133" s="439" t="s">
        <v>471</v>
      </c>
    </row>
    <row r="134" spans="1:12" x14ac:dyDescent="0.25">
      <c r="A134" s="436">
        <v>132</v>
      </c>
      <c r="B134" s="437" t="s">
        <v>839</v>
      </c>
      <c r="C134" s="436" t="s">
        <v>284</v>
      </c>
      <c r="D134" s="436" t="s">
        <v>285</v>
      </c>
      <c r="E134" s="438" t="s">
        <v>561</v>
      </c>
      <c r="F134" s="439">
        <v>13.792274520394376</v>
      </c>
      <c r="G134" s="439">
        <v>-0.61780521431580315</v>
      </c>
      <c r="H134" s="439">
        <v>-0.61780521431580315</v>
      </c>
      <c r="I134" s="439" t="s">
        <v>471</v>
      </c>
      <c r="J134" s="439" t="s">
        <v>471</v>
      </c>
      <c r="K134" s="439"/>
      <c r="L134" s="439" t="s">
        <v>471</v>
      </c>
    </row>
    <row r="135" spans="1:12" x14ac:dyDescent="0.25">
      <c r="A135" s="436">
        <v>133</v>
      </c>
      <c r="B135" s="437" t="s">
        <v>840</v>
      </c>
      <c r="C135" s="436" t="s">
        <v>194</v>
      </c>
      <c r="D135" s="436" t="s">
        <v>195</v>
      </c>
      <c r="E135" s="438" t="s">
        <v>561</v>
      </c>
      <c r="F135" s="439">
        <v>4.1985918005477281</v>
      </c>
      <c r="G135" s="439">
        <v>-0.63524040943974258</v>
      </c>
      <c r="H135" s="439">
        <v>-0.63524040943974258</v>
      </c>
      <c r="I135" s="439" t="s">
        <v>471</v>
      </c>
      <c r="J135" s="439" t="s">
        <v>471</v>
      </c>
      <c r="K135" s="439"/>
      <c r="L135" s="439" t="s">
        <v>471</v>
      </c>
    </row>
    <row r="136" spans="1:12" x14ac:dyDescent="0.25">
      <c r="A136" s="436">
        <v>134</v>
      </c>
      <c r="B136" s="437" t="s">
        <v>841</v>
      </c>
      <c r="C136" s="436" t="s">
        <v>50</v>
      </c>
      <c r="D136" s="436" t="s">
        <v>51</v>
      </c>
      <c r="E136" s="438" t="s">
        <v>561</v>
      </c>
      <c r="F136" s="439">
        <v>7.2900749838126089</v>
      </c>
      <c r="G136" s="439">
        <v>-0.66940716684327839</v>
      </c>
      <c r="H136" s="439">
        <v>-0.66940716684327839</v>
      </c>
      <c r="I136" s="439" t="s">
        <v>471</v>
      </c>
      <c r="J136" s="439" t="s">
        <v>471</v>
      </c>
      <c r="K136" s="439"/>
      <c r="L136" s="439" t="s">
        <v>471</v>
      </c>
    </row>
    <row r="137" spans="1:12" x14ac:dyDescent="0.25">
      <c r="A137" s="436">
        <v>135</v>
      </c>
      <c r="B137" s="437" t="s">
        <v>842</v>
      </c>
      <c r="C137" s="436" t="s">
        <v>66</v>
      </c>
      <c r="D137" s="436" t="s">
        <v>67</v>
      </c>
      <c r="E137" s="441">
        <v>2</v>
      </c>
      <c r="F137" s="439">
        <v>2.9460191762842323</v>
      </c>
      <c r="G137" s="439">
        <v>-0.71729178265996663</v>
      </c>
      <c r="H137" s="439">
        <v>-0.91454702289145873</v>
      </c>
      <c r="I137" s="439" t="s">
        <v>471</v>
      </c>
      <c r="J137" s="439" t="s">
        <v>471</v>
      </c>
      <c r="K137" s="439"/>
      <c r="L137" s="439" t="s">
        <v>1473</v>
      </c>
    </row>
    <row r="138" spans="1:12" x14ac:dyDescent="0.25">
      <c r="A138" s="436">
        <v>136</v>
      </c>
      <c r="B138" s="437" t="s">
        <v>843</v>
      </c>
      <c r="C138" s="436" t="s">
        <v>206</v>
      </c>
      <c r="D138" s="436" t="s">
        <v>207</v>
      </c>
      <c r="E138" s="441">
        <v>2</v>
      </c>
      <c r="F138" s="439">
        <v>2.4452553032534747</v>
      </c>
      <c r="G138" s="439">
        <v>-0.76616991503850884</v>
      </c>
      <c r="H138" s="439">
        <v>-0.97686664167409865</v>
      </c>
      <c r="I138" s="439" t="s">
        <v>471</v>
      </c>
      <c r="J138" s="439" t="s">
        <v>471</v>
      </c>
      <c r="K138" s="439"/>
      <c r="L138" s="439" t="s">
        <v>471</v>
      </c>
    </row>
    <row r="139" spans="1:12" x14ac:dyDescent="0.25">
      <c r="A139" s="436">
        <v>137</v>
      </c>
      <c r="B139" s="437" t="s">
        <v>844</v>
      </c>
      <c r="C139" s="436" t="s">
        <v>208</v>
      </c>
      <c r="D139" s="436" t="s">
        <v>209</v>
      </c>
      <c r="E139" s="438" t="s">
        <v>561</v>
      </c>
      <c r="F139" s="439">
        <v>14.182167597833507</v>
      </c>
      <c r="G139" s="439">
        <v>-0.82462704498726069</v>
      </c>
      <c r="H139" s="439">
        <v>-0.82462704498726069</v>
      </c>
      <c r="I139" s="439" t="s">
        <v>471</v>
      </c>
      <c r="J139" s="439" t="s">
        <v>471</v>
      </c>
      <c r="K139" s="439"/>
      <c r="L139" s="439" t="s">
        <v>471</v>
      </c>
    </row>
    <row r="140" spans="1:12" x14ac:dyDescent="0.25">
      <c r="A140" s="436">
        <v>138</v>
      </c>
      <c r="B140" s="437" t="s">
        <v>845</v>
      </c>
      <c r="C140" s="436" t="s">
        <v>60</v>
      </c>
      <c r="D140" s="436" t="s">
        <v>61</v>
      </c>
      <c r="E140" s="438" t="s">
        <v>561</v>
      </c>
      <c r="F140" s="439">
        <v>10.991888559041477</v>
      </c>
      <c r="G140" s="439">
        <v>-0.90821770980458749</v>
      </c>
      <c r="H140" s="439">
        <v>-0.90821770980458749</v>
      </c>
      <c r="I140" s="439" t="s">
        <v>471</v>
      </c>
      <c r="J140" s="439" t="s">
        <v>471</v>
      </c>
      <c r="K140" s="439"/>
      <c r="L140" s="439" t="s">
        <v>471</v>
      </c>
    </row>
    <row r="141" spans="1:12" x14ac:dyDescent="0.25">
      <c r="A141" s="436">
        <v>139</v>
      </c>
      <c r="B141" s="437" t="s">
        <v>846</v>
      </c>
      <c r="C141" s="436" t="s">
        <v>276</v>
      </c>
      <c r="D141" s="436" t="s">
        <v>277</v>
      </c>
      <c r="E141" s="438" t="s">
        <v>561</v>
      </c>
      <c r="F141" s="439">
        <v>5.6730682086387869</v>
      </c>
      <c r="G141" s="439">
        <v>-0.97858091701815808</v>
      </c>
      <c r="H141" s="439">
        <v>-0.97858091701815808</v>
      </c>
      <c r="I141" s="439" t="s">
        <v>471</v>
      </c>
      <c r="J141" s="439" t="s">
        <v>471</v>
      </c>
      <c r="K141" s="439"/>
      <c r="L141" s="439" t="s">
        <v>471</v>
      </c>
    </row>
    <row r="142" spans="1:12" x14ac:dyDescent="0.25">
      <c r="A142" s="436">
        <v>140</v>
      </c>
      <c r="B142" s="437" t="s">
        <v>847</v>
      </c>
      <c r="C142" s="436" t="s">
        <v>28</v>
      </c>
      <c r="D142" s="436" t="s">
        <v>29</v>
      </c>
      <c r="E142" s="438" t="s">
        <v>561</v>
      </c>
      <c r="F142" s="439">
        <v>16.99660595956211</v>
      </c>
      <c r="G142" s="439">
        <v>-0.98921447176436939</v>
      </c>
      <c r="H142" s="439">
        <v>-0.98921447176436939</v>
      </c>
      <c r="I142" s="439" t="s">
        <v>471</v>
      </c>
      <c r="J142" s="439" t="s">
        <v>471</v>
      </c>
      <c r="K142" s="439"/>
      <c r="L142" s="439" t="s">
        <v>471</v>
      </c>
    </row>
    <row r="143" spans="1:12" x14ac:dyDescent="0.25">
      <c r="A143" s="436">
        <v>141</v>
      </c>
      <c r="B143" s="437" t="s">
        <v>848</v>
      </c>
      <c r="C143" s="436" t="s">
        <v>4</v>
      </c>
      <c r="D143" s="436" t="s">
        <v>5</v>
      </c>
      <c r="E143" s="438" t="s">
        <v>561</v>
      </c>
      <c r="F143" s="439">
        <v>12.023110482324023</v>
      </c>
      <c r="G143" s="439">
        <v>-1.0112482614251457</v>
      </c>
      <c r="H143" s="439">
        <v>-1.0112482614251457</v>
      </c>
      <c r="I143" s="439" t="s">
        <v>471</v>
      </c>
      <c r="J143" s="439" t="s">
        <v>471</v>
      </c>
      <c r="K143" s="439"/>
      <c r="L143" s="436" t="s">
        <v>471</v>
      </c>
    </row>
    <row r="144" spans="1:12" x14ac:dyDescent="0.25">
      <c r="A144" s="436">
        <v>142</v>
      </c>
      <c r="B144" s="437" t="s">
        <v>849</v>
      </c>
      <c r="C144" s="436" t="s">
        <v>226</v>
      </c>
      <c r="D144" s="436" t="s">
        <v>227</v>
      </c>
      <c r="E144" s="438" t="s">
        <v>561</v>
      </c>
      <c r="F144" s="439">
        <v>15.598413309190839</v>
      </c>
      <c r="G144" s="439">
        <v>-1.0415617802940638</v>
      </c>
      <c r="H144" s="439">
        <v>-1.0415617802940638</v>
      </c>
      <c r="I144" s="439" t="s">
        <v>471</v>
      </c>
      <c r="J144" s="439" t="s">
        <v>471</v>
      </c>
      <c r="K144" s="439"/>
      <c r="L144" s="436" t="s">
        <v>471</v>
      </c>
    </row>
    <row r="145" spans="1:12" x14ac:dyDescent="0.25">
      <c r="A145" s="436">
        <v>143</v>
      </c>
      <c r="B145" s="437" t="s">
        <v>850</v>
      </c>
      <c r="C145" s="436" t="s">
        <v>2</v>
      </c>
      <c r="D145" s="436" t="s">
        <v>3</v>
      </c>
      <c r="E145" s="438" t="s">
        <v>561</v>
      </c>
      <c r="F145" s="439">
        <v>19.265179224772087</v>
      </c>
      <c r="G145" s="439">
        <v>-1.0500994164151907</v>
      </c>
      <c r="H145" s="439">
        <v>-1.0500994164151907</v>
      </c>
      <c r="I145" s="439" t="s">
        <v>471</v>
      </c>
      <c r="J145" s="439" t="s">
        <v>471</v>
      </c>
      <c r="K145" s="439"/>
      <c r="L145" s="436" t="s">
        <v>471</v>
      </c>
    </row>
    <row r="146" spans="1:12" x14ac:dyDescent="0.25">
      <c r="A146" s="436">
        <v>144</v>
      </c>
      <c r="B146" s="437" t="s">
        <v>851</v>
      </c>
      <c r="C146" s="436" t="s">
        <v>72</v>
      </c>
      <c r="D146" s="436" t="s">
        <v>73</v>
      </c>
      <c r="E146" s="438" t="s">
        <v>561</v>
      </c>
      <c r="F146" s="439">
        <v>11.075350095489712</v>
      </c>
      <c r="G146" s="439">
        <v>-1.0822646719215143</v>
      </c>
      <c r="H146" s="439">
        <v>-1.0822646719215143</v>
      </c>
      <c r="I146" s="439" t="s">
        <v>471</v>
      </c>
      <c r="J146" s="439" t="s">
        <v>471</v>
      </c>
      <c r="K146" s="439"/>
      <c r="L146" s="436" t="s">
        <v>471</v>
      </c>
    </row>
    <row r="147" spans="1:12" x14ac:dyDescent="0.25">
      <c r="A147" s="436">
        <v>145</v>
      </c>
      <c r="B147" s="437" t="s">
        <v>852</v>
      </c>
      <c r="C147" s="436" t="s">
        <v>80</v>
      </c>
      <c r="D147" s="436" t="s">
        <v>81</v>
      </c>
      <c r="E147" s="441">
        <v>2</v>
      </c>
      <c r="F147" s="439">
        <v>4.7024140447182194</v>
      </c>
      <c r="G147" s="439">
        <v>-1.1145305581966527</v>
      </c>
      <c r="H147" s="439">
        <v>-1.3235050378585249</v>
      </c>
      <c r="I147" s="439" t="s">
        <v>471</v>
      </c>
      <c r="J147" s="439" t="s">
        <v>471</v>
      </c>
      <c r="K147" s="439"/>
      <c r="L147" s="436" t="s">
        <v>471</v>
      </c>
    </row>
    <row r="148" spans="1:12" x14ac:dyDescent="0.25">
      <c r="A148" s="436">
        <v>146</v>
      </c>
      <c r="B148" s="437" t="s">
        <v>853</v>
      </c>
      <c r="C148" s="436" t="s">
        <v>22</v>
      </c>
      <c r="D148" s="436" t="s">
        <v>23</v>
      </c>
      <c r="E148" s="438" t="s">
        <v>561</v>
      </c>
      <c r="F148" s="439">
        <v>16.884349931486593</v>
      </c>
      <c r="G148" s="439">
        <v>-1.1531313729525063</v>
      </c>
      <c r="H148" s="439">
        <v>-1.1531313729525063</v>
      </c>
      <c r="I148" s="439" t="s">
        <v>471</v>
      </c>
      <c r="J148" s="439" t="s">
        <v>471</v>
      </c>
      <c r="K148" s="439"/>
      <c r="L148" s="436" t="s">
        <v>471</v>
      </c>
    </row>
    <row r="149" spans="1:12" x14ac:dyDescent="0.25">
      <c r="A149" s="436">
        <v>147</v>
      </c>
      <c r="B149" s="437" t="s">
        <v>854</v>
      </c>
      <c r="C149" s="436" t="s">
        <v>236</v>
      </c>
      <c r="D149" s="436" t="s">
        <v>237</v>
      </c>
      <c r="E149" s="441">
        <v>2</v>
      </c>
      <c r="F149" s="439">
        <v>20.498803922145065</v>
      </c>
      <c r="G149" s="439">
        <v>-1.2676243127368345</v>
      </c>
      <c r="H149" s="439">
        <v>-1.4221160258516365</v>
      </c>
      <c r="I149" s="439" t="s">
        <v>471</v>
      </c>
      <c r="J149" s="439" t="s">
        <v>471</v>
      </c>
      <c r="K149" s="439"/>
      <c r="L149" s="436" t="s">
        <v>471</v>
      </c>
    </row>
    <row r="150" spans="1:12" x14ac:dyDescent="0.25">
      <c r="A150" s="436">
        <v>148</v>
      </c>
      <c r="B150" s="437" t="s">
        <v>855</v>
      </c>
      <c r="C150" s="436" t="s">
        <v>32</v>
      </c>
      <c r="D150" s="436" t="s">
        <v>33</v>
      </c>
      <c r="E150" s="438" t="s">
        <v>561</v>
      </c>
      <c r="F150" s="439">
        <v>21.999182656094636</v>
      </c>
      <c r="G150" s="439">
        <v>-1.5152508251827244</v>
      </c>
      <c r="H150" s="439">
        <v>-1.5152508251827244</v>
      </c>
      <c r="I150" s="439" t="s">
        <v>471</v>
      </c>
      <c r="J150" s="439" t="s">
        <v>471</v>
      </c>
      <c r="K150" s="439"/>
      <c r="L150" s="436" t="s">
        <v>471</v>
      </c>
    </row>
    <row r="151" spans="1:12" x14ac:dyDescent="0.25">
      <c r="A151" s="436">
        <v>149</v>
      </c>
      <c r="B151" s="437" t="s">
        <v>856</v>
      </c>
      <c r="C151" s="436" t="s">
        <v>48</v>
      </c>
      <c r="D151" s="436" t="s">
        <v>49</v>
      </c>
      <c r="E151" s="438" t="s">
        <v>561</v>
      </c>
      <c r="F151" s="439">
        <v>9.6331102636690762</v>
      </c>
      <c r="G151" s="439">
        <v>-1.6074090471127758</v>
      </c>
      <c r="H151" s="439">
        <v>-1.6074090471127758</v>
      </c>
      <c r="I151" s="439" t="s">
        <v>471</v>
      </c>
      <c r="J151" s="439" t="s">
        <v>471</v>
      </c>
      <c r="K151" s="439"/>
      <c r="L151" s="436" t="s">
        <v>471</v>
      </c>
    </row>
    <row r="152" spans="1:12" x14ac:dyDescent="0.25">
      <c r="A152" s="436">
        <v>150</v>
      </c>
      <c r="B152" s="437" t="s">
        <v>857</v>
      </c>
      <c r="C152" s="436" t="s">
        <v>196</v>
      </c>
      <c r="D152" s="436" t="s">
        <v>197</v>
      </c>
      <c r="E152" s="441">
        <v>2</v>
      </c>
      <c r="F152" s="439">
        <v>19.560801988418998</v>
      </c>
      <c r="G152" s="439">
        <v>-1.6900026015931817</v>
      </c>
      <c r="H152" s="439">
        <v>-2.0068780893919023</v>
      </c>
      <c r="I152" s="439" t="s">
        <v>471</v>
      </c>
      <c r="J152" s="439" t="s">
        <v>471</v>
      </c>
      <c r="K152" s="439"/>
      <c r="L152" s="436" t="s">
        <v>471</v>
      </c>
    </row>
    <row r="153" spans="1:12" x14ac:dyDescent="0.25">
      <c r="A153" s="436">
        <v>151</v>
      </c>
      <c r="B153" s="437" t="s">
        <v>858</v>
      </c>
      <c r="C153" s="436" t="s">
        <v>274</v>
      </c>
      <c r="D153" s="436" t="s">
        <v>275</v>
      </c>
      <c r="E153" s="441">
        <v>2</v>
      </c>
      <c r="F153" s="439">
        <v>20.878718358548898</v>
      </c>
      <c r="G153" s="439">
        <v>-1.898536294335829</v>
      </c>
      <c r="H153" s="439">
        <v>-2.1991378742723358</v>
      </c>
      <c r="I153" s="439" t="s">
        <v>471</v>
      </c>
      <c r="J153" s="439" t="s">
        <v>471</v>
      </c>
      <c r="K153" s="439"/>
      <c r="L153" s="436" t="s">
        <v>471</v>
      </c>
    </row>
    <row r="154" spans="1:12" x14ac:dyDescent="0.25">
      <c r="A154" s="436">
        <v>152</v>
      </c>
      <c r="B154" s="437" t="s">
        <v>859</v>
      </c>
      <c r="C154" s="436" t="s">
        <v>270</v>
      </c>
      <c r="D154" s="436" t="s">
        <v>271</v>
      </c>
      <c r="E154" s="438" t="s">
        <v>561</v>
      </c>
      <c r="F154" s="439">
        <v>20.152578851347918</v>
      </c>
      <c r="G154" s="439">
        <v>-2.0649507653132466</v>
      </c>
      <c r="H154" s="439">
        <v>-2.0649507653132466</v>
      </c>
      <c r="I154" s="439" t="s">
        <v>471</v>
      </c>
      <c r="J154" s="439" t="s">
        <v>471</v>
      </c>
      <c r="K154" s="439"/>
      <c r="L154" s="436" t="s">
        <v>471</v>
      </c>
    </row>
  </sheetData>
  <autoFilter ref="A2:L154"/>
  <sortState ref="A3:K154">
    <sortCondition ref="I3:I154"/>
    <sortCondition descending="1" ref="G3:G154"/>
  </sortState>
  <conditionalFormatting sqref="F155:G1048576">
    <cfRule type="cellIs" dxfId="9" priority="17" operator="greaterThan">
      <formula>1</formula>
    </cfRule>
  </conditionalFormatting>
  <conditionalFormatting sqref="H155:H1048576">
    <cfRule type="containsText" dxfId="8" priority="14" operator="containsText" text="NIE">
      <formula>NOT(ISERROR(SEARCH("NIE",H155)))</formula>
    </cfRule>
  </conditionalFormatting>
  <conditionalFormatting sqref="G3:H154">
    <cfRule type="cellIs" dxfId="7" priority="1" operator="lessThan">
      <formula>1</formula>
    </cfRule>
    <cfRule type="cellIs" dxfId="6" priority="2" operator="greaterThan">
      <formula>1</formula>
    </cfRule>
  </conditionalFormatting>
  <conditionalFormatting sqref="G3:H154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{885380B1-4281-4D80-A0C3-3666E5CEAF30}</x14:id>
        </ext>
      </extLst>
    </cfRule>
  </conditionalFormatting>
  <pageMargins left="0.7" right="0.7" top="0.75" bottom="0.75" header="0.3" footer="0.3"/>
  <pageSetup paperSize="9" scale="56" fitToHeight="0" orientation="portrait" r:id="rId1"/>
  <headerFooter>
    <oddFooter>&amp;LPríloha č. 1_2b DOZZ&amp;R&amp;P l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5380B1-4281-4D80-A0C3-3666E5CEAF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G3:H154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3"/>
  <sheetViews>
    <sheetView zoomScaleNormal="100" zoomScaleSheetLayoutView="98" workbookViewId="0">
      <selection activeCell="N9" sqref="N9"/>
    </sheetView>
  </sheetViews>
  <sheetFormatPr defaultColWidth="9.140625" defaultRowHeight="15" x14ac:dyDescent="0.25"/>
  <cols>
    <col min="1" max="1" width="9.140625" style="14"/>
    <col min="2" max="2" width="9.42578125" style="14" bestFit="1" customWidth="1"/>
    <col min="3" max="3" width="9.140625" style="14"/>
    <col min="4" max="4" width="34" style="14" bestFit="1" customWidth="1"/>
    <col min="5" max="5" width="6" style="14" customWidth="1"/>
    <col min="6" max="6" width="9.28515625" style="14" customWidth="1"/>
    <col min="7" max="9" width="12.42578125" style="14" customWidth="1"/>
    <col min="10" max="10" width="5.7109375" style="35" bestFit="1" customWidth="1"/>
    <col min="11" max="11" width="14.5703125" style="14" customWidth="1"/>
    <col min="12" max="12" width="5.7109375" style="14" bestFit="1" customWidth="1"/>
    <col min="13" max="16384" width="9.140625" style="14"/>
  </cols>
  <sheetData>
    <row r="1" spans="1:11" ht="18.75" x14ac:dyDescent="0.25">
      <c r="A1" s="82" t="s">
        <v>618</v>
      </c>
    </row>
    <row r="2" spans="1:11" s="4" customFormat="1" ht="66" customHeight="1" x14ac:dyDescent="0.25">
      <c r="A2" s="448" t="s">
        <v>288</v>
      </c>
      <c r="B2" s="449" t="s">
        <v>383</v>
      </c>
      <c r="C2" s="449" t="s">
        <v>335</v>
      </c>
      <c r="D2" s="449" t="s">
        <v>337</v>
      </c>
      <c r="E2" s="448" t="s">
        <v>557</v>
      </c>
      <c r="F2" s="448" t="s">
        <v>1580</v>
      </c>
      <c r="G2" s="448" t="s">
        <v>601</v>
      </c>
      <c r="H2" s="448" t="s">
        <v>602</v>
      </c>
      <c r="I2" s="448" t="s">
        <v>603</v>
      </c>
      <c r="J2" s="448" t="s">
        <v>310</v>
      </c>
      <c r="K2" s="448" t="s">
        <v>1477</v>
      </c>
    </row>
    <row r="3" spans="1:11" x14ac:dyDescent="0.25">
      <c r="A3" s="14">
        <v>1</v>
      </c>
      <c r="B3" s="14" t="str">
        <f>"T"&amp;C3&amp;"E"</f>
        <v>T180iE</v>
      </c>
      <c r="C3" s="36" t="s">
        <v>210</v>
      </c>
      <c r="D3" s="14" t="s">
        <v>211</v>
      </c>
      <c r="E3" s="7">
        <v>15.641</v>
      </c>
      <c r="F3" s="7">
        <v>156.14620408427794</v>
      </c>
      <c r="G3" s="7">
        <v>23.010844045206294</v>
      </c>
      <c r="H3" s="7">
        <v>2.3660676459603232</v>
      </c>
      <c r="I3" s="17">
        <v>25.376911691166619</v>
      </c>
      <c r="J3" s="35">
        <v>1</v>
      </c>
      <c r="K3" s="450" t="s">
        <v>1473</v>
      </c>
    </row>
    <row r="4" spans="1:11" x14ac:dyDescent="0.25">
      <c r="A4" s="14">
        <v>2</v>
      </c>
      <c r="B4" s="14" t="str">
        <f>"T"&amp;C4&amp;"_E"</f>
        <v>TZAO_E</v>
      </c>
      <c r="C4" s="36" t="s">
        <v>284</v>
      </c>
      <c r="D4" s="14" t="s">
        <v>285</v>
      </c>
      <c r="E4" s="7">
        <v>11.251800000000001</v>
      </c>
      <c r="F4" s="7">
        <v>141.80433133742739</v>
      </c>
      <c r="G4" s="7">
        <v>13.792274520394376</v>
      </c>
      <c r="H4" s="7">
        <v>1.702098327396993</v>
      </c>
      <c r="I4" s="17">
        <v>15.494372847791368</v>
      </c>
      <c r="J4" s="35">
        <v>1</v>
      </c>
      <c r="K4" s="450" t="s">
        <v>1473</v>
      </c>
    </row>
    <row r="5" spans="1:11" x14ac:dyDescent="0.25">
      <c r="A5" s="14">
        <v>3</v>
      </c>
      <c r="B5" s="14" t="str">
        <f>"T"&amp;C5&amp;"_E"</f>
        <v>TBAZ_E</v>
      </c>
      <c r="C5" s="36" t="s">
        <v>274</v>
      </c>
      <c r="D5" s="14" t="s">
        <v>275</v>
      </c>
      <c r="E5" s="7">
        <v>16.377739999999999</v>
      </c>
      <c r="F5" s="7">
        <v>134.41039726641327</v>
      </c>
      <c r="G5" s="7">
        <v>27.224117247997643</v>
      </c>
      <c r="H5" s="7">
        <v>2.4775168293555541</v>
      </c>
      <c r="I5" s="17">
        <v>29.701634077353198</v>
      </c>
      <c r="J5" s="35">
        <v>1</v>
      </c>
      <c r="K5" s="450" t="s">
        <v>471</v>
      </c>
    </row>
    <row r="6" spans="1:11" x14ac:dyDescent="0.25">
      <c r="A6" s="14">
        <v>4</v>
      </c>
      <c r="B6" s="14" t="str">
        <f>"T"&amp;C6&amp;"E"</f>
        <v>T110bE</v>
      </c>
      <c r="C6" s="36" t="s">
        <v>2</v>
      </c>
      <c r="D6" s="14" t="s">
        <v>3</v>
      </c>
      <c r="E6" s="7">
        <v>26.457000000000001</v>
      </c>
      <c r="F6" s="7">
        <v>133.74397588022126</v>
      </c>
      <c r="G6" s="7">
        <v>19.265179224772087</v>
      </c>
      <c r="H6" s="7">
        <v>4.0022410145880869</v>
      </c>
      <c r="I6" s="17">
        <v>23.267420239360174</v>
      </c>
      <c r="J6" s="35">
        <v>1</v>
      </c>
      <c r="K6" s="450" t="s">
        <v>1473</v>
      </c>
    </row>
    <row r="7" spans="1:11" x14ac:dyDescent="0.25">
      <c r="A7" s="14">
        <v>5</v>
      </c>
      <c r="B7" s="14" t="str">
        <f>"T"&amp;C7&amp;"E"</f>
        <v>T110cE</v>
      </c>
      <c r="C7" s="36" t="s">
        <v>4</v>
      </c>
      <c r="D7" s="14" t="s">
        <v>5</v>
      </c>
      <c r="E7" s="7">
        <v>23.640999999999998</v>
      </c>
      <c r="F7" s="7">
        <v>127.71458859782142</v>
      </c>
      <c r="G7" s="7">
        <v>12.023110482324023</v>
      </c>
      <c r="H7" s="7">
        <v>3.5762550487915092</v>
      </c>
      <c r="I7" s="17">
        <v>15.599365531115533</v>
      </c>
      <c r="J7" s="35">
        <v>1</v>
      </c>
      <c r="K7" s="450" t="s">
        <v>1473</v>
      </c>
    </row>
    <row r="8" spans="1:11" x14ac:dyDescent="0.25">
      <c r="A8" s="14">
        <v>6</v>
      </c>
      <c r="B8" s="14" t="str">
        <f>"T"&amp;C8&amp;"E"</f>
        <v>T130aE</v>
      </c>
      <c r="C8" s="9" t="s">
        <v>58</v>
      </c>
      <c r="D8" s="14" t="s">
        <v>59</v>
      </c>
      <c r="E8" s="7">
        <v>17.102999999999998</v>
      </c>
      <c r="F8" s="7">
        <v>127.67948825768769</v>
      </c>
      <c r="G8" s="7">
        <v>13.311721741360236</v>
      </c>
      <c r="H8" s="7">
        <v>2.5872293938277222</v>
      </c>
      <c r="I8" s="17">
        <v>15.898951135187957</v>
      </c>
      <c r="J8" s="35">
        <v>1</v>
      </c>
      <c r="K8" s="450" t="s">
        <v>471</v>
      </c>
    </row>
    <row r="9" spans="1:11" x14ac:dyDescent="0.25">
      <c r="A9" s="14">
        <v>7</v>
      </c>
      <c r="B9" s="14" t="str">
        <f>"T"&amp;C9&amp;"E"</f>
        <v>T130cE</v>
      </c>
      <c r="C9" s="9" t="s">
        <v>62</v>
      </c>
      <c r="D9" s="14" t="s">
        <v>63</v>
      </c>
      <c r="E9" s="7">
        <v>32.252579999999995</v>
      </c>
      <c r="F9" s="7">
        <v>123.56477851103972</v>
      </c>
      <c r="G9" s="7">
        <v>18.528664812813673</v>
      </c>
      <c r="H9" s="7">
        <v>4.8789582531006319</v>
      </c>
      <c r="I9" s="17">
        <v>23.407623065914304</v>
      </c>
      <c r="J9" s="35">
        <v>1</v>
      </c>
      <c r="K9" s="450" t="s">
        <v>471</v>
      </c>
    </row>
    <row r="10" spans="1:11" x14ac:dyDescent="0.25">
      <c r="A10" s="14">
        <v>8</v>
      </c>
      <c r="B10" s="14" t="str">
        <f>"T"&amp;C10&amp;"_E"</f>
        <v>TBAV_E</v>
      </c>
      <c r="C10" s="36" t="s">
        <v>272</v>
      </c>
      <c r="D10" s="14" t="s">
        <v>273</v>
      </c>
      <c r="E10" s="7">
        <v>24.852070000000001</v>
      </c>
      <c r="F10" s="7">
        <v>121.68469878182357</v>
      </c>
      <c r="G10" s="7">
        <v>17.601883971060328</v>
      </c>
      <c r="H10" s="7">
        <v>3.759457756034855</v>
      </c>
      <c r="I10" s="17">
        <v>21.361341727095184</v>
      </c>
      <c r="J10" s="35">
        <v>1</v>
      </c>
      <c r="K10" s="450" t="s">
        <v>471</v>
      </c>
    </row>
    <row r="11" spans="1:11" x14ac:dyDescent="0.25">
      <c r="A11" s="14">
        <v>9</v>
      </c>
      <c r="B11" s="14" t="str">
        <f t="shared" ref="B11:B22" si="0">"T"&amp;C11&amp;"E"</f>
        <v>T130bE</v>
      </c>
      <c r="C11" s="9" t="s">
        <v>60</v>
      </c>
      <c r="D11" s="14" t="s">
        <v>61</v>
      </c>
      <c r="E11" s="7">
        <v>23.345000000000002</v>
      </c>
      <c r="F11" s="7">
        <v>120.73336744543579</v>
      </c>
      <c r="G11" s="7">
        <v>10.991888559041477</v>
      </c>
      <c r="H11" s="7">
        <v>3.531478114886756</v>
      </c>
      <c r="I11" s="17">
        <v>14.523366673928233</v>
      </c>
      <c r="J11" s="35">
        <v>1</v>
      </c>
      <c r="K11" s="450" t="s">
        <v>471</v>
      </c>
    </row>
    <row r="12" spans="1:11" x14ac:dyDescent="0.25">
      <c r="A12" s="14">
        <v>10</v>
      </c>
      <c r="B12" s="14" t="str">
        <f t="shared" si="0"/>
        <v>T110aE</v>
      </c>
      <c r="C12" s="36" t="s">
        <v>0</v>
      </c>
      <c r="D12" s="14" t="s">
        <v>1</v>
      </c>
      <c r="E12" s="7">
        <v>6.3760000000000003</v>
      </c>
      <c r="F12" s="7">
        <v>120.32389783606331</v>
      </c>
      <c r="G12" s="7">
        <v>1.1403925012787155</v>
      </c>
      <c r="H12" s="7">
        <v>0.96451936005645555</v>
      </c>
      <c r="I12" s="17">
        <v>2.1049118613351712</v>
      </c>
      <c r="J12" s="35">
        <v>1</v>
      </c>
      <c r="K12" s="450" t="s">
        <v>1473</v>
      </c>
    </row>
    <row r="13" spans="1:11" x14ac:dyDescent="0.25">
      <c r="A13" s="14">
        <v>11</v>
      </c>
      <c r="B13" s="14" t="str">
        <f t="shared" si="0"/>
        <v>T180gE</v>
      </c>
      <c r="C13" s="36" t="s">
        <v>206</v>
      </c>
      <c r="D13" s="14" t="s">
        <v>207</v>
      </c>
      <c r="E13" s="7">
        <v>30.588999999999999</v>
      </c>
      <c r="F13" s="7">
        <v>113.87570140040492</v>
      </c>
      <c r="G13" s="7">
        <v>10.905162171354068</v>
      </c>
      <c r="H13" s="7">
        <v>4.6273028081503949</v>
      </c>
      <c r="I13" s="17">
        <v>15.532464979504462</v>
      </c>
      <c r="J13" s="35">
        <v>1</v>
      </c>
      <c r="K13" s="450" t="s">
        <v>471</v>
      </c>
    </row>
    <row r="14" spans="1:11" x14ac:dyDescent="0.25">
      <c r="A14" s="14">
        <v>12</v>
      </c>
      <c r="B14" s="14" t="str">
        <f t="shared" si="0"/>
        <v>T180aE</v>
      </c>
      <c r="C14" s="36" t="s">
        <v>194</v>
      </c>
      <c r="D14" s="14" t="s">
        <v>195</v>
      </c>
      <c r="E14" s="7">
        <v>12.486000000000001</v>
      </c>
      <c r="F14" s="7">
        <v>111.19554130763439</v>
      </c>
      <c r="G14" s="7">
        <v>4.1985918005477281</v>
      </c>
      <c r="H14" s="7">
        <v>1.8887999889687741</v>
      </c>
      <c r="I14" s="17">
        <v>6.0873917895165022</v>
      </c>
      <c r="J14" s="35">
        <v>1</v>
      </c>
      <c r="K14" s="450" t="s">
        <v>471</v>
      </c>
    </row>
    <row r="15" spans="1:11" x14ac:dyDescent="0.25">
      <c r="A15" s="14">
        <v>13</v>
      </c>
      <c r="B15" s="14" t="str">
        <f t="shared" si="0"/>
        <v>T180eE</v>
      </c>
      <c r="C15" s="36" t="s">
        <v>202</v>
      </c>
      <c r="D15" s="14" t="s">
        <v>203</v>
      </c>
      <c r="E15" s="7">
        <v>17.902999999999999</v>
      </c>
      <c r="F15" s="7">
        <v>107.44688951648882</v>
      </c>
      <c r="G15" s="7">
        <v>5.7435430533876506</v>
      </c>
      <c r="H15" s="7">
        <v>2.7082481341108409</v>
      </c>
      <c r="I15" s="17">
        <v>8.4517911874984915</v>
      </c>
      <c r="J15" s="35">
        <v>1</v>
      </c>
      <c r="K15" s="450" t="s">
        <v>1473</v>
      </c>
    </row>
    <row r="16" spans="1:11" x14ac:dyDescent="0.25">
      <c r="A16" s="14">
        <v>14</v>
      </c>
      <c r="B16" s="14" t="str">
        <f t="shared" si="0"/>
        <v>T180fE</v>
      </c>
      <c r="C16" s="36" t="s">
        <v>204</v>
      </c>
      <c r="D16" s="14" t="s">
        <v>205</v>
      </c>
      <c r="E16" s="7">
        <v>35.143000000000001</v>
      </c>
      <c r="F16" s="7">
        <v>107.15426809992366</v>
      </c>
      <c r="G16" s="7">
        <v>16.877856329617522</v>
      </c>
      <c r="H16" s="7">
        <v>5.3162019872120467</v>
      </c>
      <c r="I16" s="17">
        <v>22.194058316829569</v>
      </c>
      <c r="J16" s="35">
        <v>1</v>
      </c>
      <c r="K16" s="450" t="s">
        <v>471</v>
      </c>
    </row>
    <row r="17" spans="1:11" x14ac:dyDescent="0.25">
      <c r="A17" s="14">
        <v>15</v>
      </c>
      <c r="B17" s="14" t="str">
        <f t="shared" si="0"/>
        <v>T180bE</v>
      </c>
      <c r="C17" s="36" t="s">
        <v>196</v>
      </c>
      <c r="D17" s="14" t="s">
        <v>197</v>
      </c>
      <c r="E17" s="7">
        <v>61.241620000000005</v>
      </c>
      <c r="F17" s="7">
        <v>103.24390486471614</v>
      </c>
      <c r="G17" s="7">
        <v>46.451153990726851</v>
      </c>
      <c r="H17" s="7">
        <v>9.264229631621804</v>
      </c>
      <c r="I17" s="17">
        <v>55.715383622348654</v>
      </c>
      <c r="J17" s="35">
        <v>1</v>
      </c>
      <c r="K17" s="450" t="s">
        <v>471</v>
      </c>
    </row>
    <row r="18" spans="1:11" x14ac:dyDescent="0.25">
      <c r="A18" s="14">
        <v>16</v>
      </c>
      <c r="B18" s="14" t="str">
        <f t="shared" si="0"/>
        <v>T180hE</v>
      </c>
      <c r="C18" s="36" t="s">
        <v>208</v>
      </c>
      <c r="D18" s="14" t="s">
        <v>209</v>
      </c>
      <c r="E18" s="7">
        <v>20.751000000000001</v>
      </c>
      <c r="F18" s="7">
        <v>97.801445977516835</v>
      </c>
      <c r="G18" s="7">
        <v>14.182167597833507</v>
      </c>
      <c r="H18" s="7">
        <v>3.1390748495187433</v>
      </c>
      <c r="I18" s="17">
        <v>17.321242447352251</v>
      </c>
      <c r="J18" s="35">
        <v>1</v>
      </c>
      <c r="K18" s="450" t="s">
        <v>471</v>
      </c>
    </row>
    <row r="19" spans="1:11" x14ac:dyDescent="0.25">
      <c r="A19" s="14">
        <v>17</v>
      </c>
      <c r="B19" s="14" t="str">
        <f t="shared" si="0"/>
        <v>T130dE</v>
      </c>
      <c r="C19" s="9" t="s">
        <v>64</v>
      </c>
      <c r="D19" s="14" t="s">
        <v>65</v>
      </c>
      <c r="E19" s="7">
        <v>9.9414800000000003</v>
      </c>
      <c r="F19" s="7">
        <v>96.033646984344159</v>
      </c>
      <c r="G19" s="7">
        <v>19.493059473804152</v>
      </c>
      <c r="H19" s="7">
        <v>1.5038817326872727</v>
      </c>
      <c r="I19" s="17">
        <v>20.996941206491424</v>
      </c>
      <c r="J19" s="35">
        <v>1</v>
      </c>
      <c r="K19" s="450" t="s">
        <v>471</v>
      </c>
    </row>
    <row r="20" spans="1:11" x14ac:dyDescent="0.25">
      <c r="A20" s="14">
        <v>18</v>
      </c>
      <c r="B20" s="14" t="str">
        <f t="shared" si="0"/>
        <v>TKEAE</v>
      </c>
      <c r="C20" s="9" t="s">
        <v>276</v>
      </c>
      <c r="D20" s="14" t="s">
        <v>277</v>
      </c>
      <c r="E20" s="7">
        <v>4.6839999999999993</v>
      </c>
      <c r="F20" s="7">
        <v>94.428291005229141</v>
      </c>
      <c r="G20" s="7">
        <v>5.6730682086387869</v>
      </c>
      <c r="H20" s="7">
        <v>0.70856472435765949</v>
      </c>
      <c r="I20" s="17">
        <v>6.3816329329964461</v>
      </c>
      <c r="J20" s="35">
        <v>1</v>
      </c>
      <c r="K20" s="450" t="s">
        <v>471</v>
      </c>
    </row>
    <row r="21" spans="1:11" x14ac:dyDescent="0.25">
      <c r="A21" s="14">
        <v>19</v>
      </c>
      <c r="B21" s="14" t="str">
        <f t="shared" si="0"/>
        <v>T180dE</v>
      </c>
      <c r="C21" s="36" t="s">
        <v>200</v>
      </c>
      <c r="D21" s="14" t="s">
        <v>201</v>
      </c>
      <c r="E21" s="7">
        <v>28.053580000000004</v>
      </c>
      <c r="F21" s="7">
        <v>91.091713960624844</v>
      </c>
      <c r="G21" s="7">
        <v>11.401959295731988</v>
      </c>
      <c r="H21" s="7">
        <v>4.2437611400396138</v>
      </c>
      <c r="I21" s="17">
        <v>15.645720435771601</v>
      </c>
      <c r="J21" s="35">
        <v>1</v>
      </c>
      <c r="K21" s="450" t="s">
        <v>471</v>
      </c>
    </row>
    <row r="22" spans="1:11" x14ac:dyDescent="0.25">
      <c r="A22" s="14">
        <v>20</v>
      </c>
      <c r="B22" s="14" t="str">
        <f t="shared" si="0"/>
        <v>T180cE</v>
      </c>
      <c r="C22" s="36" t="s">
        <v>198</v>
      </c>
      <c r="D22" s="14" t="s">
        <v>199</v>
      </c>
      <c r="E22" s="7">
        <v>18.046409999999998</v>
      </c>
      <c r="F22" s="7">
        <v>88.580646097159857</v>
      </c>
      <c r="G22" s="7">
        <v>8.4535669213837661</v>
      </c>
      <c r="H22" s="7">
        <v>2.7299422560408431</v>
      </c>
      <c r="I22" s="17">
        <v>11.183509177424609</v>
      </c>
      <c r="J22" s="35">
        <v>1</v>
      </c>
      <c r="K22" s="450" t="s">
        <v>471</v>
      </c>
    </row>
    <row r="23" spans="1:11" x14ac:dyDescent="0.25">
      <c r="A23" s="14">
        <v>21</v>
      </c>
      <c r="B23" s="14" t="str">
        <f>"T"&amp;C23&amp;"_E"</f>
        <v>TBAJ_E</v>
      </c>
      <c r="C23" s="36" t="s">
        <v>268</v>
      </c>
      <c r="D23" s="14" t="s">
        <v>269</v>
      </c>
      <c r="E23" s="7">
        <v>12.291</v>
      </c>
      <c r="F23" s="7">
        <v>82.23505137404247</v>
      </c>
      <c r="G23" s="7">
        <v>11.639366417335415</v>
      </c>
      <c r="H23" s="7">
        <v>1.8593016710247638</v>
      </c>
      <c r="I23" s="17">
        <v>13.498668088360178</v>
      </c>
      <c r="J23" s="35">
        <v>1</v>
      </c>
      <c r="K23" s="450" t="s">
        <v>471</v>
      </c>
    </row>
    <row r="24" spans="1:11" x14ac:dyDescent="0.25">
      <c r="A24" s="14">
        <v>22</v>
      </c>
      <c r="B24" s="14" t="str">
        <f t="shared" ref="B24:B35" si="1">"T"&amp;C24&amp;"E"</f>
        <v>T190aE</v>
      </c>
      <c r="C24" s="9" t="s">
        <v>234</v>
      </c>
      <c r="D24" s="14" t="s">
        <v>235</v>
      </c>
      <c r="E24" s="7">
        <v>36.868599999999994</v>
      </c>
      <c r="F24" s="7">
        <v>75.979236665658789</v>
      </c>
      <c r="G24" s="7">
        <v>13.729993495110033</v>
      </c>
      <c r="H24" s="7">
        <v>5.5772394100027336</v>
      </c>
      <c r="I24" s="17">
        <v>19.307232905112766</v>
      </c>
      <c r="J24" s="35">
        <v>1</v>
      </c>
      <c r="K24" s="450" t="s">
        <v>1473</v>
      </c>
    </row>
    <row r="25" spans="1:11" x14ac:dyDescent="0.25">
      <c r="A25" s="14">
        <v>23</v>
      </c>
      <c r="B25" s="14" t="str">
        <f t="shared" si="1"/>
        <v>T130eE</v>
      </c>
      <c r="C25" s="9" t="s">
        <v>66</v>
      </c>
      <c r="D25" s="14" t="s">
        <v>67</v>
      </c>
      <c r="E25" s="7">
        <v>46.244879999999995</v>
      </c>
      <c r="F25" s="7">
        <v>64.558812262620165</v>
      </c>
      <c r="G25" s="7">
        <v>41.061446986020044</v>
      </c>
      <c r="H25" s="7">
        <v>6.9956214026799826</v>
      </c>
      <c r="I25" s="17">
        <v>48.057068388700024</v>
      </c>
      <c r="J25" s="35">
        <v>1</v>
      </c>
      <c r="K25" s="450" t="s">
        <v>1473</v>
      </c>
    </row>
    <row r="26" spans="1:11" x14ac:dyDescent="0.25">
      <c r="A26" s="14">
        <v>24</v>
      </c>
      <c r="B26" s="14" t="str">
        <f t="shared" si="1"/>
        <v>T188aE</v>
      </c>
      <c r="C26" s="9" t="s">
        <v>226</v>
      </c>
      <c r="D26" s="14" t="s">
        <v>227</v>
      </c>
      <c r="E26" s="7">
        <v>18.042999999999999</v>
      </c>
      <c r="F26" s="7">
        <v>61.616387943869249</v>
      </c>
      <c r="G26" s="7">
        <v>15.598413309190839</v>
      </c>
      <c r="H26" s="7">
        <v>2.7294264136603865</v>
      </c>
      <c r="I26" s="17">
        <v>18.327839722851227</v>
      </c>
      <c r="J26" s="35">
        <v>1</v>
      </c>
      <c r="K26" s="450" t="s">
        <v>1473</v>
      </c>
    </row>
    <row r="27" spans="1:11" x14ac:dyDescent="0.25">
      <c r="A27" s="14">
        <v>25</v>
      </c>
      <c r="B27" s="14" t="str">
        <f t="shared" si="1"/>
        <v>T111aE</v>
      </c>
      <c r="C27" s="36" t="s">
        <v>6</v>
      </c>
      <c r="D27" s="14" t="s">
        <v>7</v>
      </c>
      <c r="E27" s="7">
        <v>2.3809999999999998</v>
      </c>
      <c r="F27" s="7">
        <v>53.517009659806803</v>
      </c>
      <c r="G27" s="7">
        <v>0.23885755393011374</v>
      </c>
      <c r="H27" s="7">
        <v>0.36018202576763175</v>
      </c>
      <c r="I27" s="17">
        <v>0.59903957969774546</v>
      </c>
      <c r="J27" s="35">
        <v>1</v>
      </c>
      <c r="K27" s="450" t="s">
        <v>471</v>
      </c>
    </row>
    <row r="28" spans="1:11" x14ac:dyDescent="0.25">
      <c r="A28" s="14">
        <v>26</v>
      </c>
      <c r="B28" s="14" t="str">
        <f t="shared" si="1"/>
        <v>T190bE</v>
      </c>
      <c r="C28" s="9" t="s">
        <v>236</v>
      </c>
      <c r="D28" s="14" t="s">
        <v>237</v>
      </c>
      <c r="E28" s="7">
        <v>60.410000000000004</v>
      </c>
      <c r="F28" s="7">
        <v>48.828349837752519</v>
      </c>
      <c r="G28" s="7">
        <v>52.760529622878188</v>
      </c>
      <c r="H28" s="7">
        <v>9.1384276256289958</v>
      </c>
      <c r="I28" s="17">
        <v>61.898957248507188</v>
      </c>
      <c r="J28" s="35">
        <v>1</v>
      </c>
      <c r="K28" s="450" t="s">
        <v>471</v>
      </c>
    </row>
    <row r="29" spans="1:11" x14ac:dyDescent="0.25">
      <c r="A29" s="14">
        <v>27</v>
      </c>
      <c r="B29" s="14" t="str">
        <f t="shared" si="1"/>
        <v>T130fE</v>
      </c>
      <c r="C29" s="9" t="s">
        <v>68</v>
      </c>
      <c r="D29" s="14" t="s">
        <v>69</v>
      </c>
      <c r="E29" s="7">
        <v>12.984999999999999</v>
      </c>
      <c r="F29" s="7">
        <v>47.177240335265665</v>
      </c>
      <c r="G29" s="7">
        <v>1.8033952622716265</v>
      </c>
      <c r="H29" s="7">
        <v>1.9642854282203692</v>
      </c>
      <c r="I29" s="17">
        <v>3.7676806904919955</v>
      </c>
      <c r="J29" s="35">
        <v>1</v>
      </c>
      <c r="K29" s="450" t="s">
        <v>471</v>
      </c>
    </row>
    <row r="30" spans="1:11" x14ac:dyDescent="0.25">
      <c r="A30" s="14">
        <v>28</v>
      </c>
      <c r="B30" s="14" t="str">
        <f t="shared" si="1"/>
        <v>T133bE</v>
      </c>
      <c r="C30" s="9" t="s">
        <v>80</v>
      </c>
      <c r="D30" s="14" t="s">
        <v>81</v>
      </c>
      <c r="E30" s="7">
        <v>12.626000000000001</v>
      </c>
      <c r="F30" s="7">
        <v>39.67370396811102</v>
      </c>
      <c r="G30" s="7">
        <v>8.0356125167203842</v>
      </c>
      <c r="H30" s="7">
        <v>1.90997826851832</v>
      </c>
      <c r="I30" s="17">
        <v>9.9455907852387035</v>
      </c>
      <c r="J30" s="35">
        <v>1</v>
      </c>
      <c r="K30" s="450" t="s">
        <v>471</v>
      </c>
    </row>
    <row r="31" spans="1:11" x14ac:dyDescent="0.25">
      <c r="A31" s="14">
        <v>29</v>
      </c>
      <c r="B31" s="14" t="str">
        <f t="shared" si="1"/>
        <v>T125aE</v>
      </c>
      <c r="C31" s="1" t="s">
        <v>42</v>
      </c>
      <c r="D31" s="2" t="s">
        <v>43</v>
      </c>
      <c r="E31" s="85">
        <v>20.285870000000003</v>
      </c>
      <c r="F31" s="7">
        <v>38.626809209414532</v>
      </c>
      <c r="G31" s="7">
        <v>4.4802965831964761</v>
      </c>
      <c r="H31" s="7">
        <v>3.068713041183885</v>
      </c>
      <c r="I31" s="17">
        <v>7.5490096243803606</v>
      </c>
      <c r="J31" s="35">
        <v>1</v>
      </c>
      <c r="K31" s="450" t="s">
        <v>471</v>
      </c>
    </row>
    <row r="32" spans="1:11" x14ac:dyDescent="0.25">
      <c r="A32" s="14">
        <v>30</v>
      </c>
      <c r="B32" s="14" t="str">
        <f t="shared" si="1"/>
        <v>T188bE</v>
      </c>
      <c r="C32" s="9" t="s">
        <v>228</v>
      </c>
      <c r="D32" s="14" t="s">
        <v>229</v>
      </c>
      <c r="E32" s="7">
        <v>31.715999999999998</v>
      </c>
      <c r="F32" s="7">
        <v>37.496360507725235</v>
      </c>
      <c r="G32" s="7">
        <v>11.638593616808759</v>
      </c>
      <c r="H32" s="7">
        <v>4.7977879585242373</v>
      </c>
      <c r="I32" s="17">
        <v>16.436381575332994</v>
      </c>
      <c r="J32" s="35">
        <v>1</v>
      </c>
      <c r="K32" s="450" t="s">
        <v>1473</v>
      </c>
    </row>
    <row r="33" spans="1:11" x14ac:dyDescent="0.25">
      <c r="A33" s="14">
        <v>31</v>
      </c>
      <c r="B33" s="14" t="str">
        <f t="shared" si="1"/>
        <v>T135aE</v>
      </c>
      <c r="C33" s="9" t="s">
        <v>86</v>
      </c>
      <c r="D33" s="14" t="s">
        <v>87</v>
      </c>
      <c r="E33" s="7">
        <v>31.437930000000001</v>
      </c>
      <c r="F33" s="7">
        <v>34.600656394954449</v>
      </c>
      <c r="G33" s="7">
        <v>14.807099257108844</v>
      </c>
      <c r="H33" s="7">
        <v>4.7557233571360795</v>
      </c>
      <c r="I33" s="17">
        <v>19.562822614244922</v>
      </c>
      <c r="J33" s="35">
        <v>1</v>
      </c>
      <c r="K33" s="450" t="s">
        <v>471</v>
      </c>
    </row>
    <row r="34" spans="1:11" x14ac:dyDescent="0.25">
      <c r="A34" s="14">
        <v>32</v>
      </c>
      <c r="B34" s="14" t="str">
        <f t="shared" si="1"/>
        <v>T169aE</v>
      </c>
      <c r="C34" s="9" t="s">
        <v>166</v>
      </c>
      <c r="D34" s="14" t="s">
        <v>167</v>
      </c>
      <c r="E34" s="7">
        <v>17.77</v>
      </c>
      <c r="F34" s="7">
        <v>16.14297376677639</v>
      </c>
      <c r="G34" s="7">
        <v>6.7317284833329367</v>
      </c>
      <c r="H34" s="7">
        <v>2.6881287685387725</v>
      </c>
      <c r="I34" s="17">
        <v>9.4198572518717096</v>
      </c>
      <c r="J34" s="35">
        <v>1</v>
      </c>
      <c r="K34" s="450" t="s">
        <v>471</v>
      </c>
    </row>
    <row r="35" spans="1:11" x14ac:dyDescent="0.25">
      <c r="A35" s="14">
        <v>33</v>
      </c>
      <c r="B35" s="14" t="str">
        <f t="shared" si="1"/>
        <v>T129aE</v>
      </c>
      <c r="C35" s="9" t="s">
        <v>56</v>
      </c>
      <c r="D35" s="14" t="s">
        <v>57</v>
      </c>
      <c r="E35" s="7">
        <v>19.320630000000001</v>
      </c>
      <c r="F35" s="7">
        <v>15.101482658904473</v>
      </c>
      <c r="G35" s="7">
        <v>8.6399583971306733</v>
      </c>
      <c r="H35" s="7">
        <v>2.9226978800952881</v>
      </c>
      <c r="I35" s="17">
        <v>11.562656277225962</v>
      </c>
      <c r="J35" s="35">
        <v>1</v>
      </c>
      <c r="K35" s="450" t="s">
        <v>471</v>
      </c>
    </row>
    <row r="36" spans="1:11" x14ac:dyDescent="0.25">
      <c r="A36" s="14">
        <v>34</v>
      </c>
      <c r="B36" s="14" t="str">
        <f>"T"&amp;C36&amp;"_E"</f>
        <v>TBAS_E</v>
      </c>
      <c r="C36" s="36" t="s">
        <v>270</v>
      </c>
      <c r="D36" s="14" t="s">
        <v>271</v>
      </c>
      <c r="E36" s="7">
        <v>11.524000000000001</v>
      </c>
      <c r="F36" s="7">
        <v>12.297949009333704</v>
      </c>
      <c r="G36" s="7">
        <v>20.152578851347918</v>
      </c>
      <c r="H36" s="7">
        <v>1.7432749537783239</v>
      </c>
      <c r="I36" s="17">
        <v>21.895853805126244</v>
      </c>
      <c r="J36" s="35">
        <v>1</v>
      </c>
      <c r="K36" s="450" t="s">
        <v>471</v>
      </c>
    </row>
    <row r="37" spans="1:11" x14ac:dyDescent="0.25">
      <c r="A37" s="14">
        <v>35</v>
      </c>
      <c r="B37" s="14" t="str">
        <f>"T"&amp;C37&amp;"E"</f>
        <v>T133cE</v>
      </c>
      <c r="C37" s="9" t="s">
        <v>82</v>
      </c>
      <c r="D37" s="14" t="s">
        <v>83</v>
      </c>
      <c r="E37" s="7">
        <v>15.271000000000001</v>
      </c>
      <c r="F37" s="7">
        <v>10.496927025259621</v>
      </c>
      <c r="G37" s="7">
        <v>4.349685831378256</v>
      </c>
      <c r="H37" s="7">
        <v>2.3100964785793807</v>
      </c>
      <c r="I37" s="17">
        <v>6.6597823099576363</v>
      </c>
      <c r="J37" s="35">
        <v>1</v>
      </c>
      <c r="K37" s="450" t="s">
        <v>471</v>
      </c>
    </row>
    <row r="38" spans="1:11" x14ac:dyDescent="0.25">
      <c r="A38" s="14">
        <v>36</v>
      </c>
      <c r="B38" s="14" t="str">
        <f>"T"&amp;C38&amp;"E"</f>
        <v>T188dE</v>
      </c>
      <c r="C38" s="9" t="s">
        <v>232</v>
      </c>
      <c r="D38" s="14" t="s">
        <v>233</v>
      </c>
      <c r="E38" s="7">
        <v>7.99</v>
      </c>
      <c r="F38" s="7">
        <v>7.1715003343220127</v>
      </c>
      <c r="G38" s="7">
        <v>5.7543381298692982</v>
      </c>
      <c r="H38" s="7">
        <v>1.2086746685776473</v>
      </c>
      <c r="I38" s="17">
        <v>6.963012798446945</v>
      </c>
      <c r="J38" s="35">
        <v>1</v>
      </c>
      <c r="K38" s="450" t="s">
        <v>471</v>
      </c>
    </row>
    <row r="39" spans="1:11" x14ac:dyDescent="0.25">
      <c r="A39" s="14">
        <v>37</v>
      </c>
      <c r="B39" s="14" t="str">
        <f>"T"&amp;C39&amp;"E"</f>
        <v>T188cE</v>
      </c>
      <c r="C39" s="9" t="s">
        <v>230</v>
      </c>
      <c r="D39" s="14" t="s">
        <v>231</v>
      </c>
      <c r="E39" s="7">
        <v>21.588000000000001</v>
      </c>
      <c r="F39" s="7">
        <v>6.3524062074059389</v>
      </c>
      <c r="G39" s="7">
        <v>3.1671963198722084</v>
      </c>
      <c r="H39" s="7">
        <v>3.2656907065399561</v>
      </c>
      <c r="I39" s="17">
        <v>6.432887026412164</v>
      </c>
      <c r="J39" s="35">
        <v>1</v>
      </c>
      <c r="K39" s="450" t="s">
        <v>471</v>
      </c>
    </row>
    <row r="40" spans="1:11" x14ac:dyDescent="0.25">
      <c r="A40" s="14">
        <v>38</v>
      </c>
      <c r="B40" s="14" t="str">
        <f>"T"&amp;C40&amp;"E"</f>
        <v>T190cE</v>
      </c>
      <c r="C40" s="9" t="s">
        <v>238</v>
      </c>
      <c r="D40" s="14" t="s">
        <v>239</v>
      </c>
      <c r="E40" s="7">
        <v>11.057</v>
      </c>
      <c r="F40" s="7">
        <v>2.2511137183288095</v>
      </c>
      <c r="G40" s="7">
        <v>19.604966394660984</v>
      </c>
      <c r="H40" s="7">
        <v>1.6726302641380533</v>
      </c>
      <c r="I40" s="17">
        <v>21.277596658799037</v>
      </c>
      <c r="J40" s="35">
        <v>1</v>
      </c>
      <c r="K40" s="450" t="s">
        <v>471</v>
      </c>
    </row>
    <row r="41" spans="1:11" x14ac:dyDescent="0.25">
      <c r="C41" s="15"/>
      <c r="E41" s="7"/>
      <c r="G41" s="18"/>
      <c r="H41" s="18"/>
      <c r="I41" s="17"/>
      <c r="K41" s="35"/>
    </row>
    <row r="42" spans="1:11" x14ac:dyDescent="0.25">
      <c r="C42" s="15"/>
      <c r="E42" s="7"/>
      <c r="G42" s="18"/>
      <c r="H42" s="18"/>
      <c r="I42" s="18"/>
      <c r="K42" s="35"/>
    </row>
    <row r="43" spans="1:11" x14ac:dyDescent="0.25">
      <c r="C43" s="15"/>
      <c r="E43" s="7"/>
      <c r="G43" s="18"/>
      <c r="H43" s="18"/>
      <c r="I43" s="18"/>
      <c r="K43" s="35"/>
    </row>
    <row r="44" spans="1:11" x14ac:dyDescent="0.25">
      <c r="C44" s="15"/>
      <c r="E44" s="7"/>
      <c r="G44" s="18"/>
      <c r="H44" s="18"/>
      <c r="I44" s="18"/>
      <c r="K44" s="35"/>
    </row>
    <row r="45" spans="1:11" x14ac:dyDescent="0.25">
      <c r="C45" s="15"/>
      <c r="E45" s="7"/>
      <c r="G45" s="18"/>
      <c r="H45" s="18"/>
      <c r="I45" s="18"/>
      <c r="K45" s="35"/>
    </row>
    <row r="46" spans="1:11" x14ac:dyDescent="0.25">
      <c r="C46" s="15"/>
      <c r="E46" s="7"/>
      <c r="G46" s="18"/>
      <c r="H46" s="18"/>
      <c r="I46" s="18"/>
      <c r="K46" s="35"/>
    </row>
    <row r="47" spans="1:11" x14ac:dyDescent="0.25">
      <c r="C47" s="15"/>
      <c r="E47" s="7"/>
      <c r="G47" s="18"/>
      <c r="H47" s="18"/>
      <c r="I47" s="18"/>
      <c r="K47" s="35"/>
    </row>
    <row r="48" spans="1:11" x14ac:dyDescent="0.25">
      <c r="C48" s="15"/>
      <c r="E48" s="7"/>
      <c r="G48" s="18"/>
      <c r="H48" s="18"/>
      <c r="I48" s="18"/>
      <c r="K48" s="35"/>
    </row>
    <row r="49" spans="3:11" x14ac:dyDescent="0.25">
      <c r="C49" s="15"/>
      <c r="E49" s="7"/>
      <c r="G49" s="18"/>
      <c r="H49" s="18"/>
      <c r="I49" s="18"/>
      <c r="K49" s="35"/>
    </row>
    <row r="50" spans="3:11" x14ac:dyDescent="0.25">
      <c r="C50" s="15"/>
      <c r="E50" s="7"/>
      <c r="G50" s="18"/>
      <c r="H50" s="18"/>
      <c r="I50" s="18"/>
      <c r="K50" s="35"/>
    </row>
    <row r="51" spans="3:11" x14ac:dyDescent="0.25">
      <c r="C51" s="15"/>
      <c r="E51" s="7"/>
      <c r="G51" s="18"/>
      <c r="H51" s="18"/>
      <c r="I51" s="18"/>
      <c r="K51" s="35"/>
    </row>
    <row r="52" spans="3:11" x14ac:dyDescent="0.25">
      <c r="C52" s="15"/>
      <c r="E52" s="7"/>
      <c r="G52" s="18"/>
      <c r="H52" s="18"/>
      <c r="I52" s="18"/>
      <c r="K52" s="35"/>
    </row>
    <row r="53" spans="3:11" x14ac:dyDescent="0.25">
      <c r="C53" s="15"/>
      <c r="E53" s="7"/>
      <c r="G53" s="18"/>
      <c r="H53" s="18"/>
      <c r="I53" s="18"/>
      <c r="K53" s="35"/>
    </row>
    <row r="54" spans="3:11" x14ac:dyDescent="0.25">
      <c r="C54" s="15"/>
      <c r="E54" s="7"/>
      <c r="G54" s="18"/>
      <c r="H54" s="18"/>
      <c r="I54" s="18"/>
      <c r="K54" s="35"/>
    </row>
    <row r="55" spans="3:11" x14ac:dyDescent="0.25">
      <c r="C55" s="15"/>
      <c r="E55" s="7"/>
      <c r="G55" s="18"/>
      <c r="H55" s="18"/>
      <c r="I55" s="18"/>
      <c r="K55" s="35"/>
    </row>
    <row r="56" spans="3:11" x14ac:dyDescent="0.25">
      <c r="C56" s="15"/>
      <c r="E56" s="7"/>
      <c r="G56" s="18"/>
      <c r="H56" s="18"/>
      <c r="I56" s="18"/>
      <c r="K56" s="35"/>
    </row>
    <row r="57" spans="3:11" x14ac:dyDescent="0.25">
      <c r="C57" s="15"/>
      <c r="E57" s="7"/>
      <c r="G57" s="18"/>
      <c r="H57" s="18"/>
      <c r="I57" s="18"/>
      <c r="K57" s="35"/>
    </row>
    <row r="58" spans="3:11" x14ac:dyDescent="0.25">
      <c r="C58" s="15"/>
      <c r="E58" s="7"/>
      <c r="G58" s="18"/>
      <c r="H58" s="18"/>
      <c r="I58" s="18"/>
      <c r="K58" s="35"/>
    </row>
    <row r="59" spans="3:11" x14ac:dyDescent="0.25">
      <c r="C59" s="15"/>
      <c r="E59" s="7"/>
      <c r="G59" s="18"/>
      <c r="H59" s="18"/>
      <c r="I59" s="18"/>
      <c r="K59" s="35"/>
    </row>
    <row r="60" spans="3:11" x14ac:dyDescent="0.25">
      <c r="C60" s="15"/>
      <c r="E60" s="7"/>
      <c r="G60" s="18"/>
      <c r="H60" s="18"/>
      <c r="I60" s="18"/>
      <c r="K60" s="35"/>
    </row>
    <row r="61" spans="3:11" x14ac:dyDescent="0.25">
      <c r="C61" s="15"/>
      <c r="E61" s="7"/>
      <c r="G61" s="18"/>
      <c r="H61" s="18"/>
      <c r="I61" s="18"/>
      <c r="K61" s="35"/>
    </row>
    <row r="62" spans="3:11" x14ac:dyDescent="0.25">
      <c r="C62" s="15"/>
      <c r="E62" s="7"/>
      <c r="G62" s="18"/>
      <c r="H62" s="18"/>
      <c r="I62" s="18"/>
      <c r="K62" s="35"/>
    </row>
    <row r="63" spans="3:11" x14ac:dyDescent="0.25">
      <c r="C63" s="15"/>
      <c r="E63" s="7"/>
      <c r="G63" s="18"/>
      <c r="H63" s="18"/>
      <c r="I63" s="18"/>
      <c r="K63" s="35"/>
    </row>
    <row r="64" spans="3:11" x14ac:dyDescent="0.25">
      <c r="C64" s="15"/>
      <c r="E64" s="7"/>
      <c r="G64" s="18"/>
      <c r="H64" s="18"/>
      <c r="I64" s="18"/>
      <c r="K64" s="35"/>
    </row>
    <row r="65" spans="3:11" x14ac:dyDescent="0.25">
      <c r="C65" s="15"/>
      <c r="E65" s="7"/>
      <c r="G65" s="18"/>
      <c r="H65" s="18"/>
      <c r="I65" s="18"/>
      <c r="K65" s="35"/>
    </row>
    <row r="66" spans="3:11" x14ac:dyDescent="0.25">
      <c r="C66" s="15"/>
      <c r="E66" s="7"/>
      <c r="G66" s="18"/>
      <c r="H66" s="18"/>
      <c r="I66" s="18"/>
      <c r="K66" s="35"/>
    </row>
    <row r="67" spans="3:11" x14ac:dyDescent="0.25">
      <c r="C67" s="15"/>
      <c r="E67" s="7"/>
      <c r="G67" s="18"/>
      <c r="H67" s="18"/>
      <c r="I67" s="18"/>
      <c r="K67" s="35"/>
    </row>
    <row r="68" spans="3:11" x14ac:dyDescent="0.25">
      <c r="C68" s="15"/>
      <c r="E68" s="7"/>
      <c r="G68" s="18"/>
      <c r="H68" s="18"/>
      <c r="I68" s="18"/>
      <c r="K68" s="35"/>
    </row>
    <row r="69" spans="3:11" x14ac:dyDescent="0.25">
      <c r="C69" s="15"/>
      <c r="E69" s="7"/>
      <c r="G69" s="18"/>
      <c r="H69" s="18"/>
      <c r="I69" s="18"/>
      <c r="K69" s="35"/>
    </row>
    <row r="70" spans="3:11" x14ac:dyDescent="0.25">
      <c r="C70" s="15"/>
      <c r="E70" s="7"/>
      <c r="G70" s="18"/>
      <c r="H70" s="18"/>
      <c r="I70" s="18"/>
      <c r="K70" s="35"/>
    </row>
    <row r="71" spans="3:11" x14ac:dyDescent="0.25">
      <c r="C71" s="15"/>
      <c r="E71" s="7"/>
      <c r="G71" s="18"/>
      <c r="H71" s="18"/>
      <c r="I71" s="18"/>
      <c r="K71" s="35"/>
    </row>
    <row r="72" spans="3:11" x14ac:dyDescent="0.25">
      <c r="C72" s="15"/>
      <c r="E72" s="7"/>
      <c r="G72" s="18"/>
      <c r="H72" s="18"/>
      <c r="I72" s="18"/>
      <c r="K72" s="35"/>
    </row>
    <row r="73" spans="3:11" x14ac:dyDescent="0.25">
      <c r="C73" s="15"/>
      <c r="E73" s="7"/>
      <c r="G73" s="18"/>
      <c r="H73" s="18"/>
      <c r="I73" s="18"/>
      <c r="K73" s="35"/>
    </row>
    <row r="74" spans="3:11" x14ac:dyDescent="0.25">
      <c r="C74" s="15"/>
      <c r="E74" s="7"/>
      <c r="G74" s="18"/>
      <c r="H74" s="18"/>
      <c r="I74" s="18"/>
      <c r="K74" s="35"/>
    </row>
    <row r="75" spans="3:11" x14ac:dyDescent="0.25">
      <c r="C75" s="15"/>
      <c r="E75" s="7"/>
      <c r="G75" s="18"/>
      <c r="H75" s="18"/>
      <c r="I75" s="18"/>
      <c r="K75" s="35"/>
    </row>
    <row r="76" spans="3:11" x14ac:dyDescent="0.25">
      <c r="C76" s="15"/>
      <c r="E76" s="7"/>
      <c r="G76" s="18"/>
      <c r="H76" s="18"/>
      <c r="I76" s="18"/>
      <c r="K76" s="35"/>
    </row>
    <row r="77" spans="3:11" x14ac:dyDescent="0.25">
      <c r="C77" s="15"/>
      <c r="E77" s="7"/>
      <c r="G77" s="18"/>
      <c r="H77" s="18"/>
      <c r="I77" s="18"/>
      <c r="K77" s="35"/>
    </row>
    <row r="78" spans="3:11" x14ac:dyDescent="0.25">
      <c r="C78" s="15"/>
      <c r="E78" s="7"/>
      <c r="G78" s="18"/>
      <c r="H78" s="18"/>
      <c r="I78" s="18"/>
      <c r="K78" s="35"/>
    </row>
    <row r="79" spans="3:11" x14ac:dyDescent="0.25">
      <c r="C79" s="15"/>
      <c r="E79" s="7"/>
      <c r="G79" s="18"/>
      <c r="H79" s="18"/>
      <c r="I79" s="18"/>
      <c r="K79" s="35"/>
    </row>
    <row r="80" spans="3:11" x14ac:dyDescent="0.25">
      <c r="C80" s="15"/>
      <c r="E80" s="7"/>
      <c r="G80" s="18"/>
      <c r="H80" s="18"/>
      <c r="I80" s="18"/>
      <c r="K80" s="35"/>
    </row>
    <row r="81" spans="3:11" x14ac:dyDescent="0.25">
      <c r="C81" s="15"/>
      <c r="E81" s="7"/>
      <c r="G81" s="18"/>
      <c r="H81" s="18"/>
      <c r="I81" s="18"/>
      <c r="K81" s="35"/>
    </row>
    <row r="82" spans="3:11" x14ac:dyDescent="0.25">
      <c r="C82" s="15"/>
      <c r="E82" s="7"/>
      <c r="G82" s="18"/>
      <c r="H82" s="18"/>
      <c r="I82" s="18"/>
      <c r="K82" s="35"/>
    </row>
    <row r="83" spans="3:11" x14ac:dyDescent="0.25">
      <c r="C83" s="15"/>
      <c r="E83" s="7"/>
      <c r="G83" s="18"/>
      <c r="H83" s="18"/>
      <c r="I83" s="18"/>
      <c r="K83" s="35"/>
    </row>
    <row r="84" spans="3:11" x14ac:dyDescent="0.25">
      <c r="C84" s="15"/>
      <c r="E84" s="7"/>
      <c r="G84" s="18"/>
      <c r="H84" s="18"/>
      <c r="I84" s="18"/>
      <c r="K84" s="35"/>
    </row>
    <row r="85" spans="3:11" x14ac:dyDescent="0.25">
      <c r="C85" s="15"/>
      <c r="E85" s="7"/>
      <c r="G85" s="18"/>
      <c r="H85" s="18"/>
      <c r="I85" s="18"/>
      <c r="K85" s="35"/>
    </row>
    <row r="86" spans="3:11" x14ac:dyDescent="0.25">
      <c r="C86" s="15"/>
      <c r="E86" s="7"/>
      <c r="G86" s="18"/>
      <c r="H86" s="18"/>
      <c r="I86" s="18"/>
      <c r="K86" s="35"/>
    </row>
    <row r="87" spans="3:11" x14ac:dyDescent="0.25">
      <c r="C87" s="15"/>
      <c r="E87" s="7"/>
      <c r="G87" s="18"/>
      <c r="H87" s="18"/>
      <c r="I87" s="18"/>
      <c r="K87" s="35"/>
    </row>
    <row r="88" spans="3:11" x14ac:dyDescent="0.25">
      <c r="C88" s="15"/>
      <c r="E88" s="7"/>
      <c r="G88" s="18"/>
      <c r="H88" s="18"/>
      <c r="I88" s="18"/>
      <c r="K88" s="35"/>
    </row>
    <row r="89" spans="3:11" x14ac:dyDescent="0.25">
      <c r="C89" s="15"/>
      <c r="E89" s="7"/>
      <c r="G89" s="18"/>
      <c r="H89" s="18"/>
      <c r="I89" s="18"/>
      <c r="K89" s="35"/>
    </row>
    <row r="90" spans="3:11" x14ac:dyDescent="0.25">
      <c r="C90" s="15"/>
      <c r="E90" s="7"/>
      <c r="G90" s="18"/>
      <c r="H90" s="18"/>
      <c r="I90" s="18"/>
      <c r="K90" s="35"/>
    </row>
    <row r="91" spans="3:11" x14ac:dyDescent="0.25">
      <c r="C91" s="15"/>
      <c r="E91" s="7"/>
      <c r="G91" s="18"/>
      <c r="H91" s="18"/>
      <c r="I91" s="18"/>
      <c r="K91" s="35"/>
    </row>
    <row r="92" spans="3:11" x14ac:dyDescent="0.25">
      <c r="C92" s="15"/>
      <c r="E92" s="7"/>
      <c r="G92" s="18"/>
      <c r="H92" s="18"/>
      <c r="I92" s="18"/>
      <c r="K92" s="35"/>
    </row>
    <row r="93" spans="3:11" x14ac:dyDescent="0.25">
      <c r="C93" s="15"/>
      <c r="E93" s="7"/>
      <c r="G93" s="18"/>
      <c r="H93" s="18"/>
      <c r="I93" s="18"/>
      <c r="K93" s="35"/>
    </row>
    <row r="94" spans="3:11" x14ac:dyDescent="0.25">
      <c r="C94" s="15"/>
      <c r="E94" s="7"/>
      <c r="G94" s="18"/>
      <c r="H94" s="18"/>
      <c r="I94" s="18"/>
      <c r="K94" s="35"/>
    </row>
    <row r="95" spans="3:11" x14ac:dyDescent="0.25">
      <c r="C95" s="15"/>
      <c r="E95" s="7"/>
      <c r="G95" s="18"/>
      <c r="H95" s="18"/>
      <c r="I95" s="18"/>
      <c r="K95" s="35"/>
    </row>
    <row r="96" spans="3:11" x14ac:dyDescent="0.25">
      <c r="C96" s="15"/>
      <c r="E96" s="7"/>
      <c r="G96" s="18"/>
      <c r="H96" s="18"/>
      <c r="I96" s="18"/>
      <c r="K96" s="35"/>
    </row>
    <row r="97" spans="3:11" x14ac:dyDescent="0.25">
      <c r="C97" s="15"/>
      <c r="E97" s="7"/>
      <c r="G97" s="18"/>
      <c r="H97" s="18"/>
      <c r="I97" s="18"/>
      <c r="K97" s="35"/>
    </row>
    <row r="98" spans="3:11" x14ac:dyDescent="0.25">
      <c r="C98" s="15"/>
      <c r="E98" s="7"/>
      <c r="G98" s="18"/>
      <c r="H98" s="18"/>
      <c r="I98" s="18"/>
      <c r="K98" s="35"/>
    </row>
    <row r="99" spans="3:11" x14ac:dyDescent="0.25">
      <c r="C99" s="15"/>
      <c r="E99" s="7"/>
      <c r="G99" s="18"/>
      <c r="H99" s="18"/>
      <c r="I99" s="18"/>
      <c r="K99" s="35"/>
    </row>
    <row r="100" spans="3:11" x14ac:dyDescent="0.25">
      <c r="C100" s="15"/>
      <c r="E100" s="7"/>
      <c r="G100" s="18"/>
      <c r="H100" s="18"/>
      <c r="I100" s="18"/>
      <c r="K100" s="35"/>
    </row>
    <row r="101" spans="3:11" x14ac:dyDescent="0.25">
      <c r="C101" s="15"/>
      <c r="E101" s="7"/>
      <c r="G101" s="18"/>
      <c r="H101" s="18"/>
      <c r="I101" s="18"/>
      <c r="K101" s="35"/>
    </row>
    <row r="102" spans="3:11" x14ac:dyDescent="0.25">
      <c r="C102" s="15"/>
      <c r="E102" s="7"/>
      <c r="G102" s="18"/>
      <c r="H102" s="18"/>
      <c r="I102" s="18"/>
      <c r="K102" s="35"/>
    </row>
    <row r="103" spans="3:11" x14ac:dyDescent="0.25">
      <c r="C103" s="15"/>
      <c r="E103" s="7"/>
      <c r="G103" s="18"/>
      <c r="H103" s="18"/>
      <c r="I103" s="18"/>
      <c r="K103" s="35"/>
    </row>
    <row r="104" spans="3:11" x14ac:dyDescent="0.25">
      <c r="C104" s="15"/>
      <c r="E104" s="7"/>
      <c r="G104" s="18"/>
      <c r="H104" s="18"/>
      <c r="I104" s="18"/>
      <c r="K104" s="35"/>
    </row>
    <row r="105" spans="3:11" x14ac:dyDescent="0.25">
      <c r="C105" s="15"/>
      <c r="E105" s="7"/>
      <c r="G105" s="18"/>
      <c r="H105" s="18"/>
      <c r="I105" s="18"/>
      <c r="K105" s="35"/>
    </row>
    <row r="106" spans="3:11" x14ac:dyDescent="0.25">
      <c r="C106" s="15"/>
      <c r="E106" s="7"/>
      <c r="G106" s="18"/>
      <c r="H106" s="18"/>
      <c r="I106" s="18"/>
      <c r="K106" s="35"/>
    </row>
    <row r="107" spans="3:11" x14ac:dyDescent="0.25">
      <c r="C107" s="15"/>
      <c r="E107" s="7"/>
      <c r="G107" s="18"/>
      <c r="H107" s="18"/>
      <c r="I107" s="18"/>
      <c r="K107" s="35"/>
    </row>
    <row r="108" spans="3:11" x14ac:dyDescent="0.25">
      <c r="C108" s="15"/>
      <c r="E108" s="7"/>
      <c r="G108" s="18"/>
      <c r="H108" s="18"/>
      <c r="I108" s="18"/>
      <c r="K108" s="35"/>
    </row>
    <row r="109" spans="3:11" x14ac:dyDescent="0.25">
      <c r="C109" s="15"/>
      <c r="E109" s="7"/>
      <c r="G109" s="18"/>
      <c r="H109" s="18"/>
      <c r="I109" s="18"/>
      <c r="K109" s="35"/>
    </row>
    <row r="110" spans="3:11" x14ac:dyDescent="0.25">
      <c r="C110" s="15"/>
      <c r="E110" s="7"/>
      <c r="G110" s="18"/>
      <c r="H110" s="18"/>
      <c r="I110" s="18"/>
      <c r="K110" s="35"/>
    </row>
    <row r="111" spans="3:11" x14ac:dyDescent="0.25">
      <c r="C111" s="15"/>
      <c r="E111" s="7"/>
      <c r="G111" s="18"/>
      <c r="H111" s="18"/>
      <c r="I111" s="18"/>
      <c r="K111" s="35"/>
    </row>
    <row r="112" spans="3:11" x14ac:dyDescent="0.25">
      <c r="C112" s="15"/>
      <c r="E112" s="7"/>
      <c r="G112" s="18"/>
      <c r="H112" s="18"/>
      <c r="I112" s="18"/>
      <c r="K112" s="35"/>
    </row>
    <row r="113" spans="3:11" x14ac:dyDescent="0.25">
      <c r="C113" s="15"/>
      <c r="E113" s="7"/>
      <c r="G113" s="18"/>
      <c r="H113" s="18"/>
      <c r="I113" s="18"/>
      <c r="K113" s="35"/>
    </row>
    <row r="114" spans="3:11" x14ac:dyDescent="0.25">
      <c r="C114" s="15"/>
      <c r="E114" s="7"/>
      <c r="G114" s="18"/>
      <c r="H114" s="18"/>
      <c r="I114" s="18"/>
      <c r="K114" s="35"/>
    </row>
    <row r="115" spans="3:11" x14ac:dyDescent="0.25">
      <c r="C115" s="15"/>
      <c r="E115" s="7"/>
      <c r="G115" s="18"/>
      <c r="H115" s="18"/>
      <c r="I115" s="18"/>
      <c r="K115" s="35"/>
    </row>
    <row r="116" spans="3:11" x14ac:dyDescent="0.25">
      <c r="C116" s="15"/>
      <c r="E116" s="7"/>
      <c r="G116" s="18"/>
      <c r="H116" s="18"/>
      <c r="I116" s="18"/>
      <c r="K116" s="35"/>
    </row>
    <row r="117" spans="3:11" x14ac:dyDescent="0.25">
      <c r="C117" s="15"/>
      <c r="E117" s="7"/>
      <c r="G117" s="18"/>
      <c r="H117" s="18"/>
      <c r="I117" s="18"/>
      <c r="K117" s="35"/>
    </row>
    <row r="118" spans="3:11" x14ac:dyDescent="0.25">
      <c r="C118" s="15"/>
      <c r="E118" s="7"/>
      <c r="G118" s="18"/>
      <c r="H118" s="18"/>
      <c r="I118" s="18"/>
      <c r="K118" s="35"/>
    </row>
    <row r="119" spans="3:11" x14ac:dyDescent="0.25">
      <c r="C119" s="15"/>
      <c r="E119" s="7"/>
      <c r="G119" s="18"/>
      <c r="H119" s="18"/>
      <c r="I119" s="18"/>
      <c r="K119" s="35"/>
    </row>
    <row r="120" spans="3:11" x14ac:dyDescent="0.25">
      <c r="C120" s="15"/>
      <c r="E120" s="7"/>
      <c r="G120" s="18"/>
      <c r="H120" s="18"/>
      <c r="I120" s="18"/>
      <c r="K120" s="35"/>
    </row>
    <row r="121" spans="3:11" x14ac:dyDescent="0.25">
      <c r="C121" s="15"/>
      <c r="E121" s="7"/>
      <c r="G121" s="18"/>
      <c r="H121" s="18"/>
      <c r="I121" s="18"/>
      <c r="K121" s="35"/>
    </row>
    <row r="122" spans="3:11" x14ac:dyDescent="0.25">
      <c r="C122" s="15"/>
      <c r="E122" s="7"/>
      <c r="G122" s="18"/>
      <c r="H122" s="18"/>
      <c r="I122" s="18"/>
      <c r="K122" s="35"/>
    </row>
    <row r="123" spans="3:11" x14ac:dyDescent="0.25">
      <c r="C123" s="15"/>
      <c r="E123" s="7"/>
      <c r="G123" s="18"/>
      <c r="H123" s="18"/>
      <c r="I123" s="18"/>
      <c r="K123" s="35"/>
    </row>
    <row r="124" spans="3:11" x14ac:dyDescent="0.25">
      <c r="C124" s="15"/>
      <c r="E124" s="7"/>
      <c r="G124" s="18"/>
      <c r="H124" s="18"/>
      <c r="I124" s="18"/>
      <c r="K124" s="35"/>
    </row>
    <row r="125" spans="3:11" x14ac:dyDescent="0.25">
      <c r="C125" s="15"/>
      <c r="E125" s="7"/>
      <c r="G125" s="18"/>
      <c r="H125" s="18"/>
      <c r="I125" s="18"/>
      <c r="K125" s="35"/>
    </row>
    <row r="126" spans="3:11" x14ac:dyDescent="0.25">
      <c r="C126" s="15"/>
      <c r="E126" s="7"/>
      <c r="G126" s="18"/>
      <c r="H126" s="18"/>
      <c r="I126" s="18"/>
      <c r="K126" s="35"/>
    </row>
    <row r="127" spans="3:11" x14ac:dyDescent="0.25">
      <c r="C127" s="15"/>
      <c r="E127" s="7"/>
      <c r="G127" s="18"/>
      <c r="H127" s="18"/>
      <c r="I127" s="18"/>
      <c r="K127" s="35"/>
    </row>
    <row r="128" spans="3:11" x14ac:dyDescent="0.25">
      <c r="C128" s="15"/>
      <c r="E128" s="7"/>
      <c r="G128" s="18"/>
      <c r="H128" s="18"/>
      <c r="I128" s="18"/>
      <c r="K128" s="35"/>
    </row>
    <row r="129" spans="3:11" x14ac:dyDescent="0.25">
      <c r="C129" s="15"/>
      <c r="E129" s="7"/>
      <c r="G129" s="18"/>
      <c r="H129" s="18"/>
      <c r="I129" s="18"/>
      <c r="K129" s="35"/>
    </row>
    <row r="130" spans="3:11" x14ac:dyDescent="0.25">
      <c r="C130" s="15"/>
      <c r="E130" s="7"/>
      <c r="G130" s="18"/>
      <c r="H130" s="18"/>
      <c r="I130" s="18"/>
      <c r="K130" s="35"/>
    </row>
    <row r="131" spans="3:11" x14ac:dyDescent="0.25">
      <c r="C131" s="15"/>
      <c r="E131" s="7"/>
      <c r="G131" s="18"/>
      <c r="H131" s="18"/>
      <c r="I131" s="18"/>
      <c r="K131" s="35"/>
    </row>
    <row r="132" spans="3:11" x14ac:dyDescent="0.25">
      <c r="C132" s="15"/>
      <c r="E132" s="7"/>
      <c r="G132" s="18"/>
      <c r="H132" s="18"/>
      <c r="I132" s="18"/>
      <c r="K132" s="35"/>
    </row>
    <row r="133" spans="3:11" x14ac:dyDescent="0.25">
      <c r="C133" s="15"/>
      <c r="E133" s="7"/>
      <c r="G133" s="18"/>
      <c r="H133" s="18"/>
      <c r="I133" s="18"/>
      <c r="K133" s="35"/>
    </row>
    <row r="134" spans="3:11" x14ac:dyDescent="0.25">
      <c r="C134" s="15"/>
      <c r="E134" s="7"/>
      <c r="G134" s="18"/>
      <c r="H134" s="18"/>
      <c r="I134" s="18"/>
      <c r="K134" s="35"/>
    </row>
    <row r="135" spans="3:11" x14ac:dyDescent="0.25">
      <c r="C135" s="15"/>
      <c r="E135" s="7"/>
      <c r="G135" s="18"/>
      <c r="H135" s="18"/>
      <c r="I135" s="18"/>
      <c r="K135" s="35"/>
    </row>
    <row r="136" spans="3:11" x14ac:dyDescent="0.25">
      <c r="C136" s="15"/>
      <c r="E136" s="7"/>
      <c r="G136" s="18"/>
      <c r="H136" s="18"/>
      <c r="I136" s="18"/>
      <c r="K136" s="35"/>
    </row>
    <row r="137" spans="3:11" x14ac:dyDescent="0.25">
      <c r="C137" s="15"/>
      <c r="E137" s="7"/>
      <c r="G137" s="18"/>
      <c r="H137" s="18"/>
      <c r="I137" s="18"/>
      <c r="K137" s="35"/>
    </row>
    <row r="138" spans="3:11" x14ac:dyDescent="0.25">
      <c r="C138" s="15"/>
      <c r="E138" s="7"/>
      <c r="G138" s="18"/>
      <c r="H138" s="18"/>
      <c r="I138" s="18"/>
      <c r="K138" s="35"/>
    </row>
    <row r="139" spans="3:11" x14ac:dyDescent="0.25">
      <c r="C139" s="15"/>
      <c r="E139" s="7"/>
      <c r="G139" s="18"/>
      <c r="H139" s="18"/>
      <c r="I139" s="18"/>
      <c r="K139" s="35"/>
    </row>
    <row r="140" spans="3:11" x14ac:dyDescent="0.25">
      <c r="C140" s="15"/>
      <c r="E140" s="7"/>
      <c r="G140" s="18"/>
      <c r="H140" s="18"/>
      <c r="I140" s="18"/>
      <c r="K140" s="35"/>
    </row>
    <row r="141" spans="3:11" x14ac:dyDescent="0.25">
      <c r="C141" s="15"/>
      <c r="E141" s="7"/>
      <c r="G141" s="18"/>
      <c r="H141" s="18"/>
      <c r="I141" s="18"/>
      <c r="K141" s="35"/>
    </row>
    <row r="142" spans="3:11" x14ac:dyDescent="0.25">
      <c r="C142" s="15"/>
      <c r="E142" s="7"/>
      <c r="G142" s="18"/>
      <c r="H142" s="18"/>
      <c r="I142" s="18"/>
      <c r="K142" s="35"/>
    </row>
    <row r="143" spans="3:11" x14ac:dyDescent="0.25">
      <c r="C143" s="15"/>
      <c r="E143" s="7"/>
      <c r="G143" s="18"/>
      <c r="H143" s="18"/>
      <c r="I143" s="18"/>
      <c r="K143" s="35"/>
    </row>
  </sheetData>
  <autoFilter ref="A2:K40"/>
  <sortState ref="B3:I40">
    <sortCondition descending="1" ref="F3:F40"/>
  </sortState>
  <pageMargins left="0.7" right="0.7" top="0.75" bottom="0.75" header="0.3" footer="0.3"/>
  <pageSetup paperSize="9" scale="64" fitToHeight="0" orientation="portrait" r:id="rId1"/>
  <headerFooter>
    <oddFooter>&amp;LPríloha č. 1_3a TENT ETCS&amp;R&amp;P l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Q29"/>
  <sheetViews>
    <sheetView zoomScaleNormal="100" workbookViewId="0">
      <selection activeCell="N12" sqref="N12"/>
    </sheetView>
  </sheetViews>
  <sheetFormatPr defaultColWidth="9.140625" defaultRowHeight="15" x14ac:dyDescent="0.25"/>
  <cols>
    <col min="1" max="2" width="9.140625" style="5"/>
    <col min="3" max="3" width="6.140625" style="5" bestFit="1" customWidth="1"/>
    <col min="4" max="4" width="42.42578125" style="5" customWidth="1"/>
    <col min="5" max="5" width="11.140625" style="5" customWidth="1"/>
    <col min="6" max="7" width="9.140625" style="5"/>
    <col min="8" max="8" width="9.5703125" style="5" bestFit="1" customWidth="1"/>
    <col min="9" max="9" width="25" style="5" bestFit="1" customWidth="1"/>
    <col min="10" max="10" width="14.85546875" style="5" customWidth="1"/>
    <col min="11" max="16384" width="9.140625" style="5"/>
  </cols>
  <sheetData>
    <row r="1" spans="1:16371" ht="18.75" x14ac:dyDescent="0.25">
      <c r="A1" s="82" t="s">
        <v>553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  <c r="AMM1" s="30"/>
      <c r="AMN1" s="30"/>
      <c r="AMO1" s="30"/>
      <c r="AMP1" s="30"/>
      <c r="AMQ1" s="30"/>
      <c r="AMR1" s="30"/>
      <c r="AMS1" s="30"/>
      <c r="AMT1" s="30"/>
      <c r="AMU1" s="30"/>
      <c r="AMV1" s="30"/>
      <c r="AMW1" s="30"/>
      <c r="AMX1" s="30"/>
      <c r="AMY1" s="30"/>
      <c r="AMZ1" s="30"/>
      <c r="ANA1" s="30"/>
      <c r="ANB1" s="30"/>
      <c r="ANC1" s="30"/>
      <c r="AND1" s="30"/>
      <c r="ANE1" s="30"/>
      <c r="ANF1" s="30"/>
      <c r="ANG1" s="30"/>
      <c r="ANH1" s="30"/>
      <c r="ANI1" s="30"/>
      <c r="ANJ1" s="30"/>
      <c r="ANK1" s="30"/>
      <c r="ANL1" s="30"/>
      <c r="ANM1" s="30"/>
      <c r="ANN1" s="30"/>
      <c r="ANO1" s="30"/>
      <c r="ANP1" s="30"/>
      <c r="ANQ1" s="30"/>
      <c r="ANR1" s="30"/>
      <c r="ANS1" s="30"/>
      <c r="ANT1" s="30"/>
      <c r="ANU1" s="30"/>
      <c r="ANV1" s="30"/>
      <c r="ANW1" s="30"/>
      <c r="ANX1" s="30"/>
      <c r="ANY1" s="30"/>
      <c r="ANZ1" s="30"/>
      <c r="AOA1" s="30"/>
      <c r="AOB1" s="30"/>
      <c r="AOC1" s="30"/>
      <c r="AOD1" s="30"/>
      <c r="AOE1" s="30"/>
      <c r="AOF1" s="30"/>
      <c r="AOG1" s="30"/>
      <c r="AOH1" s="30"/>
      <c r="AOI1" s="30"/>
      <c r="AOJ1" s="30"/>
      <c r="AOK1" s="30"/>
      <c r="AOL1" s="30"/>
      <c r="AOM1" s="30"/>
      <c r="AON1" s="30"/>
      <c r="AOO1" s="30"/>
      <c r="AOP1" s="30"/>
      <c r="AOQ1" s="30"/>
      <c r="AOR1" s="30"/>
      <c r="AOS1" s="30"/>
      <c r="AOT1" s="30"/>
      <c r="AOU1" s="30"/>
      <c r="AOV1" s="30"/>
      <c r="AOW1" s="30"/>
      <c r="AOX1" s="30"/>
      <c r="AOY1" s="30"/>
      <c r="AOZ1" s="30"/>
      <c r="APA1" s="30"/>
      <c r="APB1" s="30"/>
      <c r="APC1" s="30"/>
      <c r="APD1" s="30"/>
      <c r="APE1" s="30"/>
      <c r="APF1" s="30"/>
      <c r="APG1" s="30"/>
      <c r="APH1" s="30"/>
      <c r="API1" s="30"/>
      <c r="APJ1" s="30"/>
      <c r="APK1" s="30"/>
      <c r="APL1" s="30"/>
      <c r="APM1" s="30"/>
      <c r="APN1" s="30"/>
      <c r="APO1" s="30"/>
      <c r="APP1" s="30"/>
      <c r="APQ1" s="30"/>
      <c r="APR1" s="30"/>
      <c r="APS1" s="30"/>
      <c r="APT1" s="30"/>
      <c r="APU1" s="30"/>
      <c r="APV1" s="30"/>
      <c r="APW1" s="30"/>
      <c r="APX1" s="30"/>
      <c r="APY1" s="30"/>
      <c r="APZ1" s="30"/>
      <c r="AQA1" s="30"/>
      <c r="AQB1" s="30"/>
      <c r="AQC1" s="30"/>
      <c r="AQD1" s="30"/>
      <c r="AQE1" s="30"/>
      <c r="AQF1" s="30"/>
      <c r="AQG1" s="30"/>
      <c r="AQH1" s="30"/>
      <c r="AQI1" s="30"/>
      <c r="AQJ1" s="30"/>
      <c r="AQK1" s="30"/>
      <c r="AQL1" s="30"/>
      <c r="AQM1" s="30"/>
      <c r="AQN1" s="30"/>
      <c r="AQO1" s="30"/>
      <c r="AQP1" s="30"/>
      <c r="AQQ1" s="30"/>
      <c r="AQR1" s="30"/>
      <c r="AQS1" s="30"/>
      <c r="AQT1" s="30"/>
      <c r="AQU1" s="30"/>
      <c r="AQV1" s="30"/>
      <c r="AQW1" s="30"/>
      <c r="AQX1" s="30"/>
      <c r="AQY1" s="30"/>
      <c r="AQZ1" s="30"/>
      <c r="ARA1" s="30"/>
      <c r="ARB1" s="30"/>
      <c r="ARC1" s="30"/>
      <c r="ARD1" s="30"/>
      <c r="ARE1" s="30"/>
      <c r="ARF1" s="30"/>
      <c r="ARG1" s="30"/>
      <c r="ARH1" s="30"/>
      <c r="ARI1" s="30"/>
      <c r="ARJ1" s="30"/>
      <c r="ARK1" s="30"/>
      <c r="ARL1" s="30"/>
      <c r="ARM1" s="30"/>
      <c r="ARN1" s="30"/>
      <c r="ARO1" s="30"/>
      <c r="ARP1" s="30"/>
      <c r="ARQ1" s="30"/>
      <c r="ARR1" s="30"/>
      <c r="ARS1" s="30"/>
      <c r="ART1" s="30"/>
      <c r="ARU1" s="30"/>
      <c r="ARV1" s="30"/>
      <c r="ARW1" s="30"/>
      <c r="ARX1" s="30"/>
      <c r="ARY1" s="30"/>
      <c r="ARZ1" s="30"/>
      <c r="ASA1" s="30"/>
      <c r="ASB1" s="30"/>
      <c r="ASC1" s="30"/>
      <c r="ASD1" s="30"/>
      <c r="ASE1" s="30"/>
      <c r="ASF1" s="30"/>
      <c r="ASG1" s="30"/>
      <c r="ASH1" s="30"/>
      <c r="ASI1" s="30"/>
      <c r="ASJ1" s="30"/>
      <c r="ASK1" s="30"/>
      <c r="ASL1" s="30"/>
      <c r="ASM1" s="30"/>
      <c r="ASN1" s="30"/>
      <c r="ASO1" s="30"/>
      <c r="ASP1" s="30"/>
      <c r="ASQ1" s="30"/>
      <c r="ASR1" s="30"/>
      <c r="ASS1" s="30"/>
      <c r="AST1" s="30"/>
      <c r="ASU1" s="30"/>
      <c r="ASV1" s="30"/>
      <c r="ASW1" s="30"/>
      <c r="ASX1" s="30"/>
      <c r="ASY1" s="30"/>
      <c r="ASZ1" s="30"/>
      <c r="ATA1" s="30"/>
      <c r="ATB1" s="30"/>
      <c r="ATC1" s="30"/>
      <c r="ATD1" s="30"/>
      <c r="ATE1" s="30"/>
      <c r="ATF1" s="30"/>
      <c r="ATG1" s="30"/>
      <c r="ATH1" s="30"/>
      <c r="ATI1" s="30"/>
      <c r="ATJ1" s="30"/>
      <c r="ATK1" s="30"/>
      <c r="ATL1" s="30"/>
      <c r="ATM1" s="30"/>
      <c r="ATN1" s="30"/>
      <c r="ATO1" s="30"/>
      <c r="ATP1" s="30"/>
      <c r="ATQ1" s="30"/>
      <c r="ATR1" s="30"/>
      <c r="ATS1" s="30"/>
      <c r="ATT1" s="30"/>
      <c r="ATU1" s="30"/>
      <c r="ATV1" s="30"/>
      <c r="ATW1" s="30"/>
      <c r="ATX1" s="30"/>
      <c r="ATY1" s="30"/>
      <c r="ATZ1" s="30"/>
      <c r="AUA1" s="30"/>
      <c r="AUB1" s="30"/>
      <c r="AUC1" s="30"/>
      <c r="AUD1" s="30"/>
      <c r="AUE1" s="30"/>
      <c r="AUF1" s="30"/>
      <c r="AUG1" s="30"/>
      <c r="AUH1" s="30"/>
      <c r="AUI1" s="30"/>
      <c r="AUJ1" s="30"/>
      <c r="AUK1" s="30"/>
      <c r="AUL1" s="30"/>
      <c r="AUM1" s="30"/>
      <c r="AUN1" s="30"/>
      <c r="AUO1" s="30"/>
      <c r="AUP1" s="30"/>
      <c r="AUQ1" s="30"/>
      <c r="AUR1" s="30"/>
      <c r="AUS1" s="30"/>
      <c r="AUT1" s="30"/>
      <c r="AUU1" s="30"/>
      <c r="AUV1" s="30"/>
      <c r="AUW1" s="30"/>
      <c r="AUX1" s="30"/>
      <c r="AUY1" s="30"/>
      <c r="AUZ1" s="30"/>
      <c r="AVA1" s="30"/>
      <c r="AVB1" s="30"/>
      <c r="AVC1" s="30"/>
      <c r="AVD1" s="30"/>
      <c r="AVE1" s="30"/>
      <c r="AVF1" s="30"/>
      <c r="AVG1" s="30"/>
      <c r="AVH1" s="30"/>
      <c r="AVI1" s="30"/>
      <c r="AVJ1" s="30"/>
      <c r="AVK1" s="30"/>
      <c r="AVL1" s="30"/>
      <c r="AVM1" s="30"/>
      <c r="AVN1" s="30"/>
      <c r="AVO1" s="30"/>
      <c r="AVP1" s="30"/>
      <c r="AVQ1" s="30"/>
      <c r="AVR1" s="30"/>
      <c r="AVS1" s="30"/>
      <c r="AVT1" s="30"/>
      <c r="AVU1" s="30"/>
      <c r="AVV1" s="30"/>
      <c r="AVW1" s="30"/>
      <c r="AVX1" s="30"/>
      <c r="AVY1" s="30"/>
      <c r="AVZ1" s="30"/>
      <c r="AWA1" s="30"/>
      <c r="AWB1" s="30"/>
      <c r="AWC1" s="30"/>
      <c r="AWD1" s="30"/>
      <c r="AWE1" s="30"/>
      <c r="AWF1" s="30"/>
      <c r="AWG1" s="30"/>
      <c r="AWH1" s="30"/>
      <c r="AWI1" s="30"/>
      <c r="AWJ1" s="30"/>
      <c r="AWK1" s="30"/>
      <c r="AWL1" s="30"/>
      <c r="AWM1" s="30"/>
      <c r="AWN1" s="30"/>
      <c r="AWO1" s="30"/>
      <c r="AWP1" s="30"/>
      <c r="AWQ1" s="30"/>
      <c r="AWR1" s="30"/>
      <c r="AWS1" s="30"/>
      <c r="AWT1" s="30"/>
      <c r="AWU1" s="30"/>
      <c r="AWV1" s="30"/>
      <c r="AWW1" s="30"/>
      <c r="AWX1" s="30"/>
      <c r="AWY1" s="30"/>
      <c r="AWZ1" s="30"/>
      <c r="AXA1" s="30"/>
      <c r="AXB1" s="30"/>
      <c r="AXC1" s="30"/>
      <c r="AXD1" s="30"/>
      <c r="AXE1" s="30"/>
      <c r="AXF1" s="30"/>
      <c r="AXG1" s="30"/>
      <c r="AXH1" s="30"/>
      <c r="AXI1" s="30"/>
      <c r="AXJ1" s="30"/>
      <c r="AXK1" s="30"/>
      <c r="AXL1" s="30"/>
      <c r="AXM1" s="30"/>
      <c r="AXN1" s="30"/>
      <c r="AXO1" s="30"/>
      <c r="AXP1" s="30"/>
      <c r="AXQ1" s="30"/>
      <c r="AXR1" s="30"/>
      <c r="AXS1" s="30"/>
      <c r="AXT1" s="30"/>
      <c r="AXU1" s="30"/>
      <c r="AXV1" s="30"/>
      <c r="AXW1" s="30"/>
      <c r="AXX1" s="30"/>
      <c r="AXY1" s="30"/>
      <c r="AXZ1" s="30"/>
      <c r="AYA1" s="30"/>
      <c r="AYB1" s="30"/>
      <c r="AYC1" s="30"/>
      <c r="AYD1" s="30"/>
      <c r="AYE1" s="30"/>
      <c r="AYF1" s="30"/>
      <c r="AYG1" s="30"/>
      <c r="AYH1" s="30"/>
      <c r="AYI1" s="30"/>
      <c r="AYJ1" s="30"/>
      <c r="AYK1" s="30"/>
      <c r="AYL1" s="30"/>
      <c r="AYM1" s="30"/>
      <c r="AYN1" s="30"/>
      <c r="AYO1" s="30"/>
      <c r="AYP1" s="30"/>
      <c r="AYQ1" s="30"/>
      <c r="AYR1" s="30"/>
      <c r="AYS1" s="30"/>
      <c r="AYT1" s="30"/>
      <c r="AYU1" s="30"/>
      <c r="AYV1" s="30"/>
      <c r="AYW1" s="30"/>
      <c r="AYX1" s="30"/>
      <c r="AYY1" s="30"/>
      <c r="AYZ1" s="30"/>
      <c r="AZA1" s="30"/>
      <c r="AZB1" s="30"/>
      <c r="AZC1" s="30"/>
      <c r="AZD1" s="30"/>
      <c r="AZE1" s="30"/>
      <c r="AZF1" s="30"/>
      <c r="AZG1" s="30"/>
      <c r="AZH1" s="30"/>
      <c r="AZI1" s="30"/>
      <c r="AZJ1" s="30"/>
      <c r="AZK1" s="30"/>
      <c r="AZL1" s="30"/>
      <c r="AZM1" s="30"/>
      <c r="AZN1" s="30"/>
      <c r="AZO1" s="30"/>
      <c r="AZP1" s="30"/>
      <c r="AZQ1" s="30"/>
      <c r="AZR1" s="30"/>
      <c r="AZS1" s="30"/>
      <c r="AZT1" s="30"/>
      <c r="AZU1" s="30"/>
      <c r="AZV1" s="30"/>
      <c r="AZW1" s="30"/>
      <c r="AZX1" s="30"/>
      <c r="AZY1" s="30"/>
      <c r="AZZ1" s="30"/>
      <c r="BAA1" s="30"/>
      <c r="BAB1" s="30"/>
      <c r="BAC1" s="30"/>
      <c r="BAD1" s="30"/>
      <c r="BAE1" s="30"/>
      <c r="BAF1" s="30"/>
      <c r="BAG1" s="30"/>
      <c r="BAH1" s="30"/>
      <c r="BAI1" s="30"/>
      <c r="BAJ1" s="30"/>
      <c r="BAK1" s="30"/>
      <c r="BAL1" s="30"/>
      <c r="BAM1" s="30"/>
      <c r="BAN1" s="30"/>
      <c r="BAO1" s="30"/>
      <c r="BAP1" s="30"/>
      <c r="BAQ1" s="30"/>
      <c r="BAR1" s="30"/>
      <c r="BAS1" s="30"/>
      <c r="BAT1" s="30"/>
      <c r="BAU1" s="30"/>
      <c r="BAV1" s="30"/>
      <c r="BAW1" s="30"/>
      <c r="BAX1" s="30"/>
      <c r="BAY1" s="30"/>
      <c r="BAZ1" s="30"/>
      <c r="BBA1" s="30"/>
      <c r="BBB1" s="30"/>
      <c r="BBC1" s="30"/>
      <c r="BBD1" s="30"/>
      <c r="BBE1" s="30"/>
      <c r="BBF1" s="30"/>
      <c r="BBG1" s="30"/>
      <c r="BBH1" s="30"/>
      <c r="BBI1" s="30"/>
      <c r="BBJ1" s="30"/>
      <c r="BBK1" s="30"/>
      <c r="BBL1" s="30"/>
      <c r="BBM1" s="30"/>
      <c r="BBN1" s="30"/>
      <c r="BBO1" s="30"/>
      <c r="BBP1" s="30"/>
      <c r="BBQ1" s="30"/>
      <c r="BBR1" s="30"/>
      <c r="BBS1" s="30"/>
      <c r="BBT1" s="30"/>
      <c r="BBU1" s="30"/>
      <c r="BBV1" s="30"/>
      <c r="BBW1" s="30"/>
      <c r="BBX1" s="30"/>
      <c r="BBY1" s="30"/>
      <c r="BBZ1" s="30"/>
      <c r="BCA1" s="30"/>
      <c r="BCB1" s="30"/>
      <c r="BCC1" s="30"/>
      <c r="BCD1" s="30"/>
      <c r="BCE1" s="30"/>
      <c r="BCF1" s="30"/>
      <c r="BCG1" s="30"/>
      <c r="BCH1" s="30"/>
      <c r="BCI1" s="30"/>
      <c r="BCJ1" s="30"/>
      <c r="BCK1" s="30"/>
      <c r="BCL1" s="30"/>
      <c r="BCM1" s="30"/>
      <c r="BCN1" s="30"/>
      <c r="BCO1" s="30"/>
      <c r="BCP1" s="30"/>
      <c r="BCQ1" s="30"/>
      <c r="BCR1" s="30"/>
      <c r="BCS1" s="30"/>
      <c r="BCT1" s="30"/>
      <c r="BCU1" s="30"/>
      <c r="BCV1" s="30"/>
      <c r="BCW1" s="30"/>
      <c r="BCX1" s="30"/>
      <c r="BCY1" s="30"/>
      <c r="BCZ1" s="30"/>
      <c r="BDA1" s="30"/>
      <c r="BDB1" s="30"/>
      <c r="BDC1" s="30"/>
      <c r="BDD1" s="30"/>
      <c r="BDE1" s="30"/>
      <c r="BDF1" s="30"/>
      <c r="BDG1" s="30"/>
      <c r="BDH1" s="30"/>
      <c r="BDI1" s="30"/>
      <c r="BDJ1" s="30"/>
      <c r="BDK1" s="30"/>
      <c r="BDL1" s="30"/>
      <c r="BDM1" s="30"/>
      <c r="BDN1" s="30"/>
      <c r="BDO1" s="30"/>
      <c r="BDP1" s="30"/>
      <c r="BDQ1" s="30"/>
      <c r="BDR1" s="30"/>
      <c r="BDS1" s="30"/>
      <c r="BDT1" s="30"/>
      <c r="BDU1" s="30"/>
      <c r="BDV1" s="30"/>
      <c r="BDW1" s="30"/>
      <c r="BDX1" s="30"/>
      <c r="BDY1" s="30"/>
      <c r="BDZ1" s="30"/>
      <c r="BEA1" s="30"/>
      <c r="BEB1" s="30"/>
      <c r="BEC1" s="30"/>
      <c r="BED1" s="30"/>
      <c r="BEE1" s="30"/>
      <c r="BEF1" s="30"/>
      <c r="BEG1" s="30"/>
      <c r="BEH1" s="30"/>
      <c r="BEI1" s="30"/>
      <c r="BEJ1" s="30"/>
      <c r="BEK1" s="30"/>
      <c r="BEL1" s="30"/>
      <c r="BEM1" s="30"/>
      <c r="BEN1" s="30"/>
      <c r="BEO1" s="30"/>
      <c r="BEP1" s="30"/>
      <c r="BEQ1" s="30"/>
      <c r="BER1" s="30"/>
      <c r="BES1" s="30"/>
      <c r="BET1" s="30"/>
      <c r="BEU1" s="30"/>
      <c r="BEV1" s="30"/>
      <c r="BEW1" s="30"/>
      <c r="BEX1" s="30"/>
      <c r="BEY1" s="30"/>
      <c r="BEZ1" s="30"/>
      <c r="BFA1" s="30"/>
      <c r="BFB1" s="30"/>
      <c r="BFC1" s="30"/>
      <c r="BFD1" s="30"/>
      <c r="BFE1" s="30"/>
      <c r="BFF1" s="30"/>
      <c r="BFG1" s="30"/>
      <c r="BFH1" s="30"/>
      <c r="BFI1" s="30"/>
      <c r="BFJ1" s="30"/>
      <c r="BFK1" s="30"/>
      <c r="BFL1" s="30"/>
      <c r="BFM1" s="30"/>
      <c r="BFN1" s="30"/>
      <c r="BFO1" s="30"/>
      <c r="BFP1" s="30"/>
      <c r="BFQ1" s="30"/>
      <c r="BFR1" s="30"/>
      <c r="BFS1" s="30"/>
      <c r="BFT1" s="30"/>
      <c r="BFU1" s="30"/>
      <c r="BFV1" s="30"/>
      <c r="BFW1" s="30"/>
      <c r="BFX1" s="30"/>
      <c r="BFY1" s="30"/>
      <c r="BFZ1" s="30"/>
      <c r="BGA1" s="30"/>
      <c r="BGB1" s="30"/>
      <c r="BGC1" s="30"/>
      <c r="BGD1" s="30"/>
      <c r="BGE1" s="30"/>
      <c r="BGF1" s="30"/>
      <c r="BGG1" s="30"/>
      <c r="BGH1" s="30"/>
      <c r="BGI1" s="30"/>
      <c r="BGJ1" s="30"/>
      <c r="BGK1" s="30"/>
      <c r="BGL1" s="30"/>
      <c r="BGM1" s="30"/>
      <c r="BGN1" s="30"/>
      <c r="BGO1" s="30"/>
      <c r="BGP1" s="30"/>
      <c r="BGQ1" s="30"/>
      <c r="BGR1" s="30"/>
      <c r="BGS1" s="30"/>
      <c r="BGT1" s="30"/>
      <c r="BGU1" s="30"/>
      <c r="BGV1" s="30"/>
      <c r="BGW1" s="30"/>
      <c r="BGX1" s="30"/>
      <c r="BGY1" s="30"/>
      <c r="BGZ1" s="30"/>
      <c r="BHA1" s="30"/>
      <c r="BHB1" s="30"/>
      <c r="BHC1" s="30"/>
      <c r="BHD1" s="30"/>
      <c r="BHE1" s="30"/>
      <c r="BHF1" s="30"/>
      <c r="BHG1" s="30"/>
      <c r="BHH1" s="30"/>
      <c r="BHI1" s="30"/>
      <c r="BHJ1" s="30"/>
      <c r="BHK1" s="30"/>
      <c r="BHL1" s="30"/>
      <c r="BHM1" s="30"/>
      <c r="BHN1" s="30"/>
      <c r="BHO1" s="30"/>
      <c r="BHP1" s="30"/>
      <c r="BHQ1" s="30"/>
      <c r="BHR1" s="30"/>
      <c r="BHS1" s="30"/>
      <c r="BHT1" s="30"/>
      <c r="BHU1" s="30"/>
      <c r="BHV1" s="30"/>
      <c r="BHW1" s="30"/>
      <c r="BHX1" s="30"/>
      <c r="BHY1" s="30"/>
      <c r="BHZ1" s="30"/>
      <c r="BIA1" s="30"/>
      <c r="BIB1" s="30"/>
      <c r="BIC1" s="30"/>
      <c r="BID1" s="30"/>
      <c r="BIE1" s="30"/>
      <c r="BIF1" s="30"/>
      <c r="BIG1" s="30"/>
      <c r="BIH1" s="30"/>
      <c r="BII1" s="30"/>
      <c r="BIJ1" s="30"/>
      <c r="BIK1" s="30"/>
      <c r="BIL1" s="30"/>
      <c r="BIM1" s="30"/>
      <c r="BIN1" s="30"/>
      <c r="BIO1" s="30"/>
      <c r="BIP1" s="30"/>
      <c r="BIQ1" s="30"/>
      <c r="BIR1" s="30"/>
      <c r="BIS1" s="30"/>
      <c r="BIT1" s="30"/>
      <c r="BIU1" s="30"/>
      <c r="BIV1" s="30"/>
      <c r="BIW1" s="30"/>
      <c r="BIX1" s="30"/>
      <c r="BIY1" s="30"/>
      <c r="BIZ1" s="30"/>
      <c r="BJA1" s="30"/>
      <c r="BJB1" s="30"/>
      <c r="BJC1" s="30"/>
      <c r="BJD1" s="30"/>
      <c r="BJE1" s="30"/>
      <c r="BJF1" s="30"/>
      <c r="BJG1" s="30"/>
      <c r="BJH1" s="30"/>
      <c r="BJI1" s="30"/>
      <c r="BJJ1" s="30"/>
      <c r="BJK1" s="30"/>
      <c r="BJL1" s="30"/>
      <c r="BJM1" s="30"/>
      <c r="BJN1" s="30"/>
      <c r="BJO1" s="30"/>
      <c r="BJP1" s="30"/>
      <c r="BJQ1" s="30"/>
      <c r="BJR1" s="30"/>
      <c r="BJS1" s="30"/>
      <c r="BJT1" s="30"/>
      <c r="BJU1" s="30"/>
      <c r="BJV1" s="30"/>
      <c r="BJW1" s="30"/>
      <c r="BJX1" s="30"/>
      <c r="BJY1" s="30"/>
      <c r="BJZ1" s="30"/>
      <c r="BKA1" s="30"/>
      <c r="BKB1" s="30"/>
      <c r="BKC1" s="30"/>
      <c r="BKD1" s="30"/>
      <c r="BKE1" s="30"/>
      <c r="BKF1" s="30"/>
      <c r="BKG1" s="30"/>
      <c r="BKH1" s="30"/>
      <c r="BKI1" s="30"/>
      <c r="BKJ1" s="30"/>
      <c r="BKK1" s="30"/>
      <c r="BKL1" s="30"/>
      <c r="BKM1" s="30"/>
      <c r="BKN1" s="30"/>
      <c r="BKO1" s="30"/>
      <c r="BKP1" s="30"/>
      <c r="BKQ1" s="30"/>
      <c r="BKR1" s="30"/>
      <c r="BKS1" s="30"/>
      <c r="BKT1" s="30"/>
      <c r="BKU1" s="30"/>
      <c r="BKV1" s="30"/>
      <c r="BKW1" s="30"/>
      <c r="BKX1" s="30"/>
      <c r="BKY1" s="30"/>
      <c r="BKZ1" s="30"/>
      <c r="BLA1" s="30"/>
      <c r="BLB1" s="30"/>
      <c r="BLC1" s="30"/>
      <c r="BLD1" s="30"/>
      <c r="BLE1" s="30"/>
      <c r="BLF1" s="30"/>
      <c r="BLG1" s="30"/>
      <c r="BLH1" s="30"/>
      <c r="BLI1" s="30"/>
      <c r="BLJ1" s="30"/>
      <c r="BLK1" s="30"/>
      <c r="BLL1" s="30"/>
      <c r="BLM1" s="30"/>
      <c r="BLN1" s="30"/>
      <c r="BLO1" s="30"/>
      <c r="BLP1" s="30"/>
      <c r="BLQ1" s="30"/>
      <c r="BLR1" s="30"/>
      <c r="BLS1" s="30"/>
      <c r="BLT1" s="30"/>
      <c r="BLU1" s="30"/>
      <c r="BLV1" s="30"/>
      <c r="BLW1" s="30"/>
      <c r="BLX1" s="30"/>
      <c r="BLY1" s="30"/>
      <c r="BLZ1" s="30"/>
      <c r="BMA1" s="30"/>
      <c r="BMB1" s="30"/>
      <c r="BMC1" s="30"/>
      <c r="BMD1" s="30"/>
      <c r="BME1" s="30"/>
      <c r="BMF1" s="30"/>
      <c r="BMG1" s="30"/>
      <c r="BMH1" s="30"/>
      <c r="BMI1" s="30"/>
      <c r="BMJ1" s="30"/>
      <c r="BMK1" s="30"/>
      <c r="BML1" s="30"/>
      <c r="BMM1" s="30"/>
      <c r="BMN1" s="30"/>
      <c r="BMO1" s="30"/>
      <c r="BMP1" s="30"/>
      <c r="BMQ1" s="30"/>
      <c r="BMR1" s="30"/>
      <c r="BMS1" s="30"/>
      <c r="BMT1" s="30"/>
      <c r="BMU1" s="30"/>
      <c r="BMV1" s="30"/>
      <c r="BMW1" s="30"/>
      <c r="BMX1" s="30"/>
      <c r="BMY1" s="30"/>
      <c r="BMZ1" s="30"/>
      <c r="BNA1" s="30"/>
      <c r="BNB1" s="30"/>
      <c r="BNC1" s="30"/>
      <c r="BND1" s="30"/>
      <c r="BNE1" s="30"/>
      <c r="BNF1" s="30"/>
      <c r="BNG1" s="30"/>
      <c r="BNH1" s="30"/>
      <c r="BNI1" s="30"/>
      <c r="BNJ1" s="30"/>
      <c r="BNK1" s="30"/>
      <c r="BNL1" s="30"/>
      <c r="BNM1" s="30"/>
      <c r="BNN1" s="30"/>
      <c r="BNO1" s="30"/>
      <c r="BNP1" s="30"/>
      <c r="BNQ1" s="30"/>
      <c r="BNR1" s="30"/>
      <c r="BNS1" s="30"/>
      <c r="BNT1" s="30"/>
      <c r="BNU1" s="30"/>
      <c r="BNV1" s="30"/>
      <c r="BNW1" s="30"/>
      <c r="BNX1" s="30"/>
      <c r="BNY1" s="30"/>
      <c r="BNZ1" s="30"/>
      <c r="BOA1" s="30"/>
      <c r="BOB1" s="30"/>
      <c r="BOC1" s="30"/>
      <c r="BOD1" s="30"/>
      <c r="BOE1" s="30"/>
      <c r="BOF1" s="30"/>
      <c r="BOG1" s="30"/>
      <c r="BOH1" s="30"/>
      <c r="BOI1" s="30"/>
      <c r="BOJ1" s="30"/>
      <c r="BOK1" s="30"/>
      <c r="BOL1" s="30"/>
      <c r="BOM1" s="30"/>
      <c r="BON1" s="30"/>
      <c r="BOO1" s="30"/>
      <c r="BOP1" s="30"/>
      <c r="BOQ1" s="30"/>
      <c r="BOR1" s="30"/>
      <c r="BOS1" s="30"/>
      <c r="BOT1" s="30"/>
      <c r="BOU1" s="30"/>
      <c r="BOV1" s="30"/>
      <c r="BOW1" s="30"/>
      <c r="BOX1" s="30"/>
      <c r="BOY1" s="30"/>
      <c r="BOZ1" s="30"/>
      <c r="BPA1" s="30"/>
      <c r="BPB1" s="30"/>
      <c r="BPC1" s="30"/>
      <c r="BPD1" s="30"/>
      <c r="BPE1" s="30"/>
      <c r="BPF1" s="30"/>
      <c r="BPG1" s="30"/>
      <c r="BPH1" s="30"/>
      <c r="BPI1" s="30"/>
      <c r="BPJ1" s="30"/>
      <c r="BPK1" s="30"/>
      <c r="BPL1" s="30"/>
      <c r="BPM1" s="30"/>
      <c r="BPN1" s="30"/>
      <c r="BPO1" s="30"/>
      <c r="BPP1" s="30"/>
      <c r="BPQ1" s="30"/>
      <c r="BPR1" s="30"/>
      <c r="BPS1" s="30"/>
      <c r="BPT1" s="30"/>
      <c r="BPU1" s="30"/>
      <c r="BPV1" s="30"/>
      <c r="BPW1" s="30"/>
      <c r="BPX1" s="30"/>
      <c r="BPY1" s="30"/>
      <c r="BPZ1" s="30"/>
      <c r="BQA1" s="30"/>
      <c r="BQB1" s="30"/>
      <c r="BQC1" s="30"/>
      <c r="BQD1" s="30"/>
      <c r="BQE1" s="30"/>
      <c r="BQF1" s="30"/>
      <c r="BQG1" s="30"/>
      <c r="BQH1" s="30"/>
      <c r="BQI1" s="30"/>
      <c r="BQJ1" s="30"/>
      <c r="BQK1" s="30"/>
      <c r="BQL1" s="30"/>
      <c r="BQM1" s="30"/>
      <c r="BQN1" s="30"/>
      <c r="BQO1" s="30"/>
      <c r="BQP1" s="30"/>
      <c r="BQQ1" s="30"/>
      <c r="BQR1" s="30"/>
      <c r="BQS1" s="30"/>
      <c r="BQT1" s="30"/>
      <c r="BQU1" s="30"/>
      <c r="BQV1" s="30"/>
      <c r="BQW1" s="30"/>
      <c r="BQX1" s="30"/>
      <c r="BQY1" s="30"/>
      <c r="BQZ1" s="30"/>
      <c r="BRA1" s="30"/>
      <c r="BRB1" s="30"/>
      <c r="BRC1" s="30"/>
      <c r="BRD1" s="30"/>
      <c r="BRE1" s="30"/>
      <c r="BRF1" s="30"/>
      <c r="BRG1" s="30"/>
      <c r="BRH1" s="30"/>
      <c r="BRI1" s="30"/>
      <c r="BRJ1" s="30"/>
      <c r="BRK1" s="30"/>
      <c r="BRL1" s="30"/>
      <c r="BRM1" s="30"/>
      <c r="BRN1" s="30"/>
      <c r="BRO1" s="30"/>
      <c r="BRP1" s="30"/>
      <c r="BRQ1" s="30"/>
      <c r="BRR1" s="30"/>
      <c r="BRS1" s="30"/>
      <c r="BRT1" s="30"/>
      <c r="BRU1" s="30"/>
      <c r="BRV1" s="30"/>
      <c r="BRW1" s="30"/>
      <c r="BRX1" s="30"/>
      <c r="BRY1" s="30"/>
      <c r="BRZ1" s="30"/>
      <c r="BSA1" s="30"/>
      <c r="BSB1" s="30"/>
      <c r="BSC1" s="30"/>
      <c r="BSD1" s="30"/>
      <c r="BSE1" s="30"/>
      <c r="BSF1" s="30"/>
      <c r="BSG1" s="30"/>
      <c r="BSH1" s="30"/>
      <c r="BSI1" s="30"/>
      <c r="BSJ1" s="30"/>
      <c r="BSK1" s="30"/>
      <c r="BSL1" s="30"/>
      <c r="BSM1" s="30"/>
      <c r="BSN1" s="30"/>
      <c r="BSO1" s="30"/>
      <c r="BSP1" s="30"/>
      <c r="BSQ1" s="30"/>
      <c r="BSR1" s="30"/>
      <c r="BSS1" s="30"/>
      <c r="BST1" s="30"/>
      <c r="BSU1" s="30"/>
      <c r="BSV1" s="30"/>
      <c r="BSW1" s="30"/>
      <c r="BSX1" s="30"/>
      <c r="BSY1" s="30"/>
      <c r="BSZ1" s="30"/>
      <c r="BTA1" s="30"/>
      <c r="BTB1" s="30"/>
      <c r="BTC1" s="30"/>
      <c r="BTD1" s="30"/>
      <c r="BTE1" s="30"/>
      <c r="BTF1" s="30"/>
      <c r="BTG1" s="30"/>
      <c r="BTH1" s="30"/>
      <c r="BTI1" s="30"/>
      <c r="BTJ1" s="30"/>
      <c r="BTK1" s="30"/>
      <c r="BTL1" s="30"/>
      <c r="BTM1" s="30"/>
      <c r="BTN1" s="30"/>
      <c r="BTO1" s="30"/>
      <c r="BTP1" s="30"/>
      <c r="BTQ1" s="30"/>
      <c r="BTR1" s="30"/>
      <c r="BTS1" s="30"/>
      <c r="BTT1" s="30"/>
      <c r="BTU1" s="30"/>
      <c r="BTV1" s="30"/>
      <c r="BTW1" s="30"/>
      <c r="BTX1" s="30"/>
      <c r="BTY1" s="30"/>
      <c r="BTZ1" s="30"/>
      <c r="BUA1" s="30"/>
      <c r="BUB1" s="30"/>
      <c r="BUC1" s="30"/>
      <c r="BUD1" s="30"/>
      <c r="BUE1" s="30"/>
      <c r="BUF1" s="30"/>
      <c r="BUG1" s="30"/>
      <c r="BUH1" s="30"/>
      <c r="BUI1" s="30"/>
      <c r="BUJ1" s="30"/>
      <c r="BUK1" s="30"/>
      <c r="BUL1" s="30"/>
      <c r="BUM1" s="30"/>
      <c r="BUN1" s="30"/>
      <c r="BUO1" s="30"/>
      <c r="BUP1" s="30"/>
      <c r="BUQ1" s="30"/>
      <c r="BUR1" s="30"/>
      <c r="BUS1" s="30"/>
      <c r="BUT1" s="30"/>
      <c r="BUU1" s="30"/>
      <c r="BUV1" s="30"/>
      <c r="BUW1" s="30"/>
      <c r="BUX1" s="30"/>
      <c r="BUY1" s="30"/>
      <c r="BUZ1" s="30"/>
      <c r="BVA1" s="30"/>
      <c r="BVB1" s="30"/>
      <c r="BVC1" s="30"/>
      <c r="BVD1" s="30"/>
      <c r="BVE1" s="30"/>
      <c r="BVF1" s="30"/>
      <c r="BVG1" s="30"/>
      <c r="BVH1" s="30"/>
      <c r="BVI1" s="30"/>
      <c r="BVJ1" s="30"/>
      <c r="BVK1" s="30"/>
      <c r="BVL1" s="30"/>
      <c r="BVM1" s="30"/>
      <c r="BVN1" s="30"/>
      <c r="BVO1" s="30"/>
      <c r="BVP1" s="30"/>
      <c r="BVQ1" s="30"/>
      <c r="BVR1" s="30"/>
      <c r="BVS1" s="30"/>
      <c r="BVT1" s="30"/>
      <c r="BVU1" s="30"/>
      <c r="BVV1" s="30"/>
      <c r="BVW1" s="30"/>
      <c r="BVX1" s="30"/>
      <c r="BVY1" s="30"/>
      <c r="BVZ1" s="30"/>
      <c r="BWA1" s="30"/>
      <c r="BWB1" s="30"/>
      <c r="BWC1" s="30"/>
      <c r="BWD1" s="30"/>
      <c r="BWE1" s="30"/>
      <c r="BWF1" s="30"/>
      <c r="BWG1" s="30"/>
      <c r="BWH1" s="30"/>
      <c r="BWI1" s="30"/>
      <c r="BWJ1" s="30"/>
      <c r="BWK1" s="30"/>
      <c r="BWL1" s="30"/>
      <c r="BWM1" s="30"/>
      <c r="BWN1" s="30"/>
      <c r="BWO1" s="30"/>
      <c r="BWP1" s="30"/>
      <c r="BWQ1" s="30"/>
      <c r="BWR1" s="30"/>
      <c r="BWS1" s="30"/>
      <c r="BWT1" s="30"/>
      <c r="BWU1" s="30"/>
      <c r="BWV1" s="30"/>
      <c r="BWW1" s="30"/>
      <c r="BWX1" s="30"/>
      <c r="BWY1" s="30"/>
      <c r="BWZ1" s="30"/>
      <c r="BXA1" s="30"/>
      <c r="BXB1" s="30"/>
      <c r="BXC1" s="30"/>
      <c r="BXD1" s="30"/>
      <c r="BXE1" s="30"/>
      <c r="BXF1" s="30"/>
      <c r="BXG1" s="30"/>
      <c r="BXH1" s="30"/>
      <c r="BXI1" s="30"/>
      <c r="BXJ1" s="30"/>
      <c r="BXK1" s="30"/>
      <c r="BXL1" s="30"/>
      <c r="BXM1" s="30"/>
      <c r="BXN1" s="30"/>
      <c r="BXO1" s="30"/>
      <c r="BXP1" s="30"/>
      <c r="BXQ1" s="30"/>
      <c r="BXR1" s="30"/>
      <c r="BXS1" s="30"/>
      <c r="BXT1" s="30"/>
      <c r="BXU1" s="30"/>
      <c r="BXV1" s="30"/>
      <c r="BXW1" s="30"/>
      <c r="BXX1" s="30"/>
      <c r="BXY1" s="30"/>
      <c r="BXZ1" s="30"/>
      <c r="BYA1" s="30"/>
      <c r="BYB1" s="30"/>
      <c r="BYC1" s="30"/>
      <c r="BYD1" s="30"/>
      <c r="BYE1" s="30"/>
      <c r="BYF1" s="30"/>
      <c r="BYG1" s="30"/>
      <c r="BYH1" s="30"/>
      <c r="BYI1" s="30"/>
      <c r="BYJ1" s="30"/>
      <c r="BYK1" s="30"/>
      <c r="BYL1" s="30"/>
      <c r="BYM1" s="30"/>
      <c r="BYN1" s="30"/>
      <c r="BYO1" s="30"/>
      <c r="BYP1" s="30"/>
      <c r="BYQ1" s="30"/>
      <c r="BYR1" s="30"/>
      <c r="BYS1" s="30"/>
      <c r="BYT1" s="30"/>
      <c r="BYU1" s="30"/>
      <c r="BYV1" s="30"/>
      <c r="BYW1" s="30"/>
      <c r="BYX1" s="30"/>
      <c r="BYY1" s="30"/>
      <c r="BYZ1" s="30"/>
      <c r="BZA1" s="30"/>
      <c r="BZB1" s="30"/>
      <c r="BZC1" s="30"/>
      <c r="BZD1" s="30"/>
      <c r="BZE1" s="30"/>
      <c r="BZF1" s="30"/>
      <c r="BZG1" s="30"/>
      <c r="BZH1" s="30"/>
      <c r="BZI1" s="30"/>
      <c r="BZJ1" s="30"/>
      <c r="BZK1" s="30"/>
      <c r="BZL1" s="30"/>
      <c r="BZM1" s="30"/>
      <c r="BZN1" s="30"/>
      <c r="BZO1" s="30"/>
      <c r="BZP1" s="30"/>
      <c r="BZQ1" s="30"/>
      <c r="BZR1" s="30"/>
      <c r="BZS1" s="30"/>
      <c r="BZT1" s="30"/>
      <c r="BZU1" s="30"/>
      <c r="BZV1" s="30"/>
      <c r="BZW1" s="30"/>
      <c r="BZX1" s="30"/>
      <c r="BZY1" s="30"/>
      <c r="BZZ1" s="30"/>
      <c r="CAA1" s="30"/>
      <c r="CAB1" s="30"/>
      <c r="CAC1" s="30"/>
      <c r="CAD1" s="30"/>
      <c r="CAE1" s="30"/>
      <c r="CAF1" s="30"/>
      <c r="CAG1" s="30"/>
      <c r="CAH1" s="30"/>
      <c r="CAI1" s="30"/>
      <c r="CAJ1" s="30"/>
      <c r="CAK1" s="30"/>
      <c r="CAL1" s="30"/>
      <c r="CAM1" s="30"/>
      <c r="CAN1" s="30"/>
      <c r="CAO1" s="30"/>
      <c r="CAP1" s="30"/>
      <c r="CAQ1" s="30"/>
      <c r="CAR1" s="30"/>
      <c r="CAS1" s="30"/>
      <c r="CAT1" s="30"/>
      <c r="CAU1" s="30"/>
      <c r="CAV1" s="30"/>
      <c r="CAW1" s="30"/>
      <c r="CAX1" s="30"/>
      <c r="CAY1" s="30"/>
      <c r="CAZ1" s="30"/>
      <c r="CBA1" s="30"/>
      <c r="CBB1" s="30"/>
      <c r="CBC1" s="30"/>
      <c r="CBD1" s="30"/>
      <c r="CBE1" s="30"/>
      <c r="CBF1" s="30"/>
      <c r="CBG1" s="30"/>
      <c r="CBH1" s="30"/>
      <c r="CBI1" s="30"/>
      <c r="CBJ1" s="30"/>
      <c r="CBK1" s="30"/>
      <c r="CBL1" s="30"/>
      <c r="CBM1" s="30"/>
      <c r="CBN1" s="30"/>
      <c r="CBO1" s="30"/>
      <c r="CBP1" s="30"/>
      <c r="CBQ1" s="30"/>
      <c r="CBR1" s="30"/>
      <c r="CBS1" s="30"/>
      <c r="CBT1" s="30"/>
      <c r="CBU1" s="30"/>
      <c r="CBV1" s="30"/>
      <c r="CBW1" s="30"/>
      <c r="CBX1" s="30"/>
      <c r="CBY1" s="30"/>
      <c r="CBZ1" s="30"/>
      <c r="CCA1" s="30"/>
      <c r="CCB1" s="30"/>
      <c r="CCC1" s="30"/>
      <c r="CCD1" s="30"/>
      <c r="CCE1" s="30"/>
      <c r="CCF1" s="30"/>
      <c r="CCG1" s="30"/>
      <c r="CCH1" s="30"/>
      <c r="CCI1" s="30"/>
      <c r="CCJ1" s="30"/>
      <c r="CCK1" s="30"/>
      <c r="CCL1" s="30"/>
      <c r="CCM1" s="30"/>
      <c r="CCN1" s="30"/>
      <c r="CCO1" s="30"/>
      <c r="CCP1" s="30"/>
      <c r="CCQ1" s="30"/>
      <c r="CCR1" s="30"/>
      <c r="CCS1" s="30"/>
      <c r="CCT1" s="30"/>
      <c r="CCU1" s="30"/>
      <c r="CCV1" s="30"/>
      <c r="CCW1" s="30"/>
      <c r="CCX1" s="30"/>
      <c r="CCY1" s="30"/>
      <c r="CCZ1" s="30"/>
      <c r="CDA1" s="30"/>
      <c r="CDB1" s="30"/>
      <c r="CDC1" s="30"/>
      <c r="CDD1" s="30"/>
      <c r="CDE1" s="30"/>
      <c r="CDF1" s="30"/>
      <c r="CDG1" s="30"/>
      <c r="CDH1" s="30"/>
      <c r="CDI1" s="30"/>
      <c r="CDJ1" s="30"/>
      <c r="CDK1" s="30"/>
      <c r="CDL1" s="30"/>
      <c r="CDM1" s="30"/>
      <c r="CDN1" s="30"/>
      <c r="CDO1" s="30"/>
      <c r="CDP1" s="30"/>
      <c r="CDQ1" s="30"/>
      <c r="CDR1" s="30"/>
      <c r="CDS1" s="30"/>
      <c r="CDT1" s="30"/>
      <c r="CDU1" s="30"/>
      <c r="CDV1" s="30"/>
      <c r="CDW1" s="30"/>
      <c r="CDX1" s="30"/>
      <c r="CDY1" s="30"/>
      <c r="CDZ1" s="30"/>
      <c r="CEA1" s="30"/>
      <c r="CEB1" s="30"/>
      <c r="CEC1" s="30"/>
      <c r="CED1" s="30"/>
      <c r="CEE1" s="30"/>
      <c r="CEF1" s="30"/>
      <c r="CEG1" s="30"/>
      <c r="CEH1" s="30"/>
      <c r="CEI1" s="30"/>
      <c r="CEJ1" s="30"/>
      <c r="CEK1" s="30"/>
      <c r="CEL1" s="30"/>
      <c r="CEM1" s="30"/>
      <c r="CEN1" s="30"/>
      <c r="CEO1" s="30"/>
      <c r="CEP1" s="30"/>
      <c r="CEQ1" s="30"/>
      <c r="CER1" s="30"/>
      <c r="CES1" s="30"/>
      <c r="CET1" s="30"/>
      <c r="CEU1" s="30"/>
      <c r="CEV1" s="30"/>
      <c r="CEW1" s="30"/>
      <c r="CEX1" s="30"/>
      <c r="CEY1" s="30"/>
      <c r="CEZ1" s="30"/>
      <c r="CFA1" s="30"/>
      <c r="CFB1" s="30"/>
      <c r="CFC1" s="30"/>
      <c r="CFD1" s="30"/>
      <c r="CFE1" s="30"/>
      <c r="CFF1" s="30"/>
      <c r="CFG1" s="30"/>
      <c r="CFH1" s="30"/>
      <c r="CFI1" s="30"/>
      <c r="CFJ1" s="30"/>
      <c r="CFK1" s="30"/>
      <c r="CFL1" s="30"/>
      <c r="CFM1" s="30"/>
      <c r="CFN1" s="30"/>
      <c r="CFO1" s="30"/>
      <c r="CFP1" s="30"/>
      <c r="CFQ1" s="30"/>
      <c r="CFR1" s="30"/>
      <c r="CFS1" s="30"/>
      <c r="CFT1" s="30"/>
      <c r="CFU1" s="30"/>
      <c r="CFV1" s="30"/>
      <c r="CFW1" s="30"/>
      <c r="CFX1" s="30"/>
      <c r="CFY1" s="30"/>
      <c r="CFZ1" s="30"/>
      <c r="CGA1" s="30"/>
      <c r="CGB1" s="30"/>
      <c r="CGC1" s="30"/>
      <c r="CGD1" s="30"/>
      <c r="CGE1" s="30"/>
      <c r="CGF1" s="30"/>
      <c r="CGG1" s="30"/>
      <c r="CGH1" s="30"/>
      <c r="CGI1" s="30"/>
      <c r="CGJ1" s="30"/>
      <c r="CGK1" s="30"/>
      <c r="CGL1" s="30"/>
      <c r="CGM1" s="30"/>
      <c r="CGN1" s="30"/>
      <c r="CGO1" s="30"/>
      <c r="CGP1" s="30"/>
      <c r="CGQ1" s="30"/>
      <c r="CGR1" s="30"/>
      <c r="CGS1" s="30"/>
      <c r="CGT1" s="30"/>
      <c r="CGU1" s="30"/>
      <c r="CGV1" s="30"/>
      <c r="CGW1" s="30"/>
      <c r="CGX1" s="30"/>
      <c r="CGY1" s="30"/>
      <c r="CGZ1" s="30"/>
      <c r="CHA1" s="30"/>
      <c r="CHB1" s="30"/>
      <c r="CHC1" s="30"/>
      <c r="CHD1" s="30"/>
      <c r="CHE1" s="30"/>
      <c r="CHF1" s="30"/>
      <c r="CHG1" s="30"/>
      <c r="CHH1" s="30"/>
      <c r="CHI1" s="30"/>
      <c r="CHJ1" s="30"/>
      <c r="CHK1" s="30"/>
      <c r="CHL1" s="30"/>
      <c r="CHM1" s="30"/>
      <c r="CHN1" s="30"/>
      <c r="CHO1" s="30"/>
      <c r="CHP1" s="30"/>
      <c r="CHQ1" s="30"/>
      <c r="CHR1" s="30"/>
      <c r="CHS1" s="30"/>
      <c r="CHT1" s="30"/>
      <c r="CHU1" s="30"/>
      <c r="CHV1" s="30"/>
      <c r="CHW1" s="30"/>
      <c r="CHX1" s="30"/>
      <c r="CHY1" s="30"/>
      <c r="CHZ1" s="30"/>
      <c r="CIA1" s="30"/>
      <c r="CIB1" s="30"/>
      <c r="CIC1" s="30"/>
      <c r="CID1" s="30"/>
      <c r="CIE1" s="30"/>
      <c r="CIF1" s="30"/>
      <c r="CIG1" s="30"/>
      <c r="CIH1" s="30"/>
      <c r="CII1" s="30"/>
      <c r="CIJ1" s="30"/>
      <c r="CIK1" s="30"/>
      <c r="CIL1" s="30"/>
      <c r="CIM1" s="30"/>
      <c r="CIN1" s="30"/>
      <c r="CIO1" s="30"/>
      <c r="CIP1" s="30"/>
      <c r="CIQ1" s="30"/>
      <c r="CIR1" s="30"/>
      <c r="CIS1" s="30"/>
      <c r="CIT1" s="30"/>
      <c r="CIU1" s="30"/>
      <c r="CIV1" s="30"/>
      <c r="CIW1" s="30"/>
      <c r="CIX1" s="30"/>
      <c r="CIY1" s="30"/>
      <c r="CIZ1" s="30"/>
      <c r="CJA1" s="30"/>
      <c r="CJB1" s="30"/>
      <c r="CJC1" s="30"/>
      <c r="CJD1" s="30"/>
      <c r="CJE1" s="30"/>
      <c r="CJF1" s="30"/>
      <c r="CJG1" s="30"/>
      <c r="CJH1" s="30"/>
      <c r="CJI1" s="30"/>
      <c r="CJJ1" s="30"/>
      <c r="CJK1" s="30"/>
      <c r="CJL1" s="30"/>
      <c r="CJM1" s="30"/>
      <c r="CJN1" s="30"/>
      <c r="CJO1" s="30"/>
      <c r="CJP1" s="30"/>
      <c r="CJQ1" s="30"/>
      <c r="CJR1" s="30"/>
      <c r="CJS1" s="30"/>
      <c r="CJT1" s="30"/>
      <c r="CJU1" s="30"/>
      <c r="CJV1" s="30"/>
      <c r="CJW1" s="30"/>
      <c r="CJX1" s="30"/>
      <c r="CJY1" s="30"/>
      <c r="CJZ1" s="30"/>
      <c r="CKA1" s="30"/>
      <c r="CKB1" s="30"/>
      <c r="CKC1" s="30"/>
      <c r="CKD1" s="30"/>
      <c r="CKE1" s="30"/>
      <c r="CKF1" s="30"/>
      <c r="CKG1" s="30"/>
      <c r="CKH1" s="30"/>
      <c r="CKI1" s="30"/>
      <c r="CKJ1" s="30"/>
      <c r="CKK1" s="30"/>
      <c r="CKL1" s="30"/>
      <c r="CKM1" s="30"/>
      <c r="CKN1" s="30"/>
      <c r="CKO1" s="30"/>
      <c r="CKP1" s="30"/>
      <c r="CKQ1" s="30"/>
      <c r="CKR1" s="30"/>
      <c r="CKS1" s="30"/>
      <c r="CKT1" s="30"/>
      <c r="CKU1" s="30"/>
      <c r="CKV1" s="30"/>
      <c r="CKW1" s="30"/>
      <c r="CKX1" s="30"/>
      <c r="CKY1" s="30"/>
      <c r="CKZ1" s="30"/>
      <c r="CLA1" s="30"/>
      <c r="CLB1" s="30"/>
      <c r="CLC1" s="30"/>
      <c r="CLD1" s="30"/>
      <c r="CLE1" s="30"/>
      <c r="CLF1" s="30"/>
      <c r="CLG1" s="30"/>
      <c r="CLH1" s="30"/>
      <c r="CLI1" s="30"/>
      <c r="CLJ1" s="30"/>
      <c r="CLK1" s="30"/>
      <c r="CLL1" s="30"/>
      <c r="CLM1" s="30"/>
      <c r="CLN1" s="30"/>
      <c r="CLO1" s="30"/>
      <c r="CLP1" s="30"/>
      <c r="CLQ1" s="30"/>
      <c r="CLR1" s="30"/>
      <c r="CLS1" s="30"/>
      <c r="CLT1" s="30"/>
      <c r="CLU1" s="30"/>
      <c r="CLV1" s="30"/>
      <c r="CLW1" s="30"/>
      <c r="CLX1" s="30"/>
      <c r="CLY1" s="30"/>
      <c r="CLZ1" s="30"/>
      <c r="CMA1" s="30"/>
      <c r="CMB1" s="30"/>
      <c r="CMC1" s="30"/>
      <c r="CMD1" s="30"/>
      <c r="CME1" s="30"/>
      <c r="CMF1" s="30"/>
      <c r="CMG1" s="30"/>
      <c r="CMH1" s="30"/>
      <c r="CMI1" s="30"/>
      <c r="CMJ1" s="30"/>
      <c r="CMK1" s="30"/>
      <c r="CML1" s="30"/>
      <c r="CMM1" s="30"/>
      <c r="CMN1" s="30"/>
      <c r="CMO1" s="30"/>
      <c r="CMP1" s="30"/>
      <c r="CMQ1" s="30"/>
      <c r="CMR1" s="30"/>
      <c r="CMS1" s="30"/>
      <c r="CMT1" s="30"/>
      <c r="CMU1" s="30"/>
      <c r="CMV1" s="30"/>
      <c r="CMW1" s="30"/>
      <c r="CMX1" s="30"/>
      <c r="CMY1" s="30"/>
      <c r="CMZ1" s="30"/>
      <c r="CNA1" s="30"/>
      <c r="CNB1" s="30"/>
      <c r="CNC1" s="30"/>
      <c r="CND1" s="30"/>
      <c r="CNE1" s="30"/>
      <c r="CNF1" s="30"/>
      <c r="CNG1" s="30"/>
      <c r="CNH1" s="30"/>
      <c r="CNI1" s="30"/>
      <c r="CNJ1" s="30"/>
      <c r="CNK1" s="30"/>
      <c r="CNL1" s="30"/>
      <c r="CNM1" s="30"/>
      <c r="CNN1" s="30"/>
      <c r="CNO1" s="30"/>
      <c r="CNP1" s="30"/>
      <c r="CNQ1" s="30"/>
      <c r="CNR1" s="30"/>
      <c r="CNS1" s="30"/>
      <c r="CNT1" s="30"/>
      <c r="CNU1" s="30"/>
      <c r="CNV1" s="30"/>
      <c r="CNW1" s="30"/>
      <c r="CNX1" s="30"/>
      <c r="CNY1" s="30"/>
      <c r="CNZ1" s="30"/>
      <c r="COA1" s="30"/>
      <c r="COB1" s="30"/>
      <c r="COC1" s="30"/>
      <c r="COD1" s="30"/>
      <c r="COE1" s="30"/>
      <c r="COF1" s="30"/>
      <c r="COG1" s="30"/>
      <c r="COH1" s="30"/>
      <c r="COI1" s="30"/>
      <c r="COJ1" s="30"/>
      <c r="COK1" s="30"/>
      <c r="COL1" s="30"/>
      <c r="COM1" s="30"/>
      <c r="CON1" s="30"/>
      <c r="COO1" s="30"/>
      <c r="COP1" s="30"/>
      <c r="COQ1" s="30"/>
      <c r="COR1" s="30"/>
      <c r="COS1" s="30"/>
      <c r="COT1" s="30"/>
      <c r="COU1" s="30"/>
      <c r="COV1" s="30"/>
      <c r="COW1" s="30"/>
      <c r="COX1" s="30"/>
      <c r="COY1" s="30"/>
      <c r="COZ1" s="30"/>
      <c r="CPA1" s="30"/>
      <c r="CPB1" s="30"/>
      <c r="CPC1" s="30"/>
      <c r="CPD1" s="30"/>
      <c r="CPE1" s="30"/>
      <c r="CPF1" s="30"/>
      <c r="CPG1" s="30"/>
      <c r="CPH1" s="30"/>
      <c r="CPI1" s="30"/>
      <c r="CPJ1" s="30"/>
      <c r="CPK1" s="30"/>
      <c r="CPL1" s="30"/>
      <c r="CPM1" s="30"/>
      <c r="CPN1" s="30"/>
      <c r="CPO1" s="30"/>
      <c r="CPP1" s="30"/>
      <c r="CPQ1" s="30"/>
      <c r="CPR1" s="30"/>
      <c r="CPS1" s="30"/>
      <c r="CPT1" s="30"/>
      <c r="CPU1" s="30"/>
      <c r="CPV1" s="30"/>
      <c r="CPW1" s="30"/>
      <c r="CPX1" s="30"/>
      <c r="CPY1" s="30"/>
      <c r="CPZ1" s="30"/>
      <c r="CQA1" s="30"/>
      <c r="CQB1" s="30"/>
      <c r="CQC1" s="30"/>
      <c r="CQD1" s="30"/>
      <c r="CQE1" s="30"/>
      <c r="CQF1" s="30"/>
      <c r="CQG1" s="30"/>
      <c r="CQH1" s="30"/>
      <c r="CQI1" s="30"/>
      <c r="CQJ1" s="30"/>
      <c r="CQK1" s="30"/>
      <c r="CQL1" s="30"/>
      <c r="CQM1" s="30"/>
      <c r="CQN1" s="30"/>
      <c r="CQO1" s="30"/>
      <c r="CQP1" s="30"/>
      <c r="CQQ1" s="30"/>
      <c r="CQR1" s="30"/>
      <c r="CQS1" s="30"/>
      <c r="CQT1" s="30"/>
      <c r="CQU1" s="30"/>
      <c r="CQV1" s="30"/>
      <c r="CQW1" s="30"/>
      <c r="CQX1" s="30"/>
      <c r="CQY1" s="30"/>
      <c r="CQZ1" s="30"/>
      <c r="CRA1" s="30"/>
      <c r="CRB1" s="30"/>
      <c r="CRC1" s="30"/>
      <c r="CRD1" s="30"/>
      <c r="CRE1" s="30"/>
      <c r="CRF1" s="30"/>
      <c r="CRG1" s="30"/>
      <c r="CRH1" s="30"/>
      <c r="CRI1" s="30"/>
      <c r="CRJ1" s="30"/>
      <c r="CRK1" s="30"/>
      <c r="CRL1" s="30"/>
      <c r="CRM1" s="30"/>
      <c r="CRN1" s="30"/>
      <c r="CRO1" s="30"/>
      <c r="CRP1" s="30"/>
      <c r="CRQ1" s="30"/>
      <c r="CRR1" s="30"/>
      <c r="CRS1" s="30"/>
      <c r="CRT1" s="30"/>
      <c r="CRU1" s="30"/>
      <c r="CRV1" s="30"/>
      <c r="CRW1" s="30"/>
      <c r="CRX1" s="30"/>
      <c r="CRY1" s="30"/>
      <c r="CRZ1" s="30"/>
      <c r="CSA1" s="30"/>
      <c r="CSB1" s="30"/>
      <c r="CSC1" s="30"/>
      <c r="CSD1" s="30"/>
      <c r="CSE1" s="30"/>
      <c r="CSF1" s="30"/>
      <c r="CSG1" s="30"/>
      <c r="CSH1" s="30"/>
      <c r="CSI1" s="30"/>
      <c r="CSJ1" s="30"/>
      <c r="CSK1" s="30"/>
      <c r="CSL1" s="30"/>
      <c r="CSM1" s="30"/>
      <c r="CSN1" s="30"/>
      <c r="CSO1" s="30"/>
      <c r="CSP1" s="30"/>
      <c r="CSQ1" s="30"/>
      <c r="CSR1" s="30"/>
      <c r="CSS1" s="30"/>
      <c r="CST1" s="30"/>
      <c r="CSU1" s="30"/>
      <c r="CSV1" s="30"/>
      <c r="CSW1" s="30"/>
      <c r="CSX1" s="30"/>
      <c r="CSY1" s="30"/>
      <c r="CSZ1" s="30"/>
      <c r="CTA1" s="30"/>
      <c r="CTB1" s="30"/>
      <c r="CTC1" s="30"/>
      <c r="CTD1" s="30"/>
      <c r="CTE1" s="30"/>
      <c r="CTF1" s="30"/>
      <c r="CTG1" s="30"/>
      <c r="CTH1" s="30"/>
      <c r="CTI1" s="30"/>
      <c r="CTJ1" s="30"/>
      <c r="CTK1" s="30"/>
      <c r="CTL1" s="30"/>
      <c r="CTM1" s="30"/>
      <c r="CTN1" s="30"/>
      <c r="CTO1" s="30"/>
      <c r="CTP1" s="30"/>
      <c r="CTQ1" s="30"/>
      <c r="CTR1" s="30"/>
      <c r="CTS1" s="30"/>
      <c r="CTT1" s="30"/>
      <c r="CTU1" s="30"/>
      <c r="CTV1" s="30"/>
      <c r="CTW1" s="30"/>
      <c r="CTX1" s="30"/>
      <c r="CTY1" s="30"/>
      <c r="CTZ1" s="30"/>
      <c r="CUA1" s="30"/>
      <c r="CUB1" s="30"/>
      <c r="CUC1" s="30"/>
      <c r="CUD1" s="30"/>
      <c r="CUE1" s="30"/>
      <c r="CUF1" s="30"/>
      <c r="CUG1" s="30"/>
      <c r="CUH1" s="30"/>
      <c r="CUI1" s="30"/>
      <c r="CUJ1" s="30"/>
      <c r="CUK1" s="30"/>
      <c r="CUL1" s="30"/>
      <c r="CUM1" s="30"/>
      <c r="CUN1" s="30"/>
      <c r="CUO1" s="30"/>
      <c r="CUP1" s="30"/>
      <c r="CUQ1" s="30"/>
      <c r="CUR1" s="30"/>
      <c r="CUS1" s="30"/>
      <c r="CUT1" s="30"/>
      <c r="CUU1" s="30"/>
      <c r="CUV1" s="30"/>
      <c r="CUW1" s="30"/>
      <c r="CUX1" s="30"/>
      <c r="CUY1" s="30"/>
      <c r="CUZ1" s="30"/>
      <c r="CVA1" s="30"/>
      <c r="CVB1" s="30"/>
      <c r="CVC1" s="30"/>
      <c r="CVD1" s="30"/>
      <c r="CVE1" s="30"/>
      <c r="CVF1" s="30"/>
      <c r="CVG1" s="30"/>
      <c r="CVH1" s="30"/>
      <c r="CVI1" s="30"/>
      <c r="CVJ1" s="30"/>
      <c r="CVK1" s="30"/>
      <c r="CVL1" s="30"/>
      <c r="CVM1" s="30"/>
      <c r="CVN1" s="30"/>
      <c r="CVO1" s="30"/>
      <c r="CVP1" s="30"/>
      <c r="CVQ1" s="30"/>
      <c r="CVR1" s="30"/>
      <c r="CVS1" s="30"/>
      <c r="CVT1" s="30"/>
      <c r="CVU1" s="30"/>
      <c r="CVV1" s="30"/>
      <c r="CVW1" s="30"/>
      <c r="CVX1" s="30"/>
      <c r="CVY1" s="30"/>
      <c r="CVZ1" s="30"/>
      <c r="CWA1" s="30"/>
      <c r="CWB1" s="30"/>
      <c r="CWC1" s="30"/>
      <c r="CWD1" s="30"/>
      <c r="CWE1" s="30"/>
      <c r="CWF1" s="30"/>
      <c r="CWG1" s="30"/>
      <c r="CWH1" s="30"/>
      <c r="CWI1" s="30"/>
      <c r="CWJ1" s="30"/>
      <c r="CWK1" s="30"/>
      <c r="CWL1" s="30"/>
      <c r="CWM1" s="30"/>
      <c r="CWN1" s="30"/>
      <c r="CWO1" s="30"/>
      <c r="CWP1" s="30"/>
      <c r="CWQ1" s="30"/>
      <c r="CWR1" s="30"/>
      <c r="CWS1" s="30"/>
      <c r="CWT1" s="30"/>
      <c r="CWU1" s="30"/>
      <c r="CWV1" s="30"/>
      <c r="CWW1" s="30"/>
      <c r="CWX1" s="30"/>
      <c r="CWY1" s="30"/>
      <c r="CWZ1" s="30"/>
      <c r="CXA1" s="30"/>
      <c r="CXB1" s="30"/>
      <c r="CXC1" s="30"/>
      <c r="CXD1" s="30"/>
      <c r="CXE1" s="30"/>
      <c r="CXF1" s="30"/>
      <c r="CXG1" s="30"/>
      <c r="CXH1" s="30"/>
      <c r="CXI1" s="30"/>
      <c r="CXJ1" s="30"/>
      <c r="CXK1" s="30"/>
      <c r="CXL1" s="30"/>
      <c r="CXM1" s="30"/>
      <c r="CXN1" s="30"/>
      <c r="CXO1" s="30"/>
      <c r="CXP1" s="30"/>
      <c r="CXQ1" s="30"/>
      <c r="CXR1" s="30"/>
      <c r="CXS1" s="30"/>
      <c r="CXT1" s="30"/>
      <c r="CXU1" s="30"/>
      <c r="CXV1" s="30"/>
      <c r="CXW1" s="30"/>
      <c r="CXX1" s="30"/>
      <c r="CXY1" s="30"/>
      <c r="CXZ1" s="30"/>
      <c r="CYA1" s="30"/>
      <c r="CYB1" s="30"/>
      <c r="CYC1" s="30"/>
      <c r="CYD1" s="30"/>
      <c r="CYE1" s="30"/>
      <c r="CYF1" s="30"/>
      <c r="CYG1" s="30"/>
      <c r="CYH1" s="30"/>
      <c r="CYI1" s="30"/>
      <c r="CYJ1" s="30"/>
      <c r="CYK1" s="30"/>
      <c r="CYL1" s="30"/>
      <c r="CYM1" s="30"/>
      <c r="CYN1" s="30"/>
      <c r="CYO1" s="30"/>
      <c r="CYP1" s="30"/>
      <c r="CYQ1" s="30"/>
      <c r="CYR1" s="30"/>
      <c r="CYS1" s="30"/>
      <c r="CYT1" s="30"/>
      <c r="CYU1" s="30"/>
      <c r="CYV1" s="30"/>
      <c r="CYW1" s="30"/>
      <c r="CYX1" s="30"/>
      <c r="CYY1" s="30"/>
      <c r="CYZ1" s="30"/>
      <c r="CZA1" s="30"/>
      <c r="CZB1" s="30"/>
      <c r="CZC1" s="30"/>
      <c r="CZD1" s="30"/>
      <c r="CZE1" s="30"/>
      <c r="CZF1" s="30"/>
      <c r="CZG1" s="30"/>
      <c r="CZH1" s="30"/>
      <c r="CZI1" s="30"/>
      <c r="CZJ1" s="30"/>
      <c r="CZK1" s="30"/>
      <c r="CZL1" s="30"/>
      <c r="CZM1" s="30"/>
      <c r="CZN1" s="30"/>
      <c r="CZO1" s="30"/>
      <c r="CZP1" s="30"/>
      <c r="CZQ1" s="30"/>
      <c r="CZR1" s="30"/>
      <c r="CZS1" s="30"/>
      <c r="CZT1" s="30"/>
      <c r="CZU1" s="30"/>
      <c r="CZV1" s="30"/>
      <c r="CZW1" s="30"/>
      <c r="CZX1" s="30"/>
      <c r="CZY1" s="30"/>
      <c r="CZZ1" s="30"/>
      <c r="DAA1" s="30"/>
      <c r="DAB1" s="30"/>
      <c r="DAC1" s="30"/>
      <c r="DAD1" s="30"/>
      <c r="DAE1" s="30"/>
      <c r="DAF1" s="30"/>
      <c r="DAG1" s="30"/>
      <c r="DAH1" s="30"/>
      <c r="DAI1" s="30"/>
      <c r="DAJ1" s="30"/>
      <c r="DAK1" s="30"/>
      <c r="DAL1" s="30"/>
      <c r="DAM1" s="30"/>
      <c r="DAN1" s="30"/>
      <c r="DAO1" s="30"/>
      <c r="DAP1" s="30"/>
      <c r="DAQ1" s="30"/>
      <c r="DAR1" s="30"/>
      <c r="DAS1" s="30"/>
      <c r="DAT1" s="30"/>
      <c r="DAU1" s="30"/>
      <c r="DAV1" s="30"/>
      <c r="DAW1" s="30"/>
      <c r="DAX1" s="30"/>
      <c r="DAY1" s="30"/>
      <c r="DAZ1" s="30"/>
      <c r="DBA1" s="30"/>
      <c r="DBB1" s="30"/>
      <c r="DBC1" s="30"/>
      <c r="DBD1" s="30"/>
      <c r="DBE1" s="30"/>
      <c r="DBF1" s="30"/>
      <c r="DBG1" s="30"/>
      <c r="DBH1" s="30"/>
      <c r="DBI1" s="30"/>
      <c r="DBJ1" s="30"/>
      <c r="DBK1" s="30"/>
      <c r="DBL1" s="30"/>
      <c r="DBM1" s="30"/>
      <c r="DBN1" s="30"/>
      <c r="DBO1" s="30"/>
      <c r="DBP1" s="30"/>
      <c r="DBQ1" s="30"/>
      <c r="DBR1" s="30"/>
      <c r="DBS1" s="30"/>
      <c r="DBT1" s="30"/>
      <c r="DBU1" s="30"/>
      <c r="DBV1" s="30"/>
      <c r="DBW1" s="30"/>
      <c r="DBX1" s="30"/>
      <c r="DBY1" s="30"/>
      <c r="DBZ1" s="30"/>
      <c r="DCA1" s="30"/>
      <c r="DCB1" s="30"/>
      <c r="DCC1" s="30"/>
      <c r="DCD1" s="30"/>
      <c r="DCE1" s="30"/>
      <c r="DCF1" s="30"/>
      <c r="DCG1" s="30"/>
      <c r="DCH1" s="30"/>
      <c r="DCI1" s="30"/>
      <c r="DCJ1" s="30"/>
      <c r="DCK1" s="30"/>
      <c r="DCL1" s="30"/>
      <c r="DCM1" s="30"/>
      <c r="DCN1" s="30"/>
      <c r="DCO1" s="30"/>
      <c r="DCP1" s="30"/>
      <c r="DCQ1" s="30"/>
      <c r="DCR1" s="30"/>
      <c r="DCS1" s="30"/>
      <c r="DCT1" s="30"/>
      <c r="DCU1" s="30"/>
      <c r="DCV1" s="30"/>
      <c r="DCW1" s="30"/>
      <c r="DCX1" s="30"/>
      <c r="DCY1" s="30"/>
      <c r="DCZ1" s="30"/>
      <c r="DDA1" s="30"/>
      <c r="DDB1" s="30"/>
      <c r="DDC1" s="30"/>
      <c r="DDD1" s="30"/>
      <c r="DDE1" s="30"/>
      <c r="DDF1" s="30"/>
      <c r="DDG1" s="30"/>
      <c r="DDH1" s="30"/>
      <c r="DDI1" s="30"/>
      <c r="DDJ1" s="30"/>
      <c r="DDK1" s="30"/>
      <c r="DDL1" s="30"/>
      <c r="DDM1" s="30"/>
      <c r="DDN1" s="30"/>
      <c r="DDO1" s="30"/>
      <c r="DDP1" s="30"/>
      <c r="DDQ1" s="30"/>
      <c r="DDR1" s="30"/>
      <c r="DDS1" s="30"/>
      <c r="DDT1" s="30"/>
      <c r="DDU1" s="30"/>
      <c r="DDV1" s="30"/>
      <c r="DDW1" s="30"/>
      <c r="DDX1" s="30"/>
      <c r="DDY1" s="30"/>
      <c r="DDZ1" s="30"/>
      <c r="DEA1" s="30"/>
      <c r="DEB1" s="30"/>
      <c r="DEC1" s="30"/>
      <c r="DED1" s="30"/>
      <c r="DEE1" s="30"/>
      <c r="DEF1" s="30"/>
      <c r="DEG1" s="30"/>
      <c r="DEH1" s="30"/>
      <c r="DEI1" s="30"/>
      <c r="DEJ1" s="30"/>
      <c r="DEK1" s="30"/>
      <c r="DEL1" s="30"/>
      <c r="DEM1" s="30"/>
      <c r="DEN1" s="30"/>
      <c r="DEO1" s="30"/>
      <c r="DEP1" s="30"/>
      <c r="DEQ1" s="30"/>
      <c r="DER1" s="30"/>
      <c r="DES1" s="30"/>
      <c r="DET1" s="30"/>
      <c r="DEU1" s="30"/>
      <c r="DEV1" s="30"/>
      <c r="DEW1" s="30"/>
      <c r="DEX1" s="30"/>
      <c r="DEY1" s="30"/>
      <c r="DEZ1" s="30"/>
      <c r="DFA1" s="30"/>
      <c r="DFB1" s="30"/>
      <c r="DFC1" s="30"/>
      <c r="DFD1" s="30"/>
      <c r="DFE1" s="30"/>
      <c r="DFF1" s="30"/>
      <c r="DFG1" s="30"/>
      <c r="DFH1" s="30"/>
      <c r="DFI1" s="30"/>
      <c r="DFJ1" s="30"/>
      <c r="DFK1" s="30"/>
      <c r="DFL1" s="30"/>
      <c r="DFM1" s="30"/>
      <c r="DFN1" s="30"/>
      <c r="DFO1" s="30"/>
      <c r="DFP1" s="30"/>
      <c r="DFQ1" s="30"/>
      <c r="DFR1" s="30"/>
      <c r="DFS1" s="30"/>
      <c r="DFT1" s="30"/>
      <c r="DFU1" s="30"/>
      <c r="DFV1" s="30"/>
      <c r="DFW1" s="30"/>
      <c r="DFX1" s="30"/>
      <c r="DFY1" s="30"/>
      <c r="DFZ1" s="30"/>
      <c r="DGA1" s="30"/>
      <c r="DGB1" s="30"/>
      <c r="DGC1" s="30"/>
      <c r="DGD1" s="30"/>
      <c r="DGE1" s="30"/>
      <c r="DGF1" s="30"/>
      <c r="DGG1" s="30"/>
      <c r="DGH1" s="30"/>
      <c r="DGI1" s="30"/>
      <c r="DGJ1" s="30"/>
      <c r="DGK1" s="30"/>
      <c r="DGL1" s="30"/>
      <c r="DGM1" s="30"/>
      <c r="DGN1" s="30"/>
      <c r="DGO1" s="30"/>
      <c r="DGP1" s="30"/>
      <c r="DGQ1" s="30"/>
      <c r="DGR1" s="30"/>
      <c r="DGS1" s="30"/>
      <c r="DGT1" s="30"/>
      <c r="DGU1" s="30"/>
      <c r="DGV1" s="30"/>
      <c r="DGW1" s="30"/>
      <c r="DGX1" s="30"/>
      <c r="DGY1" s="30"/>
      <c r="DGZ1" s="30"/>
      <c r="DHA1" s="30"/>
      <c r="DHB1" s="30"/>
      <c r="DHC1" s="30"/>
      <c r="DHD1" s="30"/>
      <c r="DHE1" s="30"/>
      <c r="DHF1" s="30"/>
      <c r="DHG1" s="30"/>
      <c r="DHH1" s="30"/>
      <c r="DHI1" s="30"/>
      <c r="DHJ1" s="30"/>
      <c r="DHK1" s="30"/>
      <c r="DHL1" s="30"/>
      <c r="DHM1" s="30"/>
      <c r="DHN1" s="30"/>
      <c r="DHO1" s="30"/>
      <c r="DHP1" s="30"/>
      <c r="DHQ1" s="30"/>
      <c r="DHR1" s="30"/>
      <c r="DHS1" s="30"/>
      <c r="DHT1" s="30"/>
      <c r="DHU1" s="30"/>
      <c r="DHV1" s="30"/>
      <c r="DHW1" s="30"/>
      <c r="DHX1" s="30"/>
      <c r="DHY1" s="30"/>
      <c r="DHZ1" s="30"/>
      <c r="DIA1" s="30"/>
      <c r="DIB1" s="30"/>
      <c r="DIC1" s="30"/>
      <c r="DID1" s="30"/>
      <c r="DIE1" s="30"/>
      <c r="DIF1" s="30"/>
      <c r="DIG1" s="30"/>
      <c r="DIH1" s="30"/>
      <c r="DII1" s="30"/>
      <c r="DIJ1" s="30"/>
      <c r="DIK1" s="30"/>
      <c r="DIL1" s="30"/>
      <c r="DIM1" s="30"/>
      <c r="DIN1" s="30"/>
      <c r="DIO1" s="30"/>
      <c r="DIP1" s="30"/>
      <c r="DIQ1" s="30"/>
      <c r="DIR1" s="30"/>
      <c r="DIS1" s="30"/>
      <c r="DIT1" s="30"/>
      <c r="DIU1" s="30"/>
      <c r="DIV1" s="30"/>
      <c r="DIW1" s="30"/>
      <c r="DIX1" s="30"/>
      <c r="DIY1" s="30"/>
      <c r="DIZ1" s="30"/>
      <c r="DJA1" s="30"/>
      <c r="DJB1" s="30"/>
      <c r="DJC1" s="30"/>
      <c r="DJD1" s="30"/>
      <c r="DJE1" s="30"/>
      <c r="DJF1" s="30"/>
      <c r="DJG1" s="30"/>
      <c r="DJH1" s="30"/>
      <c r="DJI1" s="30"/>
      <c r="DJJ1" s="30"/>
      <c r="DJK1" s="30"/>
      <c r="DJL1" s="30"/>
      <c r="DJM1" s="30"/>
      <c r="DJN1" s="30"/>
      <c r="DJO1" s="30"/>
      <c r="DJP1" s="30"/>
      <c r="DJQ1" s="30"/>
      <c r="DJR1" s="30"/>
      <c r="DJS1" s="30"/>
      <c r="DJT1" s="30"/>
      <c r="DJU1" s="30"/>
      <c r="DJV1" s="30"/>
      <c r="DJW1" s="30"/>
      <c r="DJX1" s="30"/>
      <c r="DJY1" s="30"/>
      <c r="DJZ1" s="30"/>
      <c r="DKA1" s="30"/>
      <c r="DKB1" s="30"/>
      <c r="DKC1" s="30"/>
      <c r="DKD1" s="30"/>
      <c r="DKE1" s="30"/>
      <c r="DKF1" s="30"/>
      <c r="DKG1" s="30"/>
      <c r="DKH1" s="30"/>
      <c r="DKI1" s="30"/>
      <c r="DKJ1" s="30"/>
      <c r="DKK1" s="30"/>
      <c r="DKL1" s="30"/>
      <c r="DKM1" s="30"/>
      <c r="DKN1" s="30"/>
      <c r="DKO1" s="30"/>
      <c r="DKP1" s="30"/>
      <c r="DKQ1" s="30"/>
      <c r="DKR1" s="30"/>
      <c r="DKS1" s="30"/>
      <c r="DKT1" s="30"/>
      <c r="DKU1" s="30"/>
      <c r="DKV1" s="30"/>
      <c r="DKW1" s="30"/>
      <c r="DKX1" s="30"/>
      <c r="DKY1" s="30"/>
      <c r="DKZ1" s="30"/>
      <c r="DLA1" s="30"/>
      <c r="DLB1" s="30"/>
      <c r="DLC1" s="30"/>
      <c r="DLD1" s="30"/>
      <c r="DLE1" s="30"/>
      <c r="DLF1" s="30"/>
      <c r="DLG1" s="30"/>
      <c r="DLH1" s="30"/>
      <c r="DLI1" s="30"/>
      <c r="DLJ1" s="30"/>
      <c r="DLK1" s="30"/>
      <c r="DLL1" s="30"/>
      <c r="DLM1" s="30"/>
      <c r="DLN1" s="30"/>
      <c r="DLO1" s="30"/>
      <c r="DLP1" s="30"/>
      <c r="DLQ1" s="30"/>
      <c r="DLR1" s="30"/>
      <c r="DLS1" s="30"/>
      <c r="DLT1" s="30"/>
      <c r="DLU1" s="30"/>
      <c r="DLV1" s="30"/>
      <c r="DLW1" s="30"/>
      <c r="DLX1" s="30"/>
      <c r="DLY1" s="30"/>
      <c r="DLZ1" s="30"/>
      <c r="DMA1" s="30"/>
      <c r="DMB1" s="30"/>
      <c r="DMC1" s="30"/>
      <c r="DMD1" s="30"/>
      <c r="DME1" s="30"/>
      <c r="DMF1" s="30"/>
      <c r="DMG1" s="30"/>
      <c r="DMH1" s="30"/>
      <c r="DMI1" s="30"/>
      <c r="DMJ1" s="30"/>
      <c r="DMK1" s="30"/>
      <c r="DML1" s="30"/>
      <c r="DMM1" s="30"/>
      <c r="DMN1" s="30"/>
      <c r="DMO1" s="30"/>
      <c r="DMP1" s="30"/>
      <c r="DMQ1" s="30"/>
      <c r="DMR1" s="30"/>
      <c r="DMS1" s="30"/>
      <c r="DMT1" s="30"/>
      <c r="DMU1" s="30"/>
      <c r="DMV1" s="30"/>
      <c r="DMW1" s="30"/>
      <c r="DMX1" s="30"/>
      <c r="DMY1" s="30"/>
      <c r="DMZ1" s="30"/>
      <c r="DNA1" s="30"/>
      <c r="DNB1" s="30"/>
      <c r="DNC1" s="30"/>
      <c r="DND1" s="30"/>
      <c r="DNE1" s="30"/>
      <c r="DNF1" s="30"/>
      <c r="DNG1" s="30"/>
      <c r="DNH1" s="30"/>
      <c r="DNI1" s="30"/>
      <c r="DNJ1" s="30"/>
      <c r="DNK1" s="30"/>
      <c r="DNL1" s="30"/>
      <c r="DNM1" s="30"/>
      <c r="DNN1" s="30"/>
      <c r="DNO1" s="30"/>
      <c r="DNP1" s="30"/>
      <c r="DNQ1" s="30"/>
      <c r="DNR1" s="30"/>
      <c r="DNS1" s="30"/>
      <c r="DNT1" s="30"/>
      <c r="DNU1" s="30"/>
      <c r="DNV1" s="30"/>
      <c r="DNW1" s="30"/>
      <c r="DNX1" s="30"/>
      <c r="DNY1" s="30"/>
      <c r="DNZ1" s="30"/>
      <c r="DOA1" s="30"/>
      <c r="DOB1" s="30"/>
      <c r="DOC1" s="30"/>
      <c r="DOD1" s="30"/>
      <c r="DOE1" s="30"/>
      <c r="DOF1" s="30"/>
      <c r="DOG1" s="30"/>
      <c r="DOH1" s="30"/>
      <c r="DOI1" s="30"/>
      <c r="DOJ1" s="30"/>
      <c r="DOK1" s="30"/>
      <c r="DOL1" s="30"/>
      <c r="DOM1" s="30"/>
      <c r="DON1" s="30"/>
      <c r="DOO1" s="30"/>
      <c r="DOP1" s="30"/>
      <c r="DOQ1" s="30"/>
      <c r="DOR1" s="30"/>
      <c r="DOS1" s="30"/>
      <c r="DOT1" s="30"/>
      <c r="DOU1" s="30"/>
      <c r="DOV1" s="30"/>
      <c r="DOW1" s="30"/>
      <c r="DOX1" s="30"/>
      <c r="DOY1" s="30"/>
      <c r="DOZ1" s="30"/>
      <c r="DPA1" s="30"/>
      <c r="DPB1" s="30"/>
      <c r="DPC1" s="30"/>
      <c r="DPD1" s="30"/>
      <c r="DPE1" s="30"/>
      <c r="DPF1" s="30"/>
      <c r="DPG1" s="30"/>
      <c r="DPH1" s="30"/>
      <c r="DPI1" s="30"/>
      <c r="DPJ1" s="30"/>
      <c r="DPK1" s="30"/>
      <c r="DPL1" s="30"/>
      <c r="DPM1" s="30"/>
      <c r="DPN1" s="30"/>
      <c r="DPO1" s="30"/>
      <c r="DPP1" s="30"/>
      <c r="DPQ1" s="30"/>
      <c r="DPR1" s="30"/>
      <c r="DPS1" s="30"/>
      <c r="DPT1" s="30"/>
      <c r="DPU1" s="30"/>
      <c r="DPV1" s="30"/>
      <c r="DPW1" s="30"/>
      <c r="DPX1" s="30"/>
      <c r="DPY1" s="30"/>
      <c r="DPZ1" s="30"/>
      <c r="DQA1" s="30"/>
      <c r="DQB1" s="30"/>
      <c r="DQC1" s="30"/>
      <c r="DQD1" s="30"/>
      <c r="DQE1" s="30"/>
      <c r="DQF1" s="30"/>
      <c r="DQG1" s="30"/>
      <c r="DQH1" s="30"/>
      <c r="DQI1" s="30"/>
      <c r="DQJ1" s="30"/>
      <c r="DQK1" s="30"/>
      <c r="DQL1" s="30"/>
      <c r="DQM1" s="30"/>
      <c r="DQN1" s="30"/>
      <c r="DQO1" s="30"/>
      <c r="DQP1" s="30"/>
      <c r="DQQ1" s="30"/>
      <c r="DQR1" s="30"/>
      <c r="DQS1" s="30"/>
      <c r="DQT1" s="30"/>
      <c r="DQU1" s="30"/>
      <c r="DQV1" s="30"/>
      <c r="DQW1" s="30"/>
      <c r="DQX1" s="30"/>
      <c r="DQY1" s="30"/>
      <c r="DQZ1" s="30"/>
      <c r="DRA1" s="30"/>
      <c r="DRB1" s="30"/>
      <c r="DRC1" s="30"/>
      <c r="DRD1" s="30"/>
      <c r="DRE1" s="30"/>
      <c r="DRF1" s="30"/>
      <c r="DRG1" s="30"/>
      <c r="DRH1" s="30"/>
      <c r="DRI1" s="30"/>
      <c r="DRJ1" s="30"/>
      <c r="DRK1" s="30"/>
      <c r="DRL1" s="30"/>
      <c r="DRM1" s="30"/>
      <c r="DRN1" s="30"/>
      <c r="DRO1" s="30"/>
      <c r="DRP1" s="30"/>
      <c r="DRQ1" s="30"/>
      <c r="DRR1" s="30"/>
      <c r="DRS1" s="30"/>
      <c r="DRT1" s="30"/>
      <c r="DRU1" s="30"/>
      <c r="DRV1" s="30"/>
      <c r="DRW1" s="30"/>
      <c r="DRX1" s="30"/>
      <c r="DRY1" s="30"/>
      <c r="DRZ1" s="30"/>
      <c r="DSA1" s="30"/>
      <c r="DSB1" s="30"/>
      <c r="DSC1" s="30"/>
      <c r="DSD1" s="30"/>
      <c r="DSE1" s="30"/>
      <c r="DSF1" s="30"/>
      <c r="DSG1" s="30"/>
      <c r="DSH1" s="30"/>
      <c r="DSI1" s="30"/>
      <c r="DSJ1" s="30"/>
      <c r="DSK1" s="30"/>
      <c r="DSL1" s="30"/>
      <c r="DSM1" s="30"/>
      <c r="DSN1" s="30"/>
      <c r="DSO1" s="30"/>
      <c r="DSP1" s="30"/>
      <c r="DSQ1" s="30"/>
      <c r="DSR1" s="30"/>
      <c r="DSS1" s="30"/>
      <c r="DST1" s="30"/>
      <c r="DSU1" s="30"/>
      <c r="DSV1" s="30"/>
      <c r="DSW1" s="30"/>
      <c r="DSX1" s="30"/>
      <c r="DSY1" s="30"/>
      <c r="DSZ1" s="30"/>
      <c r="DTA1" s="30"/>
      <c r="DTB1" s="30"/>
      <c r="DTC1" s="30"/>
      <c r="DTD1" s="30"/>
      <c r="DTE1" s="30"/>
      <c r="DTF1" s="30"/>
      <c r="DTG1" s="30"/>
      <c r="DTH1" s="30"/>
      <c r="DTI1" s="30"/>
      <c r="DTJ1" s="30"/>
      <c r="DTK1" s="30"/>
      <c r="DTL1" s="30"/>
      <c r="DTM1" s="30"/>
      <c r="DTN1" s="30"/>
      <c r="DTO1" s="30"/>
      <c r="DTP1" s="30"/>
      <c r="DTQ1" s="30"/>
      <c r="DTR1" s="30"/>
      <c r="DTS1" s="30"/>
      <c r="DTT1" s="30"/>
      <c r="DTU1" s="30"/>
      <c r="DTV1" s="30"/>
      <c r="DTW1" s="30"/>
      <c r="DTX1" s="30"/>
      <c r="DTY1" s="30"/>
      <c r="DTZ1" s="30"/>
      <c r="DUA1" s="30"/>
      <c r="DUB1" s="30"/>
      <c r="DUC1" s="30"/>
      <c r="DUD1" s="30"/>
      <c r="DUE1" s="30"/>
      <c r="DUF1" s="30"/>
      <c r="DUG1" s="30"/>
      <c r="DUH1" s="30"/>
      <c r="DUI1" s="30"/>
      <c r="DUJ1" s="30"/>
      <c r="DUK1" s="30"/>
      <c r="DUL1" s="30"/>
      <c r="DUM1" s="30"/>
      <c r="DUN1" s="30"/>
      <c r="DUO1" s="30"/>
      <c r="DUP1" s="30"/>
      <c r="DUQ1" s="30"/>
      <c r="DUR1" s="30"/>
      <c r="DUS1" s="30"/>
      <c r="DUT1" s="30"/>
      <c r="DUU1" s="30"/>
      <c r="DUV1" s="30"/>
      <c r="DUW1" s="30"/>
      <c r="DUX1" s="30"/>
      <c r="DUY1" s="30"/>
      <c r="DUZ1" s="30"/>
      <c r="DVA1" s="30"/>
      <c r="DVB1" s="30"/>
      <c r="DVC1" s="30"/>
      <c r="DVD1" s="30"/>
      <c r="DVE1" s="30"/>
      <c r="DVF1" s="30"/>
      <c r="DVG1" s="30"/>
      <c r="DVH1" s="30"/>
      <c r="DVI1" s="30"/>
      <c r="DVJ1" s="30"/>
      <c r="DVK1" s="30"/>
      <c r="DVL1" s="30"/>
      <c r="DVM1" s="30"/>
      <c r="DVN1" s="30"/>
      <c r="DVO1" s="30"/>
      <c r="DVP1" s="30"/>
      <c r="DVQ1" s="30"/>
      <c r="DVR1" s="30"/>
      <c r="DVS1" s="30"/>
      <c r="DVT1" s="30"/>
      <c r="DVU1" s="30"/>
      <c r="DVV1" s="30"/>
      <c r="DVW1" s="30"/>
      <c r="DVX1" s="30"/>
      <c r="DVY1" s="30"/>
      <c r="DVZ1" s="30"/>
      <c r="DWA1" s="30"/>
      <c r="DWB1" s="30"/>
      <c r="DWC1" s="30"/>
      <c r="DWD1" s="30"/>
      <c r="DWE1" s="30"/>
      <c r="DWF1" s="30"/>
      <c r="DWG1" s="30"/>
      <c r="DWH1" s="30"/>
      <c r="DWI1" s="30"/>
      <c r="DWJ1" s="30"/>
      <c r="DWK1" s="30"/>
      <c r="DWL1" s="30"/>
      <c r="DWM1" s="30"/>
      <c r="DWN1" s="30"/>
      <c r="DWO1" s="30"/>
      <c r="DWP1" s="30"/>
      <c r="DWQ1" s="30"/>
      <c r="DWR1" s="30"/>
      <c r="DWS1" s="30"/>
      <c r="DWT1" s="30"/>
      <c r="DWU1" s="30"/>
      <c r="DWV1" s="30"/>
      <c r="DWW1" s="30"/>
      <c r="DWX1" s="30"/>
      <c r="DWY1" s="30"/>
      <c r="DWZ1" s="30"/>
      <c r="DXA1" s="30"/>
      <c r="DXB1" s="30"/>
      <c r="DXC1" s="30"/>
      <c r="DXD1" s="30"/>
      <c r="DXE1" s="30"/>
      <c r="DXF1" s="30"/>
      <c r="DXG1" s="30"/>
      <c r="DXH1" s="30"/>
      <c r="DXI1" s="30"/>
      <c r="DXJ1" s="30"/>
      <c r="DXK1" s="30"/>
      <c r="DXL1" s="30"/>
      <c r="DXM1" s="30"/>
      <c r="DXN1" s="30"/>
      <c r="DXO1" s="30"/>
      <c r="DXP1" s="30"/>
      <c r="DXQ1" s="30"/>
      <c r="DXR1" s="30"/>
      <c r="DXS1" s="30"/>
      <c r="DXT1" s="30"/>
      <c r="DXU1" s="30"/>
      <c r="DXV1" s="30"/>
      <c r="DXW1" s="30"/>
      <c r="DXX1" s="30"/>
      <c r="DXY1" s="30"/>
      <c r="DXZ1" s="30"/>
      <c r="DYA1" s="30"/>
      <c r="DYB1" s="30"/>
      <c r="DYC1" s="30"/>
      <c r="DYD1" s="30"/>
      <c r="DYE1" s="30"/>
      <c r="DYF1" s="30"/>
      <c r="DYG1" s="30"/>
      <c r="DYH1" s="30"/>
      <c r="DYI1" s="30"/>
      <c r="DYJ1" s="30"/>
      <c r="DYK1" s="30"/>
      <c r="DYL1" s="30"/>
      <c r="DYM1" s="30"/>
      <c r="DYN1" s="30"/>
      <c r="DYO1" s="30"/>
      <c r="DYP1" s="30"/>
      <c r="DYQ1" s="30"/>
      <c r="DYR1" s="30"/>
      <c r="DYS1" s="30"/>
      <c r="DYT1" s="30"/>
      <c r="DYU1" s="30"/>
      <c r="DYV1" s="30"/>
      <c r="DYW1" s="30"/>
      <c r="DYX1" s="30"/>
      <c r="DYY1" s="30"/>
      <c r="DYZ1" s="30"/>
      <c r="DZA1" s="30"/>
      <c r="DZB1" s="30"/>
      <c r="DZC1" s="30"/>
      <c r="DZD1" s="30"/>
      <c r="DZE1" s="30"/>
      <c r="DZF1" s="30"/>
      <c r="DZG1" s="30"/>
      <c r="DZH1" s="30"/>
      <c r="DZI1" s="30"/>
      <c r="DZJ1" s="30"/>
      <c r="DZK1" s="30"/>
      <c r="DZL1" s="30"/>
      <c r="DZM1" s="30"/>
      <c r="DZN1" s="30"/>
      <c r="DZO1" s="30"/>
      <c r="DZP1" s="30"/>
      <c r="DZQ1" s="30"/>
      <c r="DZR1" s="30"/>
      <c r="DZS1" s="30"/>
      <c r="DZT1" s="30"/>
      <c r="DZU1" s="30"/>
      <c r="DZV1" s="30"/>
      <c r="DZW1" s="30"/>
      <c r="DZX1" s="30"/>
      <c r="DZY1" s="30"/>
      <c r="DZZ1" s="30"/>
      <c r="EAA1" s="30"/>
      <c r="EAB1" s="30"/>
      <c r="EAC1" s="30"/>
      <c r="EAD1" s="30"/>
      <c r="EAE1" s="30"/>
      <c r="EAF1" s="30"/>
      <c r="EAG1" s="30"/>
      <c r="EAH1" s="30"/>
      <c r="EAI1" s="30"/>
      <c r="EAJ1" s="30"/>
      <c r="EAK1" s="30"/>
      <c r="EAL1" s="30"/>
      <c r="EAM1" s="30"/>
      <c r="EAN1" s="30"/>
      <c r="EAO1" s="30"/>
      <c r="EAP1" s="30"/>
      <c r="EAQ1" s="30"/>
      <c r="EAR1" s="30"/>
      <c r="EAS1" s="30"/>
      <c r="EAT1" s="30"/>
      <c r="EAU1" s="30"/>
      <c r="EAV1" s="30"/>
      <c r="EAW1" s="30"/>
      <c r="EAX1" s="30"/>
      <c r="EAY1" s="30"/>
      <c r="EAZ1" s="30"/>
      <c r="EBA1" s="30"/>
      <c r="EBB1" s="30"/>
      <c r="EBC1" s="30"/>
      <c r="EBD1" s="30"/>
      <c r="EBE1" s="30"/>
      <c r="EBF1" s="30"/>
      <c r="EBG1" s="30"/>
      <c r="EBH1" s="30"/>
      <c r="EBI1" s="30"/>
      <c r="EBJ1" s="30"/>
      <c r="EBK1" s="30"/>
      <c r="EBL1" s="30"/>
      <c r="EBM1" s="30"/>
      <c r="EBN1" s="30"/>
      <c r="EBO1" s="30"/>
      <c r="EBP1" s="30"/>
      <c r="EBQ1" s="30"/>
      <c r="EBR1" s="30"/>
      <c r="EBS1" s="30"/>
      <c r="EBT1" s="30"/>
      <c r="EBU1" s="30"/>
      <c r="EBV1" s="30"/>
      <c r="EBW1" s="30"/>
      <c r="EBX1" s="30"/>
      <c r="EBY1" s="30"/>
      <c r="EBZ1" s="30"/>
      <c r="ECA1" s="30"/>
      <c r="ECB1" s="30"/>
      <c r="ECC1" s="30"/>
      <c r="ECD1" s="30"/>
      <c r="ECE1" s="30"/>
      <c r="ECF1" s="30"/>
      <c r="ECG1" s="30"/>
      <c r="ECH1" s="30"/>
      <c r="ECI1" s="30"/>
      <c r="ECJ1" s="30"/>
      <c r="ECK1" s="30"/>
      <c r="ECL1" s="30"/>
      <c r="ECM1" s="30"/>
      <c r="ECN1" s="30"/>
      <c r="ECO1" s="30"/>
      <c r="ECP1" s="30"/>
      <c r="ECQ1" s="30"/>
      <c r="ECR1" s="30"/>
      <c r="ECS1" s="30"/>
      <c r="ECT1" s="30"/>
      <c r="ECU1" s="30"/>
      <c r="ECV1" s="30"/>
      <c r="ECW1" s="30"/>
      <c r="ECX1" s="30"/>
      <c r="ECY1" s="30"/>
      <c r="ECZ1" s="30"/>
      <c r="EDA1" s="30"/>
      <c r="EDB1" s="30"/>
      <c r="EDC1" s="30"/>
      <c r="EDD1" s="30"/>
      <c r="EDE1" s="30"/>
      <c r="EDF1" s="30"/>
      <c r="EDG1" s="30"/>
      <c r="EDH1" s="30"/>
      <c r="EDI1" s="30"/>
      <c r="EDJ1" s="30"/>
      <c r="EDK1" s="30"/>
      <c r="EDL1" s="30"/>
      <c r="EDM1" s="30"/>
      <c r="EDN1" s="30"/>
      <c r="EDO1" s="30"/>
      <c r="EDP1" s="30"/>
      <c r="EDQ1" s="30"/>
      <c r="EDR1" s="30"/>
      <c r="EDS1" s="30"/>
      <c r="EDT1" s="30"/>
      <c r="EDU1" s="30"/>
      <c r="EDV1" s="30"/>
      <c r="EDW1" s="30"/>
      <c r="EDX1" s="30"/>
      <c r="EDY1" s="30"/>
      <c r="EDZ1" s="30"/>
      <c r="EEA1" s="30"/>
      <c r="EEB1" s="30"/>
      <c r="EEC1" s="30"/>
      <c r="EED1" s="30"/>
      <c r="EEE1" s="30"/>
      <c r="EEF1" s="30"/>
      <c r="EEG1" s="30"/>
      <c r="EEH1" s="30"/>
      <c r="EEI1" s="30"/>
      <c r="EEJ1" s="30"/>
      <c r="EEK1" s="30"/>
      <c r="EEL1" s="30"/>
      <c r="EEM1" s="30"/>
      <c r="EEN1" s="30"/>
      <c r="EEO1" s="30"/>
      <c r="EEP1" s="30"/>
      <c r="EEQ1" s="30"/>
      <c r="EER1" s="30"/>
      <c r="EES1" s="30"/>
      <c r="EET1" s="30"/>
      <c r="EEU1" s="30"/>
      <c r="EEV1" s="30"/>
      <c r="EEW1" s="30"/>
      <c r="EEX1" s="30"/>
      <c r="EEY1" s="30"/>
      <c r="EEZ1" s="30"/>
      <c r="EFA1" s="30"/>
      <c r="EFB1" s="30"/>
      <c r="EFC1" s="30"/>
      <c r="EFD1" s="30"/>
      <c r="EFE1" s="30"/>
      <c r="EFF1" s="30"/>
      <c r="EFG1" s="30"/>
      <c r="EFH1" s="30"/>
      <c r="EFI1" s="30"/>
      <c r="EFJ1" s="30"/>
      <c r="EFK1" s="30"/>
      <c r="EFL1" s="30"/>
      <c r="EFM1" s="30"/>
      <c r="EFN1" s="30"/>
      <c r="EFO1" s="30"/>
      <c r="EFP1" s="30"/>
      <c r="EFQ1" s="30"/>
      <c r="EFR1" s="30"/>
      <c r="EFS1" s="30"/>
      <c r="EFT1" s="30"/>
      <c r="EFU1" s="30"/>
      <c r="EFV1" s="30"/>
      <c r="EFW1" s="30"/>
      <c r="EFX1" s="30"/>
      <c r="EFY1" s="30"/>
      <c r="EFZ1" s="30"/>
      <c r="EGA1" s="30"/>
      <c r="EGB1" s="30"/>
      <c r="EGC1" s="30"/>
      <c r="EGD1" s="30"/>
      <c r="EGE1" s="30"/>
      <c r="EGF1" s="30"/>
      <c r="EGG1" s="30"/>
      <c r="EGH1" s="30"/>
      <c r="EGI1" s="30"/>
      <c r="EGJ1" s="30"/>
      <c r="EGK1" s="30"/>
      <c r="EGL1" s="30"/>
      <c r="EGM1" s="30"/>
      <c r="EGN1" s="30"/>
      <c r="EGO1" s="30"/>
      <c r="EGP1" s="30"/>
      <c r="EGQ1" s="30"/>
      <c r="EGR1" s="30"/>
      <c r="EGS1" s="30"/>
      <c r="EGT1" s="30"/>
      <c r="EGU1" s="30"/>
      <c r="EGV1" s="30"/>
      <c r="EGW1" s="30"/>
      <c r="EGX1" s="30"/>
      <c r="EGY1" s="30"/>
      <c r="EGZ1" s="30"/>
      <c r="EHA1" s="30"/>
      <c r="EHB1" s="30"/>
      <c r="EHC1" s="30"/>
      <c r="EHD1" s="30"/>
      <c r="EHE1" s="30"/>
      <c r="EHF1" s="30"/>
      <c r="EHG1" s="30"/>
      <c r="EHH1" s="30"/>
      <c r="EHI1" s="30"/>
      <c r="EHJ1" s="30"/>
      <c r="EHK1" s="30"/>
      <c r="EHL1" s="30"/>
      <c r="EHM1" s="30"/>
      <c r="EHN1" s="30"/>
      <c r="EHO1" s="30"/>
      <c r="EHP1" s="30"/>
      <c r="EHQ1" s="30"/>
      <c r="EHR1" s="30"/>
      <c r="EHS1" s="30"/>
      <c r="EHT1" s="30"/>
      <c r="EHU1" s="30"/>
      <c r="EHV1" s="30"/>
      <c r="EHW1" s="30"/>
      <c r="EHX1" s="30"/>
      <c r="EHY1" s="30"/>
      <c r="EHZ1" s="30"/>
      <c r="EIA1" s="30"/>
      <c r="EIB1" s="30"/>
      <c r="EIC1" s="30"/>
      <c r="EID1" s="30"/>
      <c r="EIE1" s="30"/>
      <c r="EIF1" s="30"/>
      <c r="EIG1" s="30"/>
      <c r="EIH1" s="30"/>
      <c r="EII1" s="30"/>
      <c r="EIJ1" s="30"/>
      <c r="EIK1" s="30"/>
      <c r="EIL1" s="30"/>
      <c r="EIM1" s="30"/>
      <c r="EIN1" s="30"/>
      <c r="EIO1" s="30"/>
      <c r="EIP1" s="30"/>
      <c r="EIQ1" s="30"/>
      <c r="EIR1" s="30"/>
      <c r="EIS1" s="30"/>
      <c r="EIT1" s="30"/>
      <c r="EIU1" s="30"/>
      <c r="EIV1" s="30"/>
      <c r="EIW1" s="30"/>
      <c r="EIX1" s="30"/>
      <c r="EIY1" s="30"/>
      <c r="EIZ1" s="30"/>
      <c r="EJA1" s="30"/>
      <c r="EJB1" s="30"/>
      <c r="EJC1" s="30"/>
      <c r="EJD1" s="30"/>
      <c r="EJE1" s="30"/>
      <c r="EJF1" s="30"/>
      <c r="EJG1" s="30"/>
      <c r="EJH1" s="30"/>
      <c r="EJI1" s="30"/>
      <c r="EJJ1" s="30"/>
      <c r="EJK1" s="30"/>
      <c r="EJL1" s="30"/>
      <c r="EJM1" s="30"/>
      <c r="EJN1" s="30"/>
      <c r="EJO1" s="30"/>
      <c r="EJP1" s="30"/>
      <c r="EJQ1" s="30"/>
      <c r="EJR1" s="30"/>
      <c r="EJS1" s="30"/>
      <c r="EJT1" s="30"/>
      <c r="EJU1" s="30"/>
      <c r="EJV1" s="30"/>
      <c r="EJW1" s="30"/>
      <c r="EJX1" s="30"/>
      <c r="EJY1" s="30"/>
      <c r="EJZ1" s="30"/>
      <c r="EKA1" s="30"/>
      <c r="EKB1" s="30"/>
      <c r="EKC1" s="30"/>
      <c r="EKD1" s="30"/>
      <c r="EKE1" s="30"/>
      <c r="EKF1" s="30"/>
      <c r="EKG1" s="30"/>
      <c r="EKH1" s="30"/>
      <c r="EKI1" s="30"/>
      <c r="EKJ1" s="30"/>
      <c r="EKK1" s="30"/>
      <c r="EKL1" s="30"/>
      <c r="EKM1" s="30"/>
      <c r="EKN1" s="30"/>
      <c r="EKO1" s="30"/>
      <c r="EKP1" s="30"/>
      <c r="EKQ1" s="30"/>
      <c r="EKR1" s="30"/>
      <c r="EKS1" s="30"/>
      <c r="EKT1" s="30"/>
      <c r="EKU1" s="30"/>
      <c r="EKV1" s="30"/>
      <c r="EKW1" s="30"/>
      <c r="EKX1" s="30"/>
      <c r="EKY1" s="30"/>
      <c r="EKZ1" s="30"/>
      <c r="ELA1" s="30"/>
      <c r="ELB1" s="30"/>
      <c r="ELC1" s="30"/>
      <c r="ELD1" s="30"/>
      <c r="ELE1" s="30"/>
      <c r="ELF1" s="30"/>
      <c r="ELG1" s="30"/>
      <c r="ELH1" s="30"/>
      <c r="ELI1" s="30"/>
      <c r="ELJ1" s="30"/>
      <c r="ELK1" s="30"/>
      <c r="ELL1" s="30"/>
      <c r="ELM1" s="30"/>
      <c r="ELN1" s="30"/>
      <c r="ELO1" s="30"/>
      <c r="ELP1" s="30"/>
      <c r="ELQ1" s="30"/>
      <c r="ELR1" s="30"/>
      <c r="ELS1" s="30"/>
      <c r="ELT1" s="30"/>
      <c r="ELU1" s="30"/>
      <c r="ELV1" s="30"/>
      <c r="ELW1" s="30"/>
      <c r="ELX1" s="30"/>
      <c r="ELY1" s="30"/>
      <c r="ELZ1" s="30"/>
      <c r="EMA1" s="30"/>
      <c r="EMB1" s="30"/>
      <c r="EMC1" s="30"/>
      <c r="EMD1" s="30"/>
      <c r="EME1" s="30"/>
      <c r="EMF1" s="30"/>
      <c r="EMG1" s="30"/>
      <c r="EMH1" s="30"/>
      <c r="EMI1" s="30"/>
      <c r="EMJ1" s="30"/>
      <c r="EMK1" s="30"/>
      <c r="EML1" s="30"/>
      <c r="EMM1" s="30"/>
      <c r="EMN1" s="30"/>
      <c r="EMO1" s="30"/>
      <c r="EMP1" s="30"/>
      <c r="EMQ1" s="30"/>
      <c r="EMR1" s="30"/>
      <c r="EMS1" s="30"/>
      <c r="EMT1" s="30"/>
      <c r="EMU1" s="30"/>
      <c r="EMV1" s="30"/>
      <c r="EMW1" s="30"/>
      <c r="EMX1" s="30"/>
      <c r="EMY1" s="30"/>
      <c r="EMZ1" s="30"/>
      <c r="ENA1" s="30"/>
      <c r="ENB1" s="30"/>
      <c r="ENC1" s="30"/>
      <c r="END1" s="30"/>
      <c r="ENE1" s="30"/>
      <c r="ENF1" s="30"/>
      <c r="ENG1" s="30"/>
      <c r="ENH1" s="30"/>
      <c r="ENI1" s="30"/>
      <c r="ENJ1" s="30"/>
      <c r="ENK1" s="30"/>
      <c r="ENL1" s="30"/>
      <c r="ENM1" s="30"/>
      <c r="ENN1" s="30"/>
      <c r="ENO1" s="30"/>
      <c r="ENP1" s="30"/>
      <c r="ENQ1" s="30"/>
      <c r="ENR1" s="30"/>
      <c r="ENS1" s="30"/>
      <c r="ENT1" s="30"/>
      <c r="ENU1" s="30"/>
      <c r="ENV1" s="30"/>
      <c r="ENW1" s="30"/>
      <c r="ENX1" s="30"/>
      <c r="ENY1" s="30"/>
      <c r="ENZ1" s="30"/>
      <c r="EOA1" s="30"/>
      <c r="EOB1" s="30"/>
      <c r="EOC1" s="30"/>
      <c r="EOD1" s="30"/>
      <c r="EOE1" s="30"/>
      <c r="EOF1" s="30"/>
      <c r="EOG1" s="30"/>
      <c r="EOH1" s="30"/>
      <c r="EOI1" s="30"/>
      <c r="EOJ1" s="30"/>
      <c r="EOK1" s="30"/>
      <c r="EOL1" s="30"/>
      <c r="EOM1" s="30"/>
      <c r="EON1" s="30"/>
      <c r="EOO1" s="30"/>
      <c r="EOP1" s="30"/>
      <c r="EOQ1" s="30"/>
      <c r="EOR1" s="30"/>
      <c r="EOS1" s="30"/>
      <c r="EOT1" s="30"/>
      <c r="EOU1" s="30"/>
      <c r="EOV1" s="30"/>
      <c r="EOW1" s="30"/>
      <c r="EOX1" s="30"/>
      <c r="EOY1" s="30"/>
      <c r="EOZ1" s="30"/>
      <c r="EPA1" s="30"/>
      <c r="EPB1" s="30"/>
      <c r="EPC1" s="30"/>
      <c r="EPD1" s="30"/>
      <c r="EPE1" s="30"/>
      <c r="EPF1" s="30"/>
      <c r="EPG1" s="30"/>
      <c r="EPH1" s="30"/>
      <c r="EPI1" s="30"/>
      <c r="EPJ1" s="30"/>
      <c r="EPK1" s="30"/>
      <c r="EPL1" s="30"/>
      <c r="EPM1" s="30"/>
      <c r="EPN1" s="30"/>
      <c r="EPO1" s="30"/>
      <c r="EPP1" s="30"/>
      <c r="EPQ1" s="30"/>
      <c r="EPR1" s="30"/>
      <c r="EPS1" s="30"/>
      <c r="EPT1" s="30"/>
      <c r="EPU1" s="30"/>
      <c r="EPV1" s="30"/>
      <c r="EPW1" s="30"/>
      <c r="EPX1" s="30"/>
      <c r="EPY1" s="30"/>
      <c r="EPZ1" s="30"/>
      <c r="EQA1" s="30"/>
      <c r="EQB1" s="30"/>
      <c r="EQC1" s="30"/>
      <c r="EQD1" s="30"/>
      <c r="EQE1" s="30"/>
      <c r="EQF1" s="30"/>
      <c r="EQG1" s="30"/>
      <c r="EQH1" s="30"/>
      <c r="EQI1" s="30"/>
      <c r="EQJ1" s="30"/>
      <c r="EQK1" s="30"/>
      <c r="EQL1" s="30"/>
      <c r="EQM1" s="30"/>
      <c r="EQN1" s="30"/>
      <c r="EQO1" s="30"/>
      <c r="EQP1" s="30"/>
      <c r="EQQ1" s="30"/>
      <c r="EQR1" s="30"/>
      <c r="EQS1" s="30"/>
      <c r="EQT1" s="30"/>
      <c r="EQU1" s="30"/>
      <c r="EQV1" s="30"/>
      <c r="EQW1" s="30"/>
      <c r="EQX1" s="30"/>
      <c r="EQY1" s="30"/>
      <c r="EQZ1" s="30"/>
      <c r="ERA1" s="30"/>
      <c r="ERB1" s="30"/>
      <c r="ERC1" s="30"/>
      <c r="ERD1" s="30"/>
      <c r="ERE1" s="30"/>
      <c r="ERF1" s="30"/>
      <c r="ERG1" s="30"/>
      <c r="ERH1" s="30"/>
      <c r="ERI1" s="30"/>
      <c r="ERJ1" s="30"/>
      <c r="ERK1" s="30"/>
      <c r="ERL1" s="30"/>
      <c r="ERM1" s="30"/>
      <c r="ERN1" s="30"/>
      <c r="ERO1" s="30"/>
      <c r="ERP1" s="30"/>
      <c r="ERQ1" s="30"/>
      <c r="ERR1" s="30"/>
      <c r="ERS1" s="30"/>
      <c r="ERT1" s="30"/>
      <c r="ERU1" s="30"/>
      <c r="ERV1" s="30"/>
      <c r="ERW1" s="30"/>
      <c r="ERX1" s="30"/>
      <c r="ERY1" s="30"/>
      <c r="ERZ1" s="30"/>
      <c r="ESA1" s="30"/>
      <c r="ESB1" s="30"/>
      <c r="ESC1" s="30"/>
      <c r="ESD1" s="30"/>
      <c r="ESE1" s="30"/>
      <c r="ESF1" s="30"/>
      <c r="ESG1" s="30"/>
      <c r="ESH1" s="30"/>
      <c r="ESI1" s="30"/>
      <c r="ESJ1" s="30"/>
      <c r="ESK1" s="30"/>
      <c r="ESL1" s="30"/>
      <c r="ESM1" s="30"/>
      <c r="ESN1" s="30"/>
      <c r="ESO1" s="30"/>
      <c r="ESP1" s="30"/>
      <c r="ESQ1" s="30"/>
      <c r="ESR1" s="30"/>
      <c r="ESS1" s="30"/>
      <c r="EST1" s="30"/>
      <c r="ESU1" s="30"/>
      <c r="ESV1" s="30"/>
      <c r="ESW1" s="30"/>
      <c r="ESX1" s="30"/>
      <c r="ESY1" s="30"/>
      <c r="ESZ1" s="30"/>
      <c r="ETA1" s="30"/>
      <c r="ETB1" s="30"/>
      <c r="ETC1" s="30"/>
      <c r="ETD1" s="30"/>
      <c r="ETE1" s="30"/>
      <c r="ETF1" s="30"/>
      <c r="ETG1" s="30"/>
      <c r="ETH1" s="30"/>
      <c r="ETI1" s="30"/>
      <c r="ETJ1" s="30"/>
      <c r="ETK1" s="30"/>
      <c r="ETL1" s="30"/>
      <c r="ETM1" s="30"/>
      <c r="ETN1" s="30"/>
      <c r="ETO1" s="30"/>
      <c r="ETP1" s="30"/>
      <c r="ETQ1" s="30"/>
      <c r="ETR1" s="30"/>
      <c r="ETS1" s="30"/>
      <c r="ETT1" s="30"/>
      <c r="ETU1" s="30"/>
      <c r="ETV1" s="30"/>
      <c r="ETW1" s="30"/>
      <c r="ETX1" s="30"/>
      <c r="ETY1" s="30"/>
      <c r="ETZ1" s="30"/>
      <c r="EUA1" s="30"/>
      <c r="EUB1" s="30"/>
      <c r="EUC1" s="30"/>
      <c r="EUD1" s="30"/>
      <c r="EUE1" s="30"/>
      <c r="EUF1" s="30"/>
      <c r="EUG1" s="30"/>
      <c r="EUH1" s="30"/>
      <c r="EUI1" s="30"/>
      <c r="EUJ1" s="30"/>
      <c r="EUK1" s="30"/>
      <c r="EUL1" s="30"/>
      <c r="EUM1" s="30"/>
      <c r="EUN1" s="30"/>
      <c r="EUO1" s="30"/>
      <c r="EUP1" s="30"/>
      <c r="EUQ1" s="30"/>
      <c r="EUR1" s="30"/>
      <c r="EUS1" s="30"/>
      <c r="EUT1" s="30"/>
      <c r="EUU1" s="30"/>
      <c r="EUV1" s="30"/>
      <c r="EUW1" s="30"/>
      <c r="EUX1" s="30"/>
      <c r="EUY1" s="30"/>
      <c r="EUZ1" s="30"/>
      <c r="EVA1" s="30"/>
      <c r="EVB1" s="30"/>
      <c r="EVC1" s="30"/>
      <c r="EVD1" s="30"/>
      <c r="EVE1" s="30"/>
      <c r="EVF1" s="30"/>
      <c r="EVG1" s="30"/>
      <c r="EVH1" s="30"/>
      <c r="EVI1" s="30"/>
      <c r="EVJ1" s="30"/>
      <c r="EVK1" s="30"/>
      <c r="EVL1" s="30"/>
      <c r="EVM1" s="30"/>
      <c r="EVN1" s="30"/>
      <c r="EVO1" s="30"/>
      <c r="EVP1" s="30"/>
      <c r="EVQ1" s="30"/>
      <c r="EVR1" s="30"/>
      <c r="EVS1" s="30"/>
      <c r="EVT1" s="30"/>
      <c r="EVU1" s="30"/>
      <c r="EVV1" s="30"/>
      <c r="EVW1" s="30"/>
      <c r="EVX1" s="30"/>
      <c r="EVY1" s="30"/>
      <c r="EVZ1" s="30"/>
      <c r="EWA1" s="30"/>
      <c r="EWB1" s="30"/>
      <c r="EWC1" s="30"/>
      <c r="EWD1" s="30"/>
      <c r="EWE1" s="30"/>
      <c r="EWF1" s="30"/>
      <c r="EWG1" s="30"/>
      <c r="EWH1" s="30"/>
      <c r="EWI1" s="30"/>
      <c r="EWJ1" s="30"/>
      <c r="EWK1" s="30"/>
      <c r="EWL1" s="30"/>
      <c r="EWM1" s="30"/>
      <c r="EWN1" s="30"/>
      <c r="EWO1" s="30"/>
      <c r="EWP1" s="30"/>
      <c r="EWQ1" s="30"/>
      <c r="EWR1" s="30"/>
      <c r="EWS1" s="30"/>
      <c r="EWT1" s="30"/>
      <c r="EWU1" s="30"/>
      <c r="EWV1" s="30"/>
      <c r="EWW1" s="30"/>
      <c r="EWX1" s="30"/>
      <c r="EWY1" s="30"/>
      <c r="EWZ1" s="30"/>
      <c r="EXA1" s="30"/>
      <c r="EXB1" s="30"/>
      <c r="EXC1" s="30"/>
      <c r="EXD1" s="30"/>
      <c r="EXE1" s="30"/>
      <c r="EXF1" s="30"/>
      <c r="EXG1" s="30"/>
      <c r="EXH1" s="30"/>
      <c r="EXI1" s="30"/>
      <c r="EXJ1" s="30"/>
      <c r="EXK1" s="30"/>
      <c r="EXL1" s="30"/>
      <c r="EXM1" s="30"/>
      <c r="EXN1" s="30"/>
      <c r="EXO1" s="30"/>
      <c r="EXP1" s="30"/>
      <c r="EXQ1" s="30"/>
      <c r="EXR1" s="30"/>
      <c r="EXS1" s="30"/>
      <c r="EXT1" s="30"/>
      <c r="EXU1" s="30"/>
      <c r="EXV1" s="30"/>
      <c r="EXW1" s="30"/>
      <c r="EXX1" s="30"/>
      <c r="EXY1" s="30"/>
      <c r="EXZ1" s="30"/>
      <c r="EYA1" s="30"/>
      <c r="EYB1" s="30"/>
      <c r="EYC1" s="30"/>
      <c r="EYD1" s="30"/>
      <c r="EYE1" s="30"/>
      <c r="EYF1" s="30"/>
      <c r="EYG1" s="30"/>
      <c r="EYH1" s="30"/>
      <c r="EYI1" s="30"/>
      <c r="EYJ1" s="30"/>
      <c r="EYK1" s="30"/>
      <c r="EYL1" s="30"/>
      <c r="EYM1" s="30"/>
      <c r="EYN1" s="30"/>
      <c r="EYO1" s="30"/>
      <c r="EYP1" s="30"/>
      <c r="EYQ1" s="30"/>
      <c r="EYR1" s="30"/>
      <c r="EYS1" s="30"/>
      <c r="EYT1" s="30"/>
      <c r="EYU1" s="30"/>
      <c r="EYV1" s="30"/>
      <c r="EYW1" s="30"/>
      <c r="EYX1" s="30"/>
      <c r="EYY1" s="30"/>
      <c r="EYZ1" s="30"/>
      <c r="EZA1" s="30"/>
      <c r="EZB1" s="30"/>
      <c r="EZC1" s="30"/>
      <c r="EZD1" s="30"/>
      <c r="EZE1" s="30"/>
      <c r="EZF1" s="30"/>
      <c r="EZG1" s="30"/>
      <c r="EZH1" s="30"/>
      <c r="EZI1" s="30"/>
      <c r="EZJ1" s="30"/>
      <c r="EZK1" s="30"/>
      <c r="EZL1" s="30"/>
      <c r="EZM1" s="30"/>
      <c r="EZN1" s="30"/>
      <c r="EZO1" s="30"/>
      <c r="EZP1" s="30"/>
      <c r="EZQ1" s="30"/>
      <c r="EZR1" s="30"/>
      <c r="EZS1" s="30"/>
      <c r="EZT1" s="30"/>
      <c r="EZU1" s="30"/>
      <c r="EZV1" s="30"/>
      <c r="EZW1" s="30"/>
      <c r="EZX1" s="30"/>
      <c r="EZY1" s="30"/>
      <c r="EZZ1" s="30"/>
      <c r="FAA1" s="30"/>
      <c r="FAB1" s="30"/>
      <c r="FAC1" s="30"/>
      <c r="FAD1" s="30"/>
      <c r="FAE1" s="30"/>
      <c r="FAF1" s="30"/>
      <c r="FAG1" s="30"/>
      <c r="FAH1" s="30"/>
      <c r="FAI1" s="30"/>
      <c r="FAJ1" s="30"/>
      <c r="FAK1" s="30"/>
      <c r="FAL1" s="30"/>
      <c r="FAM1" s="30"/>
      <c r="FAN1" s="30"/>
      <c r="FAO1" s="30"/>
      <c r="FAP1" s="30"/>
      <c r="FAQ1" s="30"/>
      <c r="FAR1" s="30"/>
      <c r="FAS1" s="30"/>
      <c r="FAT1" s="30"/>
      <c r="FAU1" s="30"/>
      <c r="FAV1" s="30"/>
      <c r="FAW1" s="30"/>
      <c r="FAX1" s="30"/>
      <c r="FAY1" s="30"/>
      <c r="FAZ1" s="30"/>
      <c r="FBA1" s="30"/>
      <c r="FBB1" s="30"/>
      <c r="FBC1" s="30"/>
      <c r="FBD1" s="30"/>
      <c r="FBE1" s="30"/>
      <c r="FBF1" s="30"/>
      <c r="FBG1" s="30"/>
      <c r="FBH1" s="30"/>
      <c r="FBI1" s="30"/>
      <c r="FBJ1" s="30"/>
      <c r="FBK1" s="30"/>
      <c r="FBL1" s="30"/>
      <c r="FBM1" s="30"/>
      <c r="FBN1" s="30"/>
      <c r="FBO1" s="30"/>
      <c r="FBP1" s="30"/>
      <c r="FBQ1" s="30"/>
      <c r="FBR1" s="30"/>
      <c r="FBS1" s="30"/>
      <c r="FBT1" s="30"/>
      <c r="FBU1" s="30"/>
      <c r="FBV1" s="30"/>
      <c r="FBW1" s="30"/>
      <c r="FBX1" s="30"/>
      <c r="FBY1" s="30"/>
      <c r="FBZ1" s="30"/>
      <c r="FCA1" s="30"/>
      <c r="FCB1" s="30"/>
      <c r="FCC1" s="30"/>
      <c r="FCD1" s="30"/>
      <c r="FCE1" s="30"/>
      <c r="FCF1" s="30"/>
      <c r="FCG1" s="30"/>
      <c r="FCH1" s="30"/>
      <c r="FCI1" s="30"/>
      <c r="FCJ1" s="30"/>
      <c r="FCK1" s="30"/>
      <c r="FCL1" s="30"/>
      <c r="FCM1" s="30"/>
      <c r="FCN1" s="30"/>
      <c r="FCO1" s="30"/>
      <c r="FCP1" s="30"/>
      <c r="FCQ1" s="30"/>
      <c r="FCR1" s="30"/>
      <c r="FCS1" s="30"/>
      <c r="FCT1" s="30"/>
      <c r="FCU1" s="30"/>
      <c r="FCV1" s="30"/>
      <c r="FCW1" s="30"/>
      <c r="FCX1" s="30"/>
      <c r="FCY1" s="30"/>
      <c r="FCZ1" s="30"/>
      <c r="FDA1" s="30"/>
      <c r="FDB1" s="30"/>
      <c r="FDC1" s="30"/>
      <c r="FDD1" s="30"/>
      <c r="FDE1" s="30"/>
      <c r="FDF1" s="30"/>
      <c r="FDG1" s="30"/>
      <c r="FDH1" s="30"/>
      <c r="FDI1" s="30"/>
      <c r="FDJ1" s="30"/>
      <c r="FDK1" s="30"/>
      <c r="FDL1" s="30"/>
      <c r="FDM1" s="30"/>
      <c r="FDN1" s="30"/>
      <c r="FDO1" s="30"/>
      <c r="FDP1" s="30"/>
      <c r="FDQ1" s="30"/>
      <c r="FDR1" s="30"/>
      <c r="FDS1" s="30"/>
      <c r="FDT1" s="30"/>
      <c r="FDU1" s="30"/>
      <c r="FDV1" s="30"/>
      <c r="FDW1" s="30"/>
      <c r="FDX1" s="30"/>
      <c r="FDY1" s="30"/>
      <c r="FDZ1" s="30"/>
      <c r="FEA1" s="30"/>
      <c r="FEB1" s="30"/>
      <c r="FEC1" s="30"/>
      <c r="FED1" s="30"/>
      <c r="FEE1" s="30"/>
      <c r="FEF1" s="30"/>
      <c r="FEG1" s="30"/>
      <c r="FEH1" s="30"/>
      <c r="FEI1" s="30"/>
      <c r="FEJ1" s="30"/>
      <c r="FEK1" s="30"/>
      <c r="FEL1" s="30"/>
      <c r="FEM1" s="30"/>
      <c r="FEN1" s="30"/>
      <c r="FEO1" s="30"/>
      <c r="FEP1" s="30"/>
      <c r="FEQ1" s="30"/>
      <c r="FER1" s="30"/>
      <c r="FES1" s="30"/>
      <c r="FET1" s="30"/>
      <c r="FEU1" s="30"/>
      <c r="FEV1" s="30"/>
      <c r="FEW1" s="30"/>
      <c r="FEX1" s="30"/>
      <c r="FEY1" s="30"/>
      <c r="FEZ1" s="30"/>
      <c r="FFA1" s="30"/>
      <c r="FFB1" s="30"/>
      <c r="FFC1" s="30"/>
      <c r="FFD1" s="30"/>
      <c r="FFE1" s="30"/>
      <c r="FFF1" s="30"/>
      <c r="FFG1" s="30"/>
      <c r="FFH1" s="30"/>
      <c r="FFI1" s="30"/>
      <c r="FFJ1" s="30"/>
      <c r="FFK1" s="30"/>
      <c r="FFL1" s="30"/>
      <c r="FFM1" s="30"/>
      <c r="FFN1" s="30"/>
      <c r="FFO1" s="30"/>
      <c r="FFP1" s="30"/>
      <c r="FFQ1" s="30"/>
      <c r="FFR1" s="30"/>
      <c r="FFS1" s="30"/>
      <c r="FFT1" s="30"/>
      <c r="FFU1" s="30"/>
      <c r="FFV1" s="30"/>
      <c r="FFW1" s="30"/>
      <c r="FFX1" s="30"/>
      <c r="FFY1" s="30"/>
      <c r="FFZ1" s="30"/>
      <c r="FGA1" s="30"/>
      <c r="FGB1" s="30"/>
      <c r="FGC1" s="30"/>
      <c r="FGD1" s="30"/>
      <c r="FGE1" s="30"/>
      <c r="FGF1" s="30"/>
      <c r="FGG1" s="30"/>
      <c r="FGH1" s="30"/>
      <c r="FGI1" s="30"/>
      <c r="FGJ1" s="30"/>
      <c r="FGK1" s="30"/>
      <c r="FGL1" s="30"/>
      <c r="FGM1" s="30"/>
      <c r="FGN1" s="30"/>
      <c r="FGO1" s="30"/>
      <c r="FGP1" s="30"/>
      <c r="FGQ1" s="30"/>
      <c r="FGR1" s="30"/>
      <c r="FGS1" s="30"/>
      <c r="FGT1" s="30"/>
      <c r="FGU1" s="30"/>
      <c r="FGV1" s="30"/>
      <c r="FGW1" s="30"/>
      <c r="FGX1" s="30"/>
      <c r="FGY1" s="30"/>
      <c r="FGZ1" s="30"/>
      <c r="FHA1" s="30"/>
      <c r="FHB1" s="30"/>
      <c r="FHC1" s="30"/>
      <c r="FHD1" s="30"/>
      <c r="FHE1" s="30"/>
      <c r="FHF1" s="30"/>
      <c r="FHG1" s="30"/>
      <c r="FHH1" s="30"/>
      <c r="FHI1" s="30"/>
      <c r="FHJ1" s="30"/>
      <c r="FHK1" s="30"/>
      <c r="FHL1" s="30"/>
      <c r="FHM1" s="30"/>
      <c r="FHN1" s="30"/>
      <c r="FHO1" s="30"/>
      <c r="FHP1" s="30"/>
      <c r="FHQ1" s="30"/>
      <c r="FHR1" s="30"/>
      <c r="FHS1" s="30"/>
      <c r="FHT1" s="30"/>
      <c r="FHU1" s="30"/>
      <c r="FHV1" s="30"/>
      <c r="FHW1" s="30"/>
      <c r="FHX1" s="30"/>
      <c r="FHY1" s="30"/>
      <c r="FHZ1" s="30"/>
      <c r="FIA1" s="30"/>
      <c r="FIB1" s="30"/>
      <c r="FIC1" s="30"/>
      <c r="FID1" s="30"/>
      <c r="FIE1" s="30"/>
      <c r="FIF1" s="30"/>
      <c r="FIG1" s="30"/>
      <c r="FIH1" s="30"/>
      <c r="FII1" s="30"/>
      <c r="FIJ1" s="30"/>
      <c r="FIK1" s="30"/>
      <c r="FIL1" s="30"/>
      <c r="FIM1" s="30"/>
      <c r="FIN1" s="30"/>
      <c r="FIO1" s="30"/>
      <c r="FIP1" s="30"/>
      <c r="FIQ1" s="30"/>
      <c r="FIR1" s="30"/>
      <c r="FIS1" s="30"/>
      <c r="FIT1" s="30"/>
      <c r="FIU1" s="30"/>
      <c r="FIV1" s="30"/>
      <c r="FIW1" s="30"/>
      <c r="FIX1" s="30"/>
      <c r="FIY1" s="30"/>
      <c r="FIZ1" s="30"/>
      <c r="FJA1" s="30"/>
      <c r="FJB1" s="30"/>
      <c r="FJC1" s="30"/>
      <c r="FJD1" s="30"/>
      <c r="FJE1" s="30"/>
      <c r="FJF1" s="30"/>
      <c r="FJG1" s="30"/>
      <c r="FJH1" s="30"/>
      <c r="FJI1" s="30"/>
      <c r="FJJ1" s="30"/>
      <c r="FJK1" s="30"/>
      <c r="FJL1" s="30"/>
      <c r="FJM1" s="30"/>
      <c r="FJN1" s="30"/>
      <c r="FJO1" s="30"/>
      <c r="FJP1" s="30"/>
      <c r="FJQ1" s="30"/>
      <c r="FJR1" s="30"/>
      <c r="FJS1" s="30"/>
      <c r="FJT1" s="30"/>
      <c r="FJU1" s="30"/>
      <c r="FJV1" s="30"/>
      <c r="FJW1" s="30"/>
      <c r="FJX1" s="30"/>
      <c r="FJY1" s="30"/>
      <c r="FJZ1" s="30"/>
      <c r="FKA1" s="30"/>
      <c r="FKB1" s="30"/>
      <c r="FKC1" s="30"/>
      <c r="FKD1" s="30"/>
      <c r="FKE1" s="30"/>
      <c r="FKF1" s="30"/>
      <c r="FKG1" s="30"/>
      <c r="FKH1" s="30"/>
      <c r="FKI1" s="30"/>
      <c r="FKJ1" s="30"/>
      <c r="FKK1" s="30"/>
      <c r="FKL1" s="30"/>
      <c r="FKM1" s="30"/>
      <c r="FKN1" s="30"/>
      <c r="FKO1" s="30"/>
      <c r="FKP1" s="30"/>
      <c r="FKQ1" s="30"/>
      <c r="FKR1" s="30"/>
      <c r="FKS1" s="30"/>
      <c r="FKT1" s="30"/>
      <c r="FKU1" s="30"/>
      <c r="FKV1" s="30"/>
      <c r="FKW1" s="30"/>
      <c r="FKX1" s="30"/>
      <c r="FKY1" s="30"/>
      <c r="FKZ1" s="30"/>
      <c r="FLA1" s="30"/>
      <c r="FLB1" s="30"/>
      <c r="FLC1" s="30"/>
      <c r="FLD1" s="30"/>
      <c r="FLE1" s="30"/>
      <c r="FLF1" s="30"/>
      <c r="FLG1" s="30"/>
      <c r="FLH1" s="30"/>
      <c r="FLI1" s="30"/>
      <c r="FLJ1" s="30"/>
      <c r="FLK1" s="30"/>
      <c r="FLL1" s="30"/>
      <c r="FLM1" s="30"/>
      <c r="FLN1" s="30"/>
      <c r="FLO1" s="30"/>
      <c r="FLP1" s="30"/>
      <c r="FLQ1" s="30"/>
      <c r="FLR1" s="30"/>
      <c r="FLS1" s="30"/>
      <c r="FLT1" s="30"/>
      <c r="FLU1" s="30"/>
      <c r="FLV1" s="30"/>
      <c r="FLW1" s="30"/>
      <c r="FLX1" s="30"/>
      <c r="FLY1" s="30"/>
      <c r="FLZ1" s="30"/>
      <c r="FMA1" s="30"/>
      <c r="FMB1" s="30"/>
      <c r="FMC1" s="30"/>
      <c r="FMD1" s="30"/>
      <c r="FME1" s="30"/>
      <c r="FMF1" s="30"/>
      <c r="FMG1" s="30"/>
      <c r="FMH1" s="30"/>
      <c r="FMI1" s="30"/>
      <c r="FMJ1" s="30"/>
      <c r="FMK1" s="30"/>
      <c r="FML1" s="30"/>
      <c r="FMM1" s="30"/>
      <c r="FMN1" s="30"/>
      <c r="FMO1" s="30"/>
      <c r="FMP1" s="30"/>
      <c r="FMQ1" s="30"/>
      <c r="FMR1" s="30"/>
      <c r="FMS1" s="30"/>
      <c r="FMT1" s="30"/>
      <c r="FMU1" s="30"/>
      <c r="FMV1" s="30"/>
      <c r="FMW1" s="30"/>
      <c r="FMX1" s="30"/>
      <c r="FMY1" s="30"/>
      <c r="FMZ1" s="30"/>
      <c r="FNA1" s="30"/>
      <c r="FNB1" s="30"/>
      <c r="FNC1" s="30"/>
      <c r="FND1" s="30"/>
      <c r="FNE1" s="30"/>
      <c r="FNF1" s="30"/>
      <c r="FNG1" s="30"/>
      <c r="FNH1" s="30"/>
      <c r="FNI1" s="30"/>
      <c r="FNJ1" s="30"/>
      <c r="FNK1" s="30"/>
      <c r="FNL1" s="30"/>
      <c r="FNM1" s="30"/>
      <c r="FNN1" s="30"/>
      <c r="FNO1" s="30"/>
      <c r="FNP1" s="30"/>
      <c r="FNQ1" s="30"/>
      <c r="FNR1" s="30"/>
      <c r="FNS1" s="30"/>
      <c r="FNT1" s="30"/>
      <c r="FNU1" s="30"/>
      <c r="FNV1" s="30"/>
      <c r="FNW1" s="30"/>
      <c r="FNX1" s="30"/>
      <c r="FNY1" s="30"/>
      <c r="FNZ1" s="30"/>
      <c r="FOA1" s="30"/>
      <c r="FOB1" s="30"/>
      <c r="FOC1" s="30"/>
      <c r="FOD1" s="30"/>
      <c r="FOE1" s="30"/>
      <c r="FOF1" s="30"/>
      <c r="FOG1" s="30"/>
      <c r="FOH1" s="30"/>
      <c r="FOI1" s="30"/>
      <c r="FOJ1" s="30"/>
      <c r="FOK1" s="30"/>
      <c r="FOL1" s="30"/>
      <c r="FOM1" s="30"/>
      <c r="FON1" s="30"/>
      <c r="FOO1" s="30"/>
      <c r="FOP1" s="30"/>
      <c r="FOQ1" s="30"/>
      <c r="FOR1" s="30"/>
      <c r="FOS1" s="30"/>
      <c r="FOT1" s="30"/>
      <c r="FOU1" s="30"/>
      <c r="FOV1" s="30"/>
      <c r="FOW1" s="30"/>
      <c r="FOX1" s="30"/>
      <c r="FOY1" s="30"/>
      <c r="FOZ1" s="30"/>
      <c r="FPA1" s="30"/>
      <c r="FPB1" s="30"/>
      <c r="FPC1" s="30"/>
      <c r="FPD1" s="30"/>
      <c r="FPE1" s="30"/>
      <c r="FPF1" s="30"/>
      <c r="FPG1" s="30"/>
      <c r="FPH1" s="30"/>
      <c r="FPI1" s="30"/>
      <c r="FPJ1" s="30"/>
      <c r="FPK1" s="30"/>
      <c r="FPL1" s="30"/>
      <c r="FPM1" s="30"/>
      <c r="FPN1" s="30"/>
      <c r="FPO1" s="30"/>
      <c r="FPP1" s="30"/>
      <c r="FPQ1" s="30"/>
      <c r="FPR1" s="30"/>
      <c r="FPS1" s="30"/>
      <c r="FPT1" s="30"/>
      <c r="FPU1" s="30"/>
      <c r="FPV1" s="30"/>
      <c r="FPW1" s="30"/>
      <c r="FPX1" s="30"/>
      <c r="FPY1" s="30"/>
      <c r="FPZ1" s="30"/>
      <c r="FQA1" s="30"/>
      <c r="FQB1" s="30"/>
      <c r="FQC1" s="30"/>
      <c r="FQD1" s="30"/>
      <c r="FQE1" s="30"/>
      <c r="FQF1" s="30"/>
      <c r="FQG1" s="30"/>
      <c r="FQH1" s="30"/>
      <c r="FQI1" s="30"/>
      <c r="FQJ1" s="30"/>
      <c r="FQK1" s="30"/>
      <c r="FQL1" s="30"/>
      <c r="FQM1" s="30"/>
      <c r="FQN1" s="30"/>
      <c r="FQO1" s="30"/>
      <c r="FQP1" s="30"/>
      <c r="FQQ1" s="30"/>
      <c r="FQR1" s="30"/>
      <c r="FQS1" s="30"/>
      <c r="FQT1" s="30"/>
      <c r="FQU1" s="30"/>
      <c r="FQV1" s="30"/>
      <c r="FQW1" s="30"/>
      <c r="FQX1" s="30"/>
      <c r="FQY1" s="30"/>
      <c r="FQZ1" s="30"/>
      <c r="FRA1" s="30"/>
      <c r="FRB1" s="30"/>
      <c r="FRC1" s="30"/>
      <c r="FRD1" s="30"/>
      <c r="FRE1" s="30"/>
      <c r="FRF1" s="30"/>
      <c r="FRG1" s="30"/>
      <c r="FRH1" s="30"/>
      <c r="FRI1" s="30"/>
      <c r="FRJ1" s="30"/>
      <c r="FRK1" s="30"/>
      <c r="FRL1" s="30"/>
      <c r="FRM1" s="30"/>
      <c r="FRN1" s="30"/>
      <c r="FRO1" s="30"/>
      <c r="FRP1" s="30"/>
      <c r="FRQ1" s="30"/>
      <c r="FRR1" s="30"/>
      <c r="FRS1" s="30"/>
      <c r="FRT1" s="30"/>
      <c r="FRU1" s="30"/>
      <c r="FRV1" s="30"/>
      <c r="FRW1" s="30"/>
      <c r="FRX1" s="30"/>
      <c r="FRY1" s="30"/>
      <c r="FRZ1" s="30"/>
      <c r="FSA1" s="30"/>
      <c r="FSB1" s="30"/>
      <c r="FSC1" s="30"/>
      <c r="FSD1" s="30"/>
      <c r="FSE1" s="30"/>
      <c r="FSF1" s="30"/>
      <c r="FSG1" s="30"/>
      <c r="FSH1" s="30"/>
      <c r="FSI1" s="30"/>
      <c r="FSJ1" s="30"/>
      <c r="FSK1" s="30"/>
      <c r="FSL1" s="30"/>
      <c r="FSM1" s="30"/>
      <c r="FSN1" s="30"/>
      <c r="FSO1" s="30"/>
      <c r="FSP1" s="30"/>
      <c r="FSQ1" s="30"/>
      <c r="FSR1" s="30"/>
      <c r="FSS1" s="30"/>
      <c r="FST1" s="30"/>
      <c r="FSU1" s="30"/>
      <c r="FSV1" s="30"/>
      <c r="FSW1" s="30"/>
      <c r="FSX1" s="30"/>
      <c r="FSY1" s="30"/>
      <c r="FSZ1" s="30"/>
      <c r="FTA1" s="30"/>
      <c r="FTB1" s="30"/>
      <c r="FTC1" s="30"/>
      <c r="FTD1" s="30"/>
      <c r="FTE1" s="30"/>
      <c r="FTF1" s="30"/>
      <c r="FTG1" s="30"/>
      <c r="FTH1" s="30"/>
      <c r="FTI1" s="30"/>
      <c r="FTJ1" s="30"/>
      <c r="FTK1" s="30"/>
      <c r="FTL1" s="30"/>
      <c r="FTM1" s="30"/>
      <c r="FTN1" s="30"/>
      <c r="FTO1" s="30"/>
      <c r="FTP1" s="30"/>
      <c r="FTQ1" s="30"/>
      <c r="FTR1" s="30"/>
      <c r="FTS1" s="30"/>
      <c r="FTT1" s="30"/>
      <c r="FTU1" s="30"/>
      <c r="FTV1" s="30"/>
      <c r="FTW1" s="30"/>
      <c r="FTX1" s="30"/>
      <c r="FTY1" s="30"/>
      <c r="FTZ1" s="30"/>
      <c r="FUA1" s="30"/>
      <c r="FUB1" s="30"/>
      <c r="FUC1" s="30"/>
      <c r="FUD1" s="30"/>
      <c r="FUE1" s="30"/>
      <c r="FUF1" s="30"/>
      <c r="FUG1" s="30"/>
      <c r="FUH1" s="30"/>
      <c r="FUI1" s="30"/>
      <c r="FUJ1" s="30"/>
      <c r="FUK1" s="30"/>
      <c r="FUL1" s="30"/>
      <c r="FUM1" s="30"/>
      <c r="FUN1" s="30"/>
      <c r="FUO1" s="30"/>
      <c r="FUP1" s="30"/>
      <c r="FUQ1" s="30"/>
      <c r="FUR1" s="30"/>
      <c r="FUS1" s="30"/>
      <c r="FUT1" s="30"/>
      <c r="FUU1" s="30"/>
      <c r="FUV1" s="30"/>
      <c r="FUW1" s="30"/>
      <c r="FUX1" s="30"/>
      <c r="FUY1" s="30"/>
      <c r="FUZ1" s="30"/>
      <c r="FVA1" s="30"/>
      <c r="FVB1" s="30"/>
      <c r="FVC1" s="30"/>
      <c r="FVD1" s="30"/>
      <c r="FVE1" s="30"/>
      <c r="FVF1" s="30"/>
      <c r="FVG1" s="30"/>
      <c r="FVH1" s="30"/>
      <c r="FVI1" s="30"/>
      <c r="FVJ1" s="30"/>
      <c r="FVK1" s="30"/>
      <c r="FVL1" s="30"/>
      <c r="FVM1" s="30"/>
      <c r="FVN1" s="30"/>
      <c r="FVO1" s="30"/>
      <c r="FVP1" s="30"/>
      <c r="FVQ1" s="30"/>
      <c r="FVR1" s="30"/>
      <c r="FVS1" s="30"/>
      <c r="FVT1" s="30"/>
      <c r="FVU1" s="30"/>
      <c r="FVV1" s="30"/>
      <c r="FVW1" s="30"/>
      <c r="FVX1" s="30"/>
      <c r="FVY1" s="30"/>
      <c r="FVZ1" s="30"/>
      <c r="FWA1" s="30"/>
      <c r="FWB1" s="30"/>
      <c r="FWC1" s="30"/>
      <c r="FWD1" s="30"/>
      <c r="FWE1" s="30"/>
      <c r="FWF1" s="30"/>
      <c r="FWG1" s="30"/>
      <c r="FWH1" s="30"/>
      <c r="FWI1" s="30"/>
      <c r="FWJ1" s="30"/>
      <c r="FWK1" s="30"/>
      <c r="FWL1" s="30"/>
      <c r="FWM1" s="30"/>
      <c r="FWN1" s="30"/>
      <c r="FWO1" s="30"/>
      <c r="FWP1" s="30"/>
      <c r="FWQ1" s="30"/>
      <c r="FWR1" s="30"/>
      <c r="FWS1" s="30"/>
      <c r="FWT1" s="30"/>
      <c r="FWU1" s="30"/>
      <c r="FWV1" s="30"/>
      <c r="FWW1" s="30"/>
      <c r="FWX1" s="30"/>
      <c r="FWY1" s="30"/>
      <c r="FWZ1" s="30"/>
      <c r="FXA1" s="30"/>
      <c r="FXB1" s="30"/>
      <c r="FXC1" s="30"/>
      <c r="FXD1" s="30"/>
      <c r="FXE1" s="30"/>
      <c r="FXF1" s="30"/>
      <c r="FXG1" s="30"/>
      <c r="FXH1" s="30"/>
      <c r="FXI1" s="30"/>
      <c r="FXJ1" s="30"/>
      <c r="FXK1" s="30"/>
      <c r="FXL1" s="30"/>
      <c r="FXM1" s="30"/>
      <c r="FXN1" s="30"/>
      <c r="FXO1" s="30"/>
      <c r="FXP1" s="30"/>
      <c r="FXQ1" s="30"/>
      <c r="FXR1" s="30"/>
      <c r="FXS1" s="30"/>
      <c r="FXT1" s="30"/>
      <c r="FXU1" s="30"/>
      <c r="FXV1" s="30"/>
      <c r="FXW1" s="30"/>
      <c r="FXX1" s="30"/>
      <c r="FXY1" s="30"/>
      <c r="FXZ1" s="30"/>
      <c r="FYA1" s="30"/>
      <c r="FYB1" s="30"/>
      <c r="FYC1" s="30"/>
      <c r="FYD1" s="30"/>
      <c r="FYE1" s="30"/>
      <c r="FYF1" s="30"/>
      <c r="FYG1" s="30"/>
      <c r="FYH1" s="30"/>
      <c r="FYI1" s="30"/>
      <c r="FYJ1" s="30"/>
      <c r="FYK1" s="30"/>
      <c r="FYL1" s="30"/>
      <c r="FYM1" s="30"/>
      <c r="FYN1" s="30"/>
      <c r="FYO1" s="30"/>
      <c r="FYP1" s="30"/>
      <c r="FYQ1" s="30"/>
      <c r="FYR1" s="30"/>
      <c r="FYS1" s="30"/>
      <c r="FYT1" s="30"/>
      <c r="FYU1" s="30"/>
      <c r="FYV1" s="30"/>
      <c r="FYW1" s="30"/>
      <c r="FYX1" s="30"/>
      <c r="FYY1" s="30"/>
      <c r="FYZ1" s="30"/>
      <c r="FZA1" s="30"/>
      <c r="FZB1" s="30"/>
      <c r="FZC1" s="30"/>
      <c r="FZD1" s="30"/>
      <c r="FZE1" s="30"/>
      <c r="FZF1" s="30"/>
      <c r="FZG1" s="30"/>
      <c r="FZH1" s="30"/>
      <c r="FZI1" s="30"/>
      <c r="FZJ1" s="30"/>
      <c r="FZK1" s="30"/>
      <c r="FZL1" s="30"/>
      <c r="FZM1" s="30"/>
      <c r="FZN1" s="30"/>
      <c r="FZO1" s="30"/>
      <c r="FZP1" s="30"/>
      <c r="FZQ1" s="30"/>
      <c r="FZR1" s="30"/>
      <c r="FZS1" s="30"/>
      <c r="FZT1" s="30"/>
      <c r="FZU1" s="30"/>
      <c r="FZV1" s="30"/>
      <c r="FZW1" s="30"/>
      <c r="FZX1" s="30"/>
      <c r="FZY1" s="30"/>
      <c r="FZZ1" s="30"/>
      <c r="GAA1" s="30"/>
      <c r="GAB1" s="30"/>
      <c r="GAC1" s="30"/>
      <c r="GAD1" s="30"/>
      <c r="GAE1" s="30"/>
      <c r="GAF1" s="30"/>
      <c r="GAG1" s="30"/>
      <c r="GAH1" s="30"/>
      <c r="GAI1" s="30"/>
      <c r="GAJ1" s="30"/>
      <c r="GAK1" s="30"/>
      <c r="GAL1" s="30"/>
      <c r="GAM1" s="30"/>
      <c r="GAN1" s="30"/>
      <c r="GAO1" s="30"/>
      <c r="GAP1" s="30"/>
      <c r="GAQ1" s="30"/>
      <c r="GAR1" s="30"/>
      <c r="GAS1" s="30"/>
      <c r="GAT1" s="30"/>
      <c r="GAU1" s="30"/>
      <c r="GAV1" s="30"/>
      <c r="GAW1" s="30"/>
      <c r="GAX1" s="30"/>
      <c r="GAY1" s="30"/>
      <c r="GAZ1" s="30"/>
      <c r="GBA1" s="30"/>
      <c r="GBB1" s="30"/>
      <c r="GBC1" s="30"/>
      <c r="GBD1" s="30"/>
      <c r="GBE1" s="30"/>
      <c r="GBF1" s="30"/>
      <c r="GBG1" s="30"/>
      <c r="GBH1" s="30"/>
      <c r="GBI1" s="30"/>
      <c r="GBJ1" s="30"/>
      <c r="GBK1" s="30"/>
      <c r="GBL1" s="30"/>
      <c r="GBM1" s="30"/>
      <c r="GBN1" s="30"/>
      <c r="GBO1" s="30"/>
      <c r="GBP1" s="30"/>
      <c r="GBQ1" s="30"/>
      <c r="GBR1" s="30"/>
      <c r="GBS1" s="30"/>
      <c r="GBT1" s="30"/>
      <c r="GBU1" s="30"/>
      <c r="GBV1" s="30"/>
      <c r="GBW1" s="30"/>
      <c r="GBX1" s="30"/>
      <c r="GBY1" s="30"/>
      <c r="GBZ1" s="30"/>
      <c r="GCA1" s="30"/>
      <c r="GCB1" s="30"/>
      <c r="GCC1" s="30"/>
      <c r="GCD1" s="30"/>
      <c r="GCE1" s="30"/>
      <c r="GCF1" s="30"/>
      <c r="GCG1" s="30"/>
      <c r="GCH1" s="30"/>
      <c r="GCI1" s="30"/>
      <c r="GCJ1" s="30"/>
      <c r="GCK1" s="30"/>
      <c r="GCL1" s="30"/>
      <c r="GCM1" s="30"/>
      <c r="GCN1" s="30"/>
      <c r="GCO1" s="30"/>
      <c r="GCP1" s="30"/>
      <c r="GCQ1" s="30"/>
      <c r="GCR1" s="30"/>
      <c r="GCS1" s="30"/>
      <c r="GCT1" s="30"/>
      <c r="GCU1" s="30"/>
      <c r="GCV1" s="30"/>
      <c r="GCW1" s="30"/>
      <c r="GCX1" s="30"/>
      <c r="GCY1" s="30"/>
      <c r="GCZ1" s="30"/>
      <c r="GDA1" s="30"/>
      <c r="GDB1" s="30"/>
      <c r="GDC1" s="30"/>
      <c r="GDD1" s="30"/>
      <c r="GDE1" s="30"/>
      <c r="GDF1" s="30"/>
      <c r="GDG1" s="30"/>
      <c r="GDH1" s="30"/>
      <c r="GDI1" s="30"/>
      <c r="GDJ1" s="30"/>
      <c r="GDK1" s="30"/>
      <c r="GDL1" s="30"/>
      <c r="GDM1" s="30"/>
      <c r="GDN1" s="30"/>
      <c r="GDO1" s="30"/>
      <c r="GDP1" s="30"/>
      <c r="GDQ1" s="30"/>
      <c r="GDR1" s="30"/>
      <c r="GDS1" s="30"/>
      <c r="GDT1" s="30"/>
      <c r="GDU1" s="30"/>
      <c r="GDV1" s="30"/>
      <c r="GDW1" s="30"/>
      <c r="GDX1" s="30"/>
      <c r="GDY1" s="30"/>
      <c r="GDZ1" s="30"/>
      <c r="GEA1" s="30"/>
      <c r="GEB1" s="30"/>
      <c r="GEC1" s="30"/>
      <c r="GED1" s="30"/>
      <c r="GEE1" s="30"/>
      <c r="GEF1" s="30"/>
      <c r="GEG1" s="30"/>
      <c r="GEH1" s="30"/>
      <c r="GEI1" s="30"/>
      <c r="GEJ1" s="30"/>
      <c r="GEK1" s="30"/>
      <c r="GEL1" s="30"/>
      <c r="GEM1" s="30"/>
      <c r="GEN1" s="30"/>
      <c r="GEO1" s="30"/>
      <c r="GEP1" s="30"/>
      <c r="GEQ1" s="30"/>
      <c r="GER1" s="30"/>
      <c r="GES1" s="30"/>
      <c r="GET1" s="30"/>
      <c r="GEU1" s="30"/>
      <c r="GEV1" s="30"/>
      <c r="GEW1" s="30"/>
      <c r="GEX1" s="30"/>
      <c r="GEY1" s="30"/>
      <c r="GEZ1" s="30"/>
      <c r="GFA1" s="30"/>
      <c r="GFB1" s="30"/>
      <c r="GFC1" s="30"/>
      <c r="GFD1" s="30"/>
      <c r="GFE1" s="30"/>
      <c r="GFF1" s="30"/>
      <c r="GFG1" s="30"/>
      <c r="GFH1" s="30"/>
      <c r="GFI1" s="30"/>
      <c r="GFJ1" s="30"/>
      <c r="GFK1" s="30"/>
      <c r="GFL1" s="30"/>
      <c r="GFM1" s="30"/>
      <c r="GFN1" s="30"/>
      <c r="GFO1" s="30"/>
      <c r="GFP1" s="30"/>
      <c r="GFQ1" s="30"/>
      <c r="GFR1" s="30"/>
      <c r="GFS1" s="30"/>
      <c r="GFT1" s="30"/>
      <c r="GFU1" s="30"/>
      <c r="GFV1" s="30"/>
      <c r="GFW1" s="30"/>
      <c r="GFX1" s="30"/>
      <c r="GFY1" s="30"/>
      <c r="GFZ1" s="30"/>
      <c r="GGA1" s="30"/>
      <c r="GGB1" s="30"/>
      <c r="GGC1" s="30"/>
      <c r="GGD1" s="30"/>
      <c r="GGE1" s="30"/>
      <c r="GGF1" s="30"/>
      <c r="GGG1" s="30"/>
      <c r="GGH1" s="30"/>
      <c r="GGI1" s="30"/>
      <c r="GGJ1" s="30"/>
      <c r="GGK1" s="30"/>
      <c r="GGL1" s="30"/>
      <c r="GGM1" s="30"/>
      <c r="GGN1" s="30"/>
      <c r="GGO1" s="30"/>
      <c r="GGP1" s="30"/>
      <c r="GGQ1" s="30"/>
      <c r="GGR1" s="30"/>
      <c r="GGS1" s="30"/>
      <c r="GGT1" s="30"/>
      <c r="GGU1" s="30"/>
      <c r="GGV1" s="30"/>
      <c r="GGW1" s="30"/>
      <c r="GGX1" s="30"/>
      <c r="GGY1" s="30"/>
      <c r="GGZ1" s="30"/>
      <c r="GHA1" s="30"/>
      <c r="GHB1" s="30"/>
      <c r="GHC1" s="30"/>
      <c r="GHD1" s="30"/>
      <c r="GHE1" s="30"/>
      <c r="GHF1" s="30"/>
      <c r="GHG1" s="30"/>
      <c r="GHH1" s="30"/>
      <c r="GHI1" s="30"/>
      <c r="GHJ1" s="30"/>
      <c r="GHK1" s="30"/>
      <c r="GHL1" s="30"/>
      <c r="GHM1" s="30"/>
      <c r="GHN1" s="30"/>
      <c r="GHO1" s="30"/>
      <c r="GHP1" s="30"/>
      <c r="GHQ1" s="30"/>
      <c r="GHR1" s="30"/>
      <c r="GHS1" s="30"/>
      <c r="GHT1" s="30"/>
      <c r="GHU1" s="30"/>
      <c r="GHV1" s="30"/>
      <c r="GHW1" s="30"/>
      <c r="GHX1" s="30"/>
      <c r="GHY1" s="30"/>
      <c r="GHZ1" s="30"/>
      <c r="GIA1" s="30"/>
      <c r="GIB1" s="30"/>
      <c r="GIC1" s="30"/>
      <c r="GID1" s="30"/>
      <c r="GIE1" s="30"/>
      <c r="GIF1" s="30"/>
      <c r="GIG1" s="30"/>
      <c r="GIH1" s="30"/>
      <c r="GII1" s="30"/>
      <c r="GIJ1" s="30"/>
      <c r="GIK1" s="30"/>
      <c r="GIL1" s="30"/>
      <c r="GIM1" s="30"/>
      <c r="GIN1" s="30"/>
      <c r="GIO1" s="30"/>
      <c r="GIP1" s="30"/>
      <c r="GIQ1" s="30"/>
      <c r="GIR1" s="30"/>
      <c r="GIS1" s="30"/>
      <c r="GIT1" s="30"/>
      <c r="GIU1" s="30"/>
      <c r="GIV1" s="30"/>
      <c r="GIW1" s="30"/>
      <c r="GIX1" s="30"/>
      <c r="GIY1" s="30"/>
      <c r="GIZ1" s="30"/>
      <c r="GJA1" s="30"/>
      <c r="GJB1" s="30"/>
      <c r="GJC1" s="30"/>
      <c r="GJD1" s="30"/>
      <c r="GJE1" s="30"/>
      <c r="GJF1" s="30"/>
      <c r="GJG1" s="30"/>
      <c r="GJH1" s="30"/>
      <c r="GJI1" s="30"/>
      <c r="GJJ1" s="30"/>
      <c r="GJK1" s="30"/>
      <c r="GJL1" s="30"/>
      <c r="GJM1" s="30"/>
      <c r="GJN1" s="30"/>
      <c r="GJO1" s="30"/>
      <c r="GJP1" s="30"/>
      <c r="GJQ1" s="30"/>
      <c r="GJR1" s="30"/>
      <c r="GJS1" s="30"/>
      <c r="GJT1" s="30"/>
      <c r="GJU1" s="30"/>
      <c r="GJV1" s="30"/>
      <c r="GJW1" s="30"/>
      <c r="GJX1" s="30"/>
      <c r="GJY1" s="30"/>
      <c r="GJZ1" s="30"/>
      <c r="GKA1" s="30"/>
      <c r="GKB1" s="30"/>
      <c r="GKC1" s="30"/>
      <c r="GKD1" s="30"/>
      <c r="GKE1" s="30"/>
      <c r="GKF1" s="30"/>
      <c r="GKG1" s="30"/>
      <c r="GKH1" s="30"/>
      <c r="GKI1" s="30"/>
      <c r="GKJ1" s="30"/>
      <c r="GKK1" s="30"/>
      <c r="GKL1" s="30"/>
      <c r="GKM1" s="30"/>
      <c r="GKN1" s="30"/>
      <c r="GKO1" s="30"/>
      <c r="GKP1" s="30"/>
      <c r="GKQ1" s="30"/>
      <c r="GKR1" s="30"/>
      <c r="GKS1" s="30"/>
      <c r="GKT1" s="30"/>
      <c r="GKU1" s="30"/>
      <c r="GKV1" s="30"/>
      <c r="GKW1" s="30"/>
      <c r="GKX1" s="30"/>
      <c r="GKY1" s="30"/>
      <c r="GKZ1" s="30"/>
      <c r="GLA1" s="30"/>
      <c r="GLB1" s="30"/>
      <c r="GLC1" s="30"/>
      <c r="GLD1" s="30"/>
      <c r="GLE1" s="30"/>
      <c r="GLF1" s="30"/>
      <c r="GLG1" s="30"/>
      <c r="GLH1" s="30"/>
      <c r="GLI1" s="30"/>
      <c r="GLJ1" s="30"/>
      <c r="GLK1" s="30"/>
      <c r="GLL1" s="30"/>
      <c r="GLM1" s="30"/>
      <c r="GLN1" s="30"/>
      <c r="GLO1" s="30"/>
      <c r="GLP1" s="30"/>
      <c r="GLQ1" s="30"/>
      <c r="GLR1" s="30"/>
      <c r="GLS1" s="30"/>
      <c r="GLT1" s="30"/>
      <c r="GLU1" s="30"/>
      <c r="GLV1" s="30"/>
      <c r="GLW1" s="30"/>
      <c r="GLX1" s="30"/>
      <c r="GLY1" s="30"/>
      <c r="GLZ1" s="30"/>
      <c r="GMA1" s="30"/>
      <c r="GMB1" s="30"/>
      <c r="GMC1" s="30"/>
      <c r="GMD1" s="30"/>
      <c r="GME1" s="30"/>
      <c r="GMF1" s="30"/>
      <c r="GMG1" s="30"/>
      <c r="GMH1" s="30"/>
      <c r="GMI1" s="30"/>
      <c r="GMJ1" s="30"/>
      <c r="GMK1" s="30"/>
      <c r="GML1" s="30"/>
      <c r="GMM1" s="30"/>
      <c r="GMN1" s="30"/>
      <c r="GMO1" s="30"/>
      <c r="GMP1" s="30"/>
      <c r="GMQ1" s="30"/>
      <c r="GMR1" s="30"/>
      <c r="GMS1" s="30"/>
      <c r="GMT1" s="30"/>
      <c r="GMU1" s="30"/>
      <c r="GMV1" s="30"/>
      <c r="GMW1" s="30"/>
      <c r="GMX1" s="30"/>
      <c r="GMY1" s="30"/>
      <c r="GMZ1" s="30"/>
      <c r="GNA1" s="30"/>
      <c r="GNB1" s="30"/>
      <c r="GNC1" s="30"/>
      <c r="GND1" s="30"/>
      <c r="GNE1" s="30"/>
      <c r="GNF1" s="30"/>
      <c r="GNG1" s="30"/>
      <c r="GNH1" s="30"/>
      <c r="GNI1" s="30"/>
      <c r="GNJ1" s="30"/>
      <c r="GNK1" s="30"/>
      <c r="GNL1" s="30"/>
      <c r="GNM1" s="30"/>
      <c r="GNN1" s="30"/>
      <c r="GNO1" s="30"/>
      <c r="GNP1" s="30"/>
      <c r="GNQ1" s="30"/>
      <c r="GNR1" s="30"/>
      <c r="GNS1" s="30"/>
      <c r="GNT1" s="30"/>
      <c r="GNU1" s="30"/>
      <c r="GNV1" s="30"/>
      <c r="GNW1" s="30"/>
      <c r="GNX1" s="30"/>
      <c r="GNY1" s="30"/>
      <c r="GNZ1" s="30"/>
      <c r="GOA1" s="30"/>
      <c r="GOB1" s="30"/>
      <c r="GOC1" s="30"/>
      <c r="GOD1" s="30"/>
      <c r="GOE1" s="30"/>
      <c r="GOF1" s="30"/>
      <c r="GOG1" s="30"/>
      <c r="GOH1" s="30"/>
      <c r="GOI1" s="30"/>
      <c r="GOJ1" s="30"/>
      <c r="GOK1" s="30"/>
      <c r="GOL1" s="30"/>
      <c r="GOM1" s="30"/>
      <c r="GON1" s="30"/>
      <c r="GOO1" s="30"/>
      <c r="GOP1" s="30"/>
      <c r="GOQ1" s="30"/>
      <c r="GOR1" s="30"/>
      <c r="GOS1" s="30"/>
      <c r="GOT1" s="30"/>
      <c r="GOU1" s="30"/>
      <c r="GOV1" s="30"/>
      <c r="GOW1" s="30"/>
      <c r="GOX1" s="30"/>
      <c r="GOY1" s="30"/>
      <c r="GOZ1" s="30"/>
      <c r="GPA1" s="30"/>
      <c r="GPB1" s="30"/>
      <c r="GPC1" s="30"/>
      <c r="GPD1" s="30"/>
      <c r="GPE1" s="30"/>
      <c r="GPF1" s="30"/>
      <c r="GPG1" s="30"/>
      <c r="GPH1" s="30"/>
      <c r="GPI1" s="30"/>
      <c r="GPJ1" s="30"/>
      <c r="GPK1" s="30"/>
      <c r="GPL1" s="30"/>
      <c r="GPM1" s="30"/>
      <c r="GPN1" s="30"/>
      <c r="GPO1" s="30"/>
      <c r="GPP1" s="30"/>
      <c r="GPQ1" s="30"/>
      <c r="GPR1" s="30"/>
      <c r="GPS1" s="30"/>
      <c r="GPT1" s="30"/>
      <c r="GPU1" s="30"/>
      <c r="GPV1" s="30"/>
      <c r="GPW1" s="30"/>
      <c r="GPX1" s="30"/>
      <c r="GPY1" s="30"/>
      <c r="GPZ1" s="30"/>
      <c r="GQA1" s="30"/>
      <c r="GQB1" s="30"/>
      <c r="GQC1" s="30"/>
      <c r="GQD1" s="30"/>
      <c r="GQE1" s="30"/>
      <c r="GQF1" s="30"/>
      <c r="GQG1" s="30"/>
      <c r="GQH1" s="30"/>
      <c r="GQI1" s="30"/>
      <c r="GQJ1" s="30"/>
      <c r="GQK1" s="30"/>
      <c r="GQL1" s="30"/>
      <c r="GQM1" s="30"/>
      <c r="GQN1" s="30"/>
      <c r="GQO1" s="30"/>
      <c r="GQP1" s="30"/>
      <c r="GQQ1" s="30"/>
      <c r="GQR1" s="30"/>
      <c r="GQS1" s="30"/>
      <c r="GQT1" s="30"/>
      <c r="GQU1" s="30"/>
      <c r="GQV1" s="30"/>
      <c r="GQW1" s="30"/>
      <c r="GQX1" s="30"/>
      <c r="GQY1" s="30"/>
      <c r="GQZ1" s="30"/>
      <c r="GRA1" s="30"/>
      <c r="GRB1" s="30"/>
      <c r="GRC1" s="30"/>
      <c r="GRD1" s="30"/>
      <c r="GRE1" s="30"/>
      <c r="GRF1" s="30"/>
      <c r="GRG1" s="30"/>
      <c r="GRH1" s="30"/>
      <c r="GRI1" s="30"/>
      <c r="GRJ1" s="30"/>
      <c r="GRK1" s="30"/>
      <c r="GRL1" s="30"/>
      <c r="GRM1" s="30"/>
      <c r="GRN1" s="30"/>
      <c r="GRO1" s="30"/>
      <c r="GRP1" s="30"/>
      <c r="GRQ1" s="30"/>
      <c r="GRR1" s="30"/>
      <c r="GRS1" s="30"/>
      <c r="GRT1" s="30"/>
      <c r="GRU1" s="30"/>
      <c r="GRV1" s="30"/>
      <c r="GRW1" s="30"/>
      <c r="GRX1" s="30"/>
      <c r="GRY1" s="30"/>
      <c r="GRZ1" s="30"/>
      <c r="GSA1" s="30"/>
      <c r="GSB1" s="30"/>
      <c r="GSC1" s="30"/>
      <c r="GSD1" s="30"/>
      <c r="GSE1" s="30"/>
      <c r="GSF1" s="30"/>
      <c r="GSG1" s="30"/>
      <c r="GSH1" s="30"/>
      <c r="GSI1" s="30"/>
      <c r="GSJ1" s="30"/>
      <c r="GSK1" s="30"/>
      <c r="GSL1" s="30"/>
      <c r="GSM1" s="30"/>
      <c r="GSN1" s="30"/>
      <c r="GSO1" s="30"/>
      <c r="GSP1" s="30"/>
      <c r="GSQ1" s="30"/>
      <c r="GSR1" s="30"/>
      <c r="GSS1" s="30"/>
      <c r="GST1" s="30"/>
      <c r="GSU1" s="30"/>
      <c r="GSV1" s="30"/>
      <c r="GSW1" s="30"/>
      <c r="GSX1" s="30"/>
      <c r="GSY1" s="30"/>
      <c r="GSZ1" s="30"/>
      <c r="GTA1" s="30"/>
      <c r="GTB1" s="30"/>
      <c r="GTC1" s="30"/>
      <c r="GTD1" s="30"/>
      <c r="GTE1" s="30"/>
      <c r="GTF1" s="30"/>
      <c r="GTG1" s="30"/>
      <c r="GTH1" s="30"/>
      <c r="GTI1" s="30"/>
      <c r="GTJ1" s="30"/>
      <c r="GTK1" s="30"/>
      <c r="GTL1" s="30"/>
      <c r="GTM1" s="30"/>
      <c r="GTN1" s="30"/>
      <c r="GTO1" s="30"/>
      <c r="GTP1" s="30"/>
      <c r="GTQ1" s="30"/>
      <c r="GTR1" s="30"/>
      <c r="GTS1" s="30"/>
      <c r="GTT1" s="30"/>
      <c r="GTU1" s="30"/>
      <c r="GTV1" s="30"/>
      <c r="GTW1" s="30"/>
      <c r="GTX1" s="30"/>
      <c r="GTY1" s="30"/>
      <c r="GTZ1" s="30"/>
      <c r="GUA1" s="30"/>
      <c r="GUB1" s="30"/>
      <c r="GUC1" s="30"/>
      <c r="GUD1" s="30"/>
      <c r="GUE1" s="30"/>
      <c r="GUF1" s="30"/>
      <c r="GUG1" s="30"/>
      <c r="GUH1" s="30"/>
      <c r="GUI1" s="30"/>
      <c r="GUJ1" s="30"/>
      <c r="GUK1" s="30"/>
      <c r="GUL1" s="30"/>
      <c r="GUM1" s="30"/>
      <c r="GUN1" s="30"/>
      <c r="GUO1" s="30"/>
      <c r="GUP1" s="30"/>
      <c r="GUQ1" s="30"/>
      <c r="GUR1" s="30"/>
      <c r="GUS1" s="30"/>
      <c r="GUT1" s="30"/>
      <c r="GUU1" s="30"/>
      <c r="GUV1" s="30"/>
      <c r="GUW1" s="30"/>
      <c r="GUX1" s="30"/>
      <c r="GUY1" s="30"/>
      <c r="GUZ1" s="30"/>
      <c r="GVA1" s="30"/>
      <c r="GVB1" s="30"/>
      <c r="GVC1" s="30"/>
      <c r="GVD1" s="30"/>
      <c r="GVE1" s="30"/>
      <c r="GVF1" s="30"/>
      <c r="GVG1" s="30"/>
      <c r="GVH1" s="30"/>
      <c r="GVI1" s="30"/>
      <c r="GVJ1" s="30"/>
      <c r="GVK1" s="30"/>
      <c r="GVL1" s="30"/>
      <c r="GVM1" s="30"/>
      <c r="GVN1" s="30"/>
      <c r="GVO1" s="30"/>
      <c r="GVP1" s="30"/>
      <c r="GVQ1" s="30"/>
      <c r="GVR1" s="30"/>
      <c r="GVS1" s="30"/>
      <c r="GVT1" s="30"/>
      <c r="GVU1" s="30"/>
      <c r="GVV1" s="30"/>
      <c r="GVW1" s="30"/>
      <c r="GVX1" s="30"/>
      <c r="GVY1" s="30"/>
      <c r="GVZ1" s="30"/>
      <c r="GWA1" s="30"/>
      <c r="GWB1" s="30"/>
      <c r="GWC1" s="30"/>
      <c r="GWD1" s="30"/>
      <c r="GWE1" s="30"/>
      <c r="GWF1" s="30"/>
      <c r="GWG1" s="30"/>
      <c r="GWH1" s="30"/>
      <c r="GWI1" s="30"/>
      <c r="GWJ1" s="30"/>
      <c r="GWK1" s="30"/>
      <c r="GWL1" s="30"/>
      <c r="GWM1" s="30"/>
      <c r="GWN1" s="30"/>
      <c r="GWO1" s="30"/>
      <c r="GWP1" s="30"/>
      <c r="GWQ1" s="30"/>
      <c r="GWR1" s="30"/>
      <c r="GWS1" s="30"/>
      <c r="GWT1" s="30"/>
      <c r="GWU1" s="30"/>
      <c r="GWV1" s="30"/>
      <c r="GWW1" s="30"/>
      <c r="GWX1" s="30"/>
      <c r="GWY1" s="30"/>
      <c r="GWZ1" s="30"/>
      <c r="GXA1" s="30"/>
      <c r="GXB1" s="30"/>
      <c r="GXC1" s="30"/>
      <c r="GXD1" s="30"/>
      <c r="GXE1" s="30"/>
      <c r="GXF1" s="30"/>
      <c r="GXG1" s="30"/>
      <c r="GXH1" s="30"/>
      <c r="GXI1" s="30"/>
      <c r="GXJ1" s="30"/>
      <c r="GXK1" s="30"/>
      <c r="GXL1" s="30"/>
      <c r="GXM1" s="30"/>
      <c r="GXN1" s="30"/>
      <c r="GXO1" s="30"/>
      <c r="GXP1" s="30"/>
      <c r="GXQ1" s="30"/>
      <c r="GXR1" s="30"/>
      <c r="GXS1" s="30"/>
      <c r="GXT1" s="30"/>
      <c r="GXU1" s="30"/>
      <c r="GXV1" s="30"/>
      <c r="GXW1" s="30"/>
      <c r="GXX1" s="30"/>
      <c r="GXY1" s="30"/>
      <c r="GXZ1" s="30"/>
      <c r="GYA1" s="30"/>
      <c r="GYB1" s="30"/>
      <c r="GYC1" s="30"/>
      <c r="GYD1" s="30"/>
      <c r="GYE1" s="30"/>
      <c r="GYF1" s="30"/>
      <c r="GYG1" s="30"/>
      <c r="GYH1" s="30"/>
      <c r="GYI1" s="30"/>
      <c r="GYJ1" s="30"/>
      <c r="GYK1" s="30"/>
      <c r="GYL1" s="30"/>
      <c r="GYM1" s="30"/>
      <c r="GYN1" s="30"/>
      <c r="GYO1" s="30"/>
      <c r="GYP1" s="30"/>
      <c r="GYQ1" s="30"/>
      <c r="GYR1" s="30"/>
      <c r="GYS1" s="30"/>
      <c r="GYT1" s="30"/>
      <c r="GYU1" s="30"/>
      <c r="GYV1" s="30"/>
      <c r="GYW1" s="30"/>
      <c r="GYX1" s="30"/>
      <c r="GYY1" s="30"/>
      <c r="GYZ1" s="30"/>
      <c r="GZA1" s="30"/>
      <c r="GZB1" s="30"/>
      <c r="GZC1" s="30"/>
      <c r="GZD1" s="30"/>
      <c r="GZE1" s="30"/>
      <c r="GZF1" s="30"/>
      <c r="GZG1" s="30"/>
      <c r="GZH1" s="30"/>
      <c r="GZI1" s="30"/>
      <c r="GZJ1" s="30"/>
      <c r="GZK1" s="30"/>
      <c r="GZL1" s="30"/>
      <c r="GZM1" s="30"/>
      <c r="GZN1" s="30"/>
      <c r="GZO1" s="30"/>
      <c r="GZP1" s="30"/>
      <c r="GZQ1" s="30"/>
      <c r="GZR1" s="30"/>
      <c r="GZS1" s="30"/>
      <c r="GZT1" s="30"/>
      <c r="GZU1" s="30"/>
      <c r="GZV1" s="30"/>
      <c r="GZW1" s="30"/>
      <c r="GZX1" s="30"/>
      <c r="GZY1" s="30"/>
      <c r="GZZ1" s="30"/>
      <c r="HAA1" s="30"/>
      <c r="HAB1" s="30"/>
      <c r="HAC1" s="30"/>
      <c r="HAD1" s="30"/>
      <c r="HAE1" s="30"/>
      <c r="HAF1" s="30"/>
      <c r="HAG1" s="30"/>
      <c r="HAH1" s="30"/>
      <c r="HAI1" s="30"/>
      <c r="HAJ1" s="30"/>
      <c r="HAK1" s="30"/>
      <c r="HAL1" s="30"/>
      <c r="HAM1" s="30"/>
      <c r="HAN1" s="30"/>
      <c r="HAO1" s="30"/>
      <c r="HAP1" s="30"/>
      <c r="HAQ1" s="30"/>
      <c r="HAR1" s="30"/>
      <c r="HAS1" s="30"/>
      <c r="HAT1" s="30"/>
      <c r="HAU1" s="30"/>
      <c r="HAV1" s="30"/>
      <c r="HAW1" s="30"/>
      <c r="HAX1" s="30"/>
      <c r="HAY1" s="30"/>
      <c r="HAZ1" s="30"/>
      <c r="HBA1" s="30"/>
      <c r="HBB1" s="30"/>
      <c r="HBC1" s="30"/>
      <c r="HBD1" s="30"/>
      <c r="HBE1" s="30"/>
      <c r="HBF1" s="30"/>
      <c r="HBG1" s="30"/>
      <c r="HBH1" s="30"/>
      <c r="HBI1" s="30"/>
      <c r="HBJ1" s="30"/>
      <c r="HBK1" s="30"/>
      <c r="HBL1" s="30"/>
      <c r="HBM1" s="30"/>
      <c r="HBN1" s="30"/>
      <c r="HBO1" s="30"/>
      <c r="HBP1" s="30"/>
      <c r="HBQ1" s="30"/>
      <c r="HBR1" s="30"/>
      <c r="HBS1" s="30"/>
      <c r="HBT1" s="30"/>
      <c r="HBU1" s="30"/>
      <c r="HBV1" s="30"/>
      <c r="HBW1" s="30"/>
      <c r="HBX1" s="30"/>
      <c r="HBY1" s="30"/>
      <c r="HBZ1" s="30"/>
      <c r="HCA1" s="30"/>
      <c r="HCB1" s="30"/>
      <c r="HCC1" s="30"/>
      <c r="HCD1" s="30"/>
      <c r="HCE1" s="30"/>
      <c r="HCF1" s="30"/>
      <c r="HCG1" s="30"/>
      <c r="HCH1" s="30"/>
      <c r="HCI1" s="30"/>
      <c r="HCJ1" s="30"/>
      <c r="HCK1" s="30"/>
      <c r="HCL1" s="30"/>
      <c r="HCM1" s="30"/>
      <c r="HCN1" s="30"/>
      <c r="HCO1" s="30"/>
      <c r="HCP1" s="30"/>
      <c r="HCQ1" s="30"/>
      <c r="HCR1" s="30"/>
      <c r="HCS1" s="30"/>
      <c r="HCT1" s="30"/>
      <c r="HCU1" s="30"/>
      <c r="HCV1" s="30"/>
      <c r="HCW1" s="30"/>
      <c r="HCX1" s="30"/>
      <c r="HCY1" s="30"/>
      <c r="HCZ1" s="30"/>
      <c r="HDA1" s="30"/>
      <c r="HDB1" s="30"/>
      <c r="HDC1" s="30"/>
      <c r="HDD1" s="30"/>
      <c r="HDE1" s="30"/>
      <c r="HDF1" s="30"/>
      <c r="HDG1" s="30"/>
      <c r="HDH1" s="30"/>
      <c r="HDI1" s="30"/>
      <c r="HDJ1" s="30"/>
      <c r="HDK1" s="30"/>
      <c r="HDL1" s="30"/>
      <c r="HDM1" s="30"/>
      <c r="HDN1" s="30"/>
      <c r="HDO1" s="30"/>
      <c r="HDP1" s="30"/>
      <c r="HDQ1" s="30"/>
      <c r="HDR1" s="30"/>
      <c r="HDS1" s="30"/>
      <c r="HDT1" s="30"/>
      <c r="HDU1" s="30"/>
      <c r="HDV1" s="30"/>
      <c r="HDW1" s="30"/>
      <c r="HDX1" s="30"/>
      <c r="HDY1" s="30"/>
      <c r="HDZ1" s="30"/>
      <c r="HEA1" s="30"/>
      <c r="HEB1" s="30"/>
      <c r="HEC1" s="30"/>
      <c r="HED1" s="30"/>
      <c r="HEE1" s="30"/>
      <c r="HEF1" s="30"/>
      <c r="HEG1" s="30"/>
      <c r="HEH1" s="30"/>
      <c r="HEI1" s="30"/>
      <c r="HEJ1" s="30"/>
      <c r="HEK1" s="30"/>
      <c r="HEL1" s="30"/>
      <c r="HEM1" s="30"/>
      <c r="HEN1" s="30"/>
      <c r="HEO1" s="30"/>
      <c r="HEP1" s="30"/>
      <c r="HEQ1" s="30"/>
      <c r="HER1" s="30"/>
      <c r="HES1" s="30"/>
      <c r="HET1" s="30"/>
      <c r="HEU1" s="30"/>
      <c r="HEV1" s="30"/>
      <c r="HEW1" s="30"/>
      <c r="HEX1" s="30"/>
      <c r="HEY1" s="30"/>
      <c r="HEZ1" s="30"/>
      <c r="HFA1" s="30"/>
      <c r="HFB1" s="30"/>
      <c r="HFC1" s="30"/>
      <c r="HFD1" s="30"/>
      <c r="HFE1" s="30"/>
      <c r="HFF1" s="30"/>
      <c r="HFG1" s="30"/>
      <c r="HFH1" s="30"/>
      <c r="HFI1" s="30"/>
      <c r="HFJ1" s="30"/>
      <c r="HFK1" s="30"/>
      <c r="HFL1" s="30"/>
      <c r="HFM1" s="30"/>
      <c r="HFN1" s="30"/>
      <c r="HFO1" s="30"/>
      <c r="HFP1" s="30"/>
      <c r="HFQ1" s="30"/>
      <c r="HFR1" s="30"/>
      <c r="HFS1" s="30"/>
      <c r="HFT1" s="30"/>
      <c r="HFU1" s="30"/>
      <c r="HFV1" s="30"/>
      <c r="HFW1" s="30"/>
      <c r="HFX1" s="30"/>
      <c r="HFY1" s="30"/>
      <c r="HFZ1" s="30"/>
      <c r="HGA1" s="30"/>
      <c r="HGB1" s="30"/>
      <c r="HGC1" s="30"/>
      <c r="HGD1" s="30"/>
      <c r="HGE1" s="30"/>
      <c r="HGF1" s="30"/>
      <c r="HGG1" s="30"/>
      <c r="HGH1" s="30"/>
      <c r="HGI1" s="30"/>
      <c r="HGJ1" s="30"/>
      <c r="HGK1" s="30"/>
      <c r="HGL1" s="30"/>
      <c r="HGM1" s="30"/>
      <c r="HGN1" s="30"/>
      <c r="HGO1" s="30"/>
      <c r="HGP1" s="30"/>
      <c r="HGQ1" s="30"/>
      <c r="HGR1" s="30"/>
      <c r="HGS1" s="30"/>
      <c r="HGT1" s="30"/>
      <c r="HGU1" s="30"/>
      <c r="HGV1" s="30"/>
      <c r="HGW1" s="30"/>
      <c r="HGX1" s="30"/>
      <c r="HGY1" s="30"/>
      <c r="HGZ1" s="30"/>
      <c r="HHA1" s="30"/>
      <c r="HHB1" s="30"/>
      <c r="HHC1" s="30"/>
      <c r="HHD1" s="30"/>
      <c r="HHE1" s="30"/>
      <c r="HHF1" s="30"/>
      <c r="HHG1" s="30"/>
      <c r="HHH1" s="30"/>
      <c r="HHI1" s="30"/>
      <c r="HHJ1" s="30"/>
      <c r="HHK1" s="30"/>
      <c r="HHL1" s="30"/>
      <c r="HHM1" s="30"/>
      <c r="HHN1" s="30"/>
      <c r="HHO1" s="30"/>
      <c r="HHP1" s="30"/>
      <c r="HHQ1" s="30"/>
      <c r="HHR1" s="30"/>
      <c r="HHS1" s="30"/>
      <c r="HHT1" s="30"/>
      <c r="HHU1" s="30"/>
      <c r="HHV1" s="30"/>
      <c r="HHW1" s="30"/>
      <c r="HHX1" s="30"/>
      <c r="HHY1" s="30"/>
      <c r="HHZ1" s="30"/>
      <c r="HIA1" s="30"/>
      <c r="HIB1" s="30"/>
      <c r="HIC1" s="30"/>
      <c r="HID1" s="30"/>
      <c r="HIE1" s="30"/>
      <c r="HIF1" s="30"/>
      <c r="HIG1" s="30"/>
      <c r="HIH1" s="30"/>
      <c r="HII1" s="30"/>
      <c r="HIJ1" s="30"/>
      <c r="HIK1" s="30"/>
      <c r="HIL1" s="30"/>
      <c r="HIM1" s="30"/>
      <c r="HIN1" s="30"/>
      <c r="HIO1" s="30"/>
      <c r="HIP1" s="30"/>
      <c r="HIQ1" s="30"/>
      <c r="HIR1" s="30"/>
      <c r="HIS1" s="30"/>
      <c r="HIT1" s="30"/>
      <c r="HIU1" s="30"/>
      <c r="HIV1" s="30"/>
      <c r="HIW1" s="30"/>
      <c r="HIX1" s="30"/>
      <c r="HIY1" s="30"/>
      <c r="HIZ1" s="30"/>
      <c r="HJA1" s="30"/>
      <c r="HJB1" s="30"/>
      <c r="HJC1" s="30"/>
      <c r="HJD1" s="30"/>
      <c r="HJE1" s="30"/>
      <c r="HJF1" s="30"/>
      <c r="HJG1" s="30"/>
      <c r="HJH1" s="30"/>
      <c r="HJI1" s="30"/>
      <c r="HJJ1" s="30"/>
      <c r="HJK1" s="30"/>
      <c r="HJL1" s="30"/>
      <c r="HJM1" s="30"/>
      <c r="HJN1" s="30"/>
      <c r="HJO1" s="30"/>
      <c r="HJP1" s="30"/>
      <c r="HJQ1" s="30"/>
      <c r="HJR1" s="30"/>
      <c r="HJS1" s="30"/>
      <c r="HJT1" s="30"/>
      <c r="HJU1" s="30"/>
      <c r="HJV1" s="30"/>
      <c r="HJW1" s="30"/>
      <c r="HJX1" s="30"/>
      <c r="HJY1" s="30"/>
      <c r="HJZ1" s="30"/>
      <c r="HKA1" s="30"/>
      <c r="HKB1" s="30"/>
      <c r="HKC1" s="30"/>
      <c r="HKD1" s="30"/>
      <c r="HKE1" s="30"/>
      <c r="HKF1" s="30"/>
      <c r="HKG1" s="30"/>
      <c r="HKH1" s="30"/>
      <c r="HKI1" s="30"/>
      <c r="HKJ1" s="30"/>
      <c r="HKK1" s="30"/>
      <c r="HKL1" s="30"/>
      <c r="HKM1" s="30"/>
      <c r="HKN1" s="30"/>
      <c r="HKO1" s="30"/>
      <c r="HKP1" s="30"/>
      <c r="HKQ1" s="30"/>
      <c r="HKR1" s="30"/>
      <c r="HKS1" s="30"/>
      <c r="HKT1" s="30"/>
      <c r="HKU1" s="30"/>
      <c r="HKV1" s="30"/>
      <c r="HKW1" s="30"/>
      <c r="HKX1" s="30"/>
      <c r="HKY1" s="30"/>
      <c r="HKZ1" s="30"/>
      <c r="HLA1" s="30"/>
      <c r="HLB1" s="30"/>
      <c r="HLC1" s="30"/>
      <c r="HLD1" s="30"/>
      <c r="HLE1" s="30"/>
      <c r="HLF1" s="30"/>
      <c r="HLG1" s="30"/>
      <c r="HLH1" s="30"/>
      <c r="HLI1" s="30"/>
      <c r="HLJ1" s="30"/>
      <c r="HLK1" s="30"/>
      <c r="HLL1" s="30"/>
      <c r="HLM1" s="30"/>
      <c r="HLN1" s="30"/>
      <c r="HLO1" s="30"/>
      <c r="HLP1" s="30"/>
      <c r="HLQ1" s="30"/>
      <c r="HLR1" s="30"/>
      <c r="HLS1" s="30"/>
      <c r="HLT1" s="30"/>
      <c r="HLU1" s="30"/>
      <c r="HLV1" s="30"/>
      <c r="HLW1" s="30"/>
      <c r="HLX1" s="30"/>
      <c r="HLY1" s="30"/>
      <c r="HLZ1" s="30"/>
      <c r="HMA1" s="30"/>
      <c r="HMB1" s="30"/>
      <c r="HMC1" s="30"/>
      <c r="HMD1" s="30"/>
      <c r="HME1" s="30"/>
      <c r="HMF1" s="30"/>
      <c r="HMG1" s="30"/>
      <c r="HMH1" s="30"/>
      <c r="HMI1" s="30"/>
      <c r="HMJ1" s="30"/>
      <c r="HMK1" s="30"/>
      <c r="HML1" s="30"/>
      <c r="HMM1" s="30"/>
      <c r="HMN1" s="30"/>
      <c r="HMO1" s="30"/>
      <c r="HMP1" s="30"/>
      <c r="HMQ1" s="30"/>
      <c r="HMR1" s="30"/>
      <c r="HMS1" s="30"/>
      <c r="HMT1" s="30"/>
      <c r="HMU1" s="30"/>
      <c r="HMV1" s="30"/>
      <c r="HMW1" s="30"/>
      <c r="HMX1" s="30"/>
      <c r="HMY1" s="30"/>
      <c r="HMZ1" s="30"/>
      <c r="HNA1" s="30"/>
      <c r="HNB1" s="30"/>
      <c r="HNC1" s="30"/>
      <c r="HND1" s="30"/>
      <c r="HNE1" s="30"/>
      <c r="HNF1" s="30"/>
      <c r="HNG1" s="30"/>
      <c r="HNH1" s="30"/>
      <c r="HNI1" s="30"/>
      <c r="HNJ1" s="30"/>
      <c r="HNK1" s="30"/>
      <c r="HNL1" s="30"/>
      <c r="HNM1" s="30"/>
      <c r="HNN1" s="30"/>
      <c r="HNO1" s="30"/>
      <c r="HNP1" s="30"/>
      <c r="HNQ1" s="30"/>
      <c r="HNR1" s="30"/>
      <c r="HNS1" s="30"/>
      <c r="HNT1" s="30"/>
      <c r="HNU1" s="30"/>
      <c r="HNV1" s="30"/>
      <c r="HNW1" s="30"/>
      <c r="HNX1" s="30"/>
      <c r="HNY1" s="30"/>
      <c r="HNZ1" s="30"/>
      <c r="HOA1" s="30"/>
      <c r="HOB1" s="30"/>
      <c r="HOC1" s="30"/>
      <c r="HOD1" s="30"/>
      <c r="HOE1" s="30"/>
      <c r="HOF1" s="30"/>
      <c r="HOG1" s="30"/>
      <c r="HOH1" s="30"/>
      <c r="HOI1" s="30"/>
      <c r="HOJ1" s="30"/>
      <c r="HOK1" s="30"/>
      <c r="HOL1" s="30"/>
      <c r="HOM1" s="30"/>
      <c r="HON1" s="30"/>
      <c r="HOO1" s="30"/>
      <c r="HOP1" s="30"/>
      <c r="HOQ1" s="30"/>
      <c r="HOR1" s="30"/>
      <c r="HOS1" s="30"/>
      <c r="HOT1" s="30"/>
      <c r="HOU1" s="30"/>
      <c r="HOV1" s="30"/>
      <c r="HOW1" s="30"/>
      <c r="HOX1" s="30"/>
      <c r="HOY1" s="30"/>
      <c r="HOZ1" s="30"/>
      <c r="HPA1" s="30"/>
      <c r="HPB1" s="30"/>
      <c r="HPC1" s="30"/>
      <c r="HPD1" s="30"/>
      <c r="HPE1" s="30"/>
      <c r="HPF1" s="30"/>
      <c r="HPG1" s="30"/>
      <c r="HPH1" s="30"/>
      <c r="HPI1" s="30"/>
      <c r="HPJ1" s="30"/>
      <c r="HPK1" s="30"/>
      <c r="HPL1" s="30"/>
      <c r="HPM1" s="30"/>
      <c r="HPN1" s="30"/>
      <c r="HPO1" s="30"/>
      <c r="HPP1" s="30"/>
      <c r="HPQ1" s="30"/>
      <c r="HPR1" s="30"/>
      <c r="HPS1" s="30"/>
      <c r="HPT1" s="30"/>
      <c r="HPU1" s="30"/>
      <c r="HPV1" s="30"/>
      <c r="HPW1" s="30"/>
      <c r="HPX1" s="30"/>
      <c r="HPY1" s="30"/>
      <c r="HPZ1" s="30"/>
      <c r="HQA1" s="30"/>
      <c r="HQB1" s="30"/>
      <c r="HQC1" s="30"/>
      <c r="HQD1" s="30"/>
      <c r="HQE1" s="30"/>
      <c r="HQF1" s="30"/>
      <c r="HQG1" s="30"/>
      <c r="HQH1" s="30"/>
      <c r="HQI1" s="30"/>
      <c r="HQJ1" s="30"/>
      <c r="HQK1" s="30"/>
      <c r="HQL1" s="30"/>
      <c r="HQM1" s="30"/>
      <c r="HQN1" s="30"/>
      <c r="HQO1" s="30"/>
      <c r="HQP1" s="30"/>
      <c r="HQQ1" s="30"/>
      <c r="HQR1" s="30"/>
      <c r="HQS1" s="30"/>
      <c r="HQT1" s="30"/>
      <c r="HQU1" s="30"/>
      <c r="HQV1" s="30"/>
      <c r="HQW1" s="30"/>
      <c r="HQX1" s="30"/>
      <c r="HQY1" s="30"/>
      <c r="HQZ1" s="30"/>
      <c r="HRA1" s="30"/>
      <c r="HRB1" s="30"/>
      <c r="HRC1" s="30"/>
      <c r="HRD1" s="30"/>
      <c r="HRE1" s="30"/>
      <c r="HRF1" s="30"/>
      <c r="HRG1" s="30"/>
      <c r="HRH1" s="30"/>
      <c r="HRI1" s="30"/>
      <c r="HRJ1" s="30"/>
      <c r="HRK1" s="30"/>
      <c r="HRL1" s="30"/>
      <c r="HRM1" s="30"/>
      <c r="HRN1" s="30"/>
      <c r="HRO1" s="30"/>
      <c r="HRP1" s="30"/>
      <c r="HRQ1" s="30"/>
      <c r="HRR1" s="30"/>
      <c r="HRS1" s="30"/>
      <c r="HRT1" s="30"/>
      <c r="HRU1" s="30"/>
      <c r="HRV1" s="30"/>
      <c r="HRW1" s="30"/>
      <c r="HRX1" s="30"/>
      <c r="HRY1" s="30"/>
      <c r="HRZ1" s="30"/>
      <c r="HSA1" s="30"/>
      <c r="HSB1" s="30"/>
      <c r="HSC1" s="30"/>
      <c r="HSD1" s="30"/>
      <c r="HSE1" s="30"/>
      <c r="HSF1" s="30"/>
      <c r="HSG1" s="30"/>
      <c r="HSH1" s="30"/>
      <c r="HSI1" s="30"/>
      <c r="HSJ1" s="30"/>
      <c r="HSK1" s="30"/>
      <c r="HSL1" s="30"/>
      <c r="HSM1" s="30"/>
      <c r="HSN1" s="30"/>
      <c r="HSO1" s="30"/>
      <c r="HSP1" s="30"/>
      <c r="HSQ1" s="30"/>
      <c r="HSR1" s="30"/>
      <c r="HSS1" s="30"/>
      <c r="HST1" s="30"/>
      <c r="HSU1" s="30"/>
      <c r="HSV1" s="30"/>
      <c r="HSW1" s="30"/>
      <c r="HSX1" s="30"/>
      <c r="HSY1" s="30"/>
      <c r="HSZ1" s="30"/>
      <c r="HTA1" s="30"/>
      <c r="HTB1" s="30"/>
      <c r="HTC1" s="30"/>
      <c r="HTD1" s="30"/>
      <c r="HTE1" s="30"/>
      <c r="HTF1" s="30"/>
      <c r="HTG1" s="30"/>
      <c r="HTH1" s="30"/>
      <c r="HTI1" s="30"/>
      <c r="HTJ1" s="30"/>
      <c r="HTK1" s="30"/>
      <c r="HTL1" s="30"/>
      <c r="HTM1" s="30"/>
      <c r="HTN1" s="30"/>
      <c r="HTO1" s="30"/>
      <c r="HTP1" s="30"/>
      <c r="HTQ1" s="30"/>
      <c r="HTR1" s="30"/>
      <c r="HTS1" s="30"/>
      <c r="HTT1" s="30"/>
      <c r="HTU1" s="30"/>
      <c r="HTV1" s="30"/>
      <c r="HTW1" s="30"/>
      <c r="HTX1" s="30"/>
      <c r="HTY1" s="30"/>
      <c r="HTZ1" s="30"/>
      <c r="HUA1" s="30"/>
      <c r="HUB1" s="30"/>
      <c r="HUC1" s="30"/>
      <c r="HUD1" s="30"/>
      <c r="HUE1" s="30"/>
      <c r="HUF1" s="30"/>
      <c r="HUG1" s="30"/>
      <c r="HUH1" s="30"/>
      <c r="HUI1" s="30"/>
      <c r="HUJ1" s="30"/>
      <c r="HUK1" s="30"/>
      <c r="HUL1" s="30"/>
      <c r="HUM1" s="30"/>
      <c r="HUN1" s="30"/>
      <c r="HUO1" s="30"/>
      <c r="HUP1" s="30"/>
      <c r="HUQ1" s="30"/>
      <c r="HUR1" s="30"/>
      <c r="HUS1" s="30"/>
      <c r="HUT1" s="30"/>
      <c r="HUU1" s="30"/>
      <c r="HUV1" s="30"/>
      <c r="HUW1" s="30"/>
      <c r="HUX1" s="30"/>
      <c r="HUY1" s="30"/>
      <c r="HUZ1" s="30"/>
      <c r="HVA1" s="30"/>
      <c r="HVB1" s="30"/>
      <c r="HVC1" s="30"/>
      <c r="HVD1" s="30"/>
      <c r="HVE1" s="30"/>
      <c r="HVF1" s="30"/>
      <c r="HVG1" s="30"/>
      <c r="HVH1" s="30"/>
      <c r="HVI1" s="30"/>
      <c r="HVJ1" s="30"/>
      <c r="HVK1" s="30"/>
      <c r="HVL1" s="30"/>
      <c r="HVM1" s="30"/>
      <c r="HVN1" s="30"/>
      <c r="HVO1" s="30"/>
      <c r="HVP1" s="30"/>
      <c r="HVQ1" s="30"/>
      <c r="HVR1" s="30"/>
      <c r="HVS1" s="30"/>
      <c r="HVT1" s="30"/>
      <c r="HVU1" s="30"/>
      <c r="HVV1" s="30"/>
      <c r="HVW1" s="30"/>
      <c r="HVX1" s="30"/>
      <c r="HVY1" s="30"/>
      <c r="HVZ1" s="30"/>
      <c r="HWA1" s="30"/>
      <c r="HWB1" s="30"/>
      <c r="HWC1" s="30"/>
      <c r="HWD1" s="30"/>
      <c r="HWE1" s="30"/>
      <c r="HWF1" s="30"/>
      <c r="HWG1" s="30"/>
      <c r="HWH1" s="30"/>
      <c r="HWI1" s="30"/>
      <c r="HWJ1" s="30"/>
      <c r="HWK1" s="30"/>
      <c r="HWL1" s="30"/>
      <c r="HWM1" s="30"/>
      <c r="HWN1" s="30"/>
      <c r="HWO1" s="30"/>
      <c r="HWP1" s="30"/>
      <c r="HWQ1" s="30"/>
      <c r="HWR1" s="30"/>
      <c r="HWS1" s="30"/>
      <c r="HWT1" s="30"/>
      <c r="HWU1" s="30"/>
      <c r="HWV1" s="30"/>
      <c r="HWW1" s="30"/>
      <c r="HWX1" s="30"/>
      <c r="HWY1" s="30"/>
      <c r="HWZ1" s="30"/>
      <c r="HXA1" s="30"/>
      <c r="HXB1" s="30"/>
      <c r="HXC1" s="30"/>
      <c r="HXD1" s="30"/>
      <c r="HXE1" s="30"/>
      <c r="HXF1" s="30"/>
      <c r="HXG1" s="30"/>
      <c r="HXH1" s="30"/>
      <c r="HXI1" s="30"/>
      <c r="HXJ1" s="30"/>
      <c r="HXK1" s="30"/>
      <c r="HXL1" s="30"/>
      <c r="HXM1" s="30"/>
      <c r="HXN1" s="30"/>
      <c r="HXO1" s="30"/>
      <c r="HXP1" s="30"/>
      <c r="HXQ1" s="30"/>
      <c r="HXR1" s="30"/>
      <c r="HXS1" s="30"/>
      <c r="HXT1" s="30"/>
      <c r="HXU1" s="30"/>
      <c r="HXV1" s="30"/>
      <c r="HXW1" s="30"/>
      <c r="HXX1" s="30"/>
      <c r="HXY1" s="30"/>
      <c r="HXZ1" s="30"/>
      <c r="HYA1" s="30"/>
      <c r="HYB1" s="30"/>
      <c r="HYC1" s="30"/>
      <c r="HYD1" s="30"/>
      <c r="HYE1" s="30"/>
      <c r="HYF1" s="30"/>
      <c r="HYG1" s="30"/>
      <c r="HYH1" s="30"/>
      <c r="HYI1" s="30"/>
      <c r="HYJ1" s="30"/>
      <c r="HYK1" s="30"/>
      <c r="HYL1" s="30"/>
      <c r="HYM1" s="30"/>
      <c r="HYN1" s="30"/>
      <c r="HYO1" s="30"/>
      <c r="HYP1" s="30"/>
      <c r="HYQ1" s="30"/>
      <c r="HYR1" s="30"/>
      <c r="HYS1" s="30"/>
      <c r="HYT1" s="30"/>
      <c r="HYU1" s="30"/>
      <c r="HYV1" s="30"/>
      <c r="HYW1" s="30"/>
      <c r="HYX1" s="30"/>
      <c r="HYY1" s="30"/>
      <c r="HYZ1" s="30"/>
      <c r="HZA1" s="30"/>
      <c r="HZB1" s="30"/>
      <c r="HZC1" s="30"/>
      <c r="HZD1" s="30"/>
      <c r="HZE1" s="30"/>
      <c r="HZF1" s="30"/>
      <c r="HZG1" s="30"/>
      <c r="HZH1" s="30"/>
      <c r="HZI1" s="30"/>
      <c r="HZJ1" s="30"/>
      <c r="HZK1" s="30"/>
      <c r="HZL1" s="30"/>
      <c r="HZM1" s="30"/>
      <c r="HZN1" s="30"/>
      <c r="HZO1" s="30"/>
      <c r="HZP1" s="30"/>
      <c r="HZQ1" s="30"/>
      <c r="HZR1" s="30"/>
      <c r="HZS1" s="30"/>
      <c r="HZT1" s="30"/>
      <c r="HZU1" s="30"/>
      <c r="HZV1" s="30"/>
      <c r="HZW1" s="30"/>
      <c r="HZX1" s="30"/>
      <c r="HZY1" s="30"/>
      <c r="HZZ1" s="30"/>
      <c r="IAA1" s="30"/>
      <c r="IAB1" s="30"/>
      <c r="IAC1" s="30"/>
      <c r="IAD1" s="30"/>
      <c r="IAE1" s="30"/>
      <c r="IAF1" s="30"/>
      <c r="IAG1" s="30"/>
      <c r="IAH1" s="30"/>
      <c r="IAI1" s="30"/>
      <c r="IAJ1" s="30"/>
      <c r="IAK1" s="30"/>
      <c r="IAL1" s="30"/>
      <c r="IAM1" s="30"/>
      <c r="IAN1" s="30"/>
      <c r="IAO1" s="30"/>
      <c r="IAP1" s="30"/>
      <c r="IAQ1" s="30"/>
      <c r="IAR1" s="30"/>
      <c r="IAS1" s="30"/>
      <c r="IAT1" s="30"/>
      <c r="IAU1" s="30"/>
      <c r="IAV1" s="30"/>
      <c r="IAW1" s="30"/>
      <c r="IAX1" s="30"/>
      <c r="IAY1" s="30"/>
      <c r="IAZ1" s="30"/>
      <c r="IBA1" s="30"/>
      <c r="IBB1" s="30"/>
      <c r="IBC1" s="30"/>
      <c r="IBD1" s="30"/>
      <c r="IBE1" s="30"/>
      <c r="IBF1" s="30"/>
      <c r="IBG1" s="30"/>
      <c r="IBH1" s="30"/>
      <c r="IBI1" s="30"/>
      <c r="IBJ1" s="30"/>
      <c r="IBK1" s="30"/>
      <c r="IBL1" s="30"/>
      <c r="IBM1" s="30"/>
      <c r="IBN1" s="30"/>
      <c r="IBO1" s="30"/>
      <c r="IBP1" s="30"/>
      <c r="IBQ1" s="30"/>
      <c r="IBR1" s="30"/>
      <c r="IBS1" s="30"/>
      <c r="IBT1" s="30"/>
      <c r="IBU1" s="30"/>
      <c r="IBV1" s="30"/>
      <c r="IBW1" s="30"/>
      <c r="IBX1" s="30"/>
      <c r="IBY1" s="30"/>
      <c r="IBZ1" s="30"/>
      <c r="ICA1" s="30"/>
      <c r="ICB1" s="30"/>
      <c r="ICC1" s="30"/>
      <c r="ICD1" s="30"/>
      <c r="ICE1" s="30"/>
      <c r="ICF1" s="30"/>
      <c r="ICG1" s="30"/>
      <c r="ICH1" s="30"/>
      <c r="ICI1" s="30"/>
      <c r="ICJ1" s="30"/>
      <c r="ICK1" s="30"/>
      <c r="ICL1" s="30"/>
      <c r="ICM1" s="30"/>
      <c r="ICN1" s="30"/>
      <c r="ICO1" s="30"/>
      <c r="ICP1" s="30"/>
      <c r="ICQ1" s="30"/>
      <c r="ICR1" s="30"/>
      <c r="ICS1" s="30"/>
      <c r="ICT1" s="30"/>
      <c r="ICU1" s="30"/>
      <c r="ICV1" s="30"/>
      <c r="ICW1" s="30"/>
      <c r="ICX1" s="30"/>
      <c r="ICY1" s="30"/>
      <c r="ICZ1" s="30"/>
      <c r="IDA1" s="30"/>
      <c r="IDB1" s="30"/>
      <c r="IDC1" s="30"/>
      <c r="IDD1" s="30"/>
      <c r="IDE1" s="30"/>
      <c r="IDF1" s="30"/>
      <c r="IDG1" s="30"/>
      <c r="IDH1" s="30"/>
      <c r="IDI1" s="30"/>
      <c r="IDJ1" s="30"/>
      <c r="IDK1" s="30"/>
      <c r="IDL1" s="30"/>
      <c r="IDM1" s="30"/>
      <c r="IDN1" s="30"/>
      <c r="IDO1" s="30"/>
      <c r="IDP1" s="30"/>
      <c r="IDQ1" s="30"/>
      <c r="IDR1" s="30"/>
      <c r="IDS1" s="30"/>
      <c r="IDT1" s="30"/>
      <c r="IDU1" s="30"/>
      <c r="IDV1" s="30"/>
      <c r="IDW1" s="30"/>
      <c r="IDX1" s="30"/>
      <c r="IDY1" s="30"/>
      <c r="IDZ1" s="30"/>
      <c r="IEA1" s="30"/>
      <c r="IEB1" s="30"/>
      <c r="IEC1" s="30"/>
      <c r="IED1" s="30"/>
      <c r="IEE1" s="30"/>
      <c r="IEF1" s="30"/>
      <c r="IEG1" s="30"/>
      <c r="IEH1" s="30"/>
      <c r="IEI1" s="30"/>
      <c r="IEJ1" s="30"/>
      <c r="IEK1" s="30"/>
      <c r="IEL1" s="30"/>
      <c r="IEM1" s="30"/>
      <c r="IEN1" s="30"/>
      <c r="IEO1" s="30"/>
      <c r="IEP1" s="30"/>
      <c r="IEQ1" s="30"/>
      <c r="IER1" s="30"/>
      <c r="IES1" s="30"/>
      <c r="IET1" s="30"/>
      <c r="IEU1" s="30"/>
      <c r="IEV1" s="30"/>
      <c r="IEW1" s="30"/>
      <c r="IEX1" s="30"/>
      <c r="IEY1" s="30"/>
      <c r="IEZ1" s="30"/>
      <c r="IFA1" s="30"/>
      <c r="IFB1" s="30"/>
      <c r="IFC1" s="30"/>
      <c r="IFD1" s="30"/>
      <c r="IFE1" s="30"/>
      <c r="IFF1" s="30"/>
      <c r="IFG1" s="30"/>
      <c r="IFH1" s="30"/>
      <c r="IFI1" s="30"/>
      <c r="IFJ1" s="30"/>
      <c r="IFK1" s="30"/>
      <c r="IFL1" s="30"/>
      <c r="IFM1" s="30"/>
      <c r="IFN1" s="30"/>
      <c r="IFO1" s="30"/>
      <c r="IFP1" s="30"/>
      <c r="IFQ1" s="30"/>
      <c r="IFR1" s="30"/>
      <c r="IFS1" s="30"/>
      <c r="IFT1" s="30"/>
      <c r="IFU1" s="30"/>
      <c r="IFV1" s="30"/>
      <c r="IFW1" s="30"/>
      <c r="IFX1" s="30"/>
      <c r="IFY1" s="30"/>
      <c r="IFZ1" s="30"/>
      <c r="IGA1" s="30"/>
      <c r="IGB1" s="30"/>
      <c r="IGC1" s="30"/>
      <c r="IGD1" s="30"/>
      <c r="IGE1" s="30"/>
      <c r="IGF1" s="30"/>
      <c r="IGG1" s="30"/>
      <c r="IGH1" s="30"/>
      <c r="IGI1" s="30"/>
      <c r="IGJ1" s="30"/>
      <c r="IGK1" s="30"/>
      <c r="IGL1" s="30"/>
      <c r="IGM1" s="30"/>
      <c r="IGN1" s="30"/>
      <c r="IGO1" s="30"/>
      <c r="IGP1" s="30"/>
      <c r="IGQ1" s="30"/>
      <c r="IGR1" s="30"/>
      <c r="IGS1" s="30"/>
      <c r="IGT1" s="30"/>
      <c r="IGU1" s="30"/>
      <c r="IGV1" s="30"/>
      <c r="IGW1" s="30"/>
      <c r="IGX1" s="30"/>
      <c r="IGY1" s="30"/>
      <c r="IGZ1" s="30"/>
      <c r="IHA1" s="30"/>
      <c r="IHB1" s="30"/>
      <c r="IHC1" s="30"/>
      <c r="IHD1" s="30"/>
      <c r="IHE1" s="30"/>
      <c r="IHF1" s="30"/>
      <c r="IHG1" s="30"/>
      <c r="IHH1" s="30"/>
      <c r="IHI1" s="30"/>
      <c r="IHJ1" s="30"/>
      <c r="IHK1" s="30"/>
      <c r="IHL1" s="30"/>
      <c r="IHM1" s="30"/>
      <c r="IHN1" s="30"/>
      <c r="IHO1" s="30"/>
      <c r="IHP1" s="30"/>
      <c r="IHQ1" s="30"/>
      <c r="IHR1" s="30"/>
      <c r="IHS1" s="30"/>
      <c r="IHT1" s="30"/>
      <c r="IHU1" s="30"/>
      <c r="IHV1" s="30"/>
      <c r="IHW1" s="30"/>
      <c r="IHX1" s="30"/>
      <c r="IHY1" s="30"/>
      <c r="IHZ1" s="30"/>
      <c r="IIA1" s="30"/>
      <c r="IIB1" s="30"/>
      <c r="IIC1" s="30"/>
      <c r="IID1" s="30"/>
      <c r="IIE1" s="30"/>
      <c r="IIF1" s="30"/>
      <c r="IIG1" s="30"/>
      <c r="IIH1" s="30"/>
      <c r="III1" s="30"/>
      <c r="IIJ1" s="30"/>
      <c r="IIK1" s="30"/>
      <c r="IIL1" s="30"/>
      <c r="IIM1" s="30"/>
      <c r="IIN1" s="30"/>
      <c r="IIO1" s="30"/>
      <c r="IIP1" s="30"/>
      <c r="IIQ1" s="30"/>
      <c r="IIR1" s="30"/>
      <c r="IIS1" s="30"/>
      <c r="IIT1" s="30"/>
      <c r="IIU1" s="30"/>
      <c r="IIV1" s="30"/>
      <c r="IIW1" s="30"/>
      <c r="IIX1" s="30"/>
      <c r="IIY1" s="30"/>
      <c r="IIZ1" s="30"/>
      <c r="IJA1" s="30"/>
      <c r="IJB1" s="30"/>
      <c r="IJC1" s="30"/>
      <c r="IJD1" s="30"/>
      <c r="IJE1" s="30"/>
      <c r="IJF1" s="30"/>
      <c r="IJG1" s="30"/>
      <c r="IJH1" s="30"/>
      <c r="IJI1" s="30"/>
      <c r="IJJ1" s="30"/>
      <c r="IJK1" s="30"/>
      <c r="IJL1" s="30"/>
      <c r="IJM1" s="30"/>
      <c r="IJN1" s="30"/>
      <c r="IJO1" s="30"/>
      <c r="IJP1" s="30"/>
      <c r="IJQ1" s="30"/>
      <c r="IJR1" s="30"/>
      <c r="IJS1" s="30"/>
      <c r="IJT1" s="30"/>
      <c r="IJU1" s="30"/>
      <c r="IJV1" s="30"/>
      <c r="IJW1" s="30"/>
      <c r="IJX1" s="30"/>
      <c r="IJY1" s="30"/>
      <c r="IJZ1" s="30"/>
      <c r="IKA1" s="30"/>
      <c r="IKB1" s="30"/>
      <c r="IKC1" s="30"/>
      <c r="IKD1" s="30"/>
      <c r="IKE1" s="30"/>
      <c r="IKF1" s="30"/>
      <c r="IKG1" s="30"/>
      <c r="IKH1" s="30"/>
      <c r="IKI1" s="30"/>
      <c r="IKJ1" s="30"/>
      <c r="IKK1" s="30"/>
      <c r="IKL1" s="30"/>
      <c r="IKM1" s="30"/>
      <c r="IKN1" s="30"/>
      <c r="IKO1" s="30"/>
      <c r="IKP1" s="30"/>
      <c r="IKQ1" s="30"/>
      <c r="IKR1" s="30"/>
      <c r="IKS1" s="30"/>
      <c r="IKT1" s="30"/>
      <c r="IKU1" s="30"/>
      <c r="IKV1" s="30"/>
      <c r="IKW1" s="30"/>
      <c r="IKX1" s="30"/>
      <c r="IKY1" s="30"/>
      <c r="IKZ1" s="30"/>
      <c r="ILA1" s="30"/>
      <c r="ILB1" s="30"/>
      <c r="ILC1" s="30"/>
      <c r="ILD1" s="30"/>
      <c r="ILE1" s="30"/>
      <c r="ILF1" s="30"/>
      <c r="ILG1" s="30"/>
      <c r="ILH1" s="30"/>
      <c r="ILI1" s="30"/>
      <c r="ILJ1" s="30"/>
      <c r="ILK1" s="30"/>
      <c r="ILL1" s="30"/>
      <c r="ILM1" s="30"/>
      <c r="ILN1" s="30"/>
      <c r="ILO1" s="30"/>
      <c r="ILP1" s="30"/>
      <c r="ILQ1" s="30"/>
      <c r="ILR1" s="30"/>
      <c r="ILS1" s="30"/>
      <c r="ILT1" s="30"/>
      <c r="ILU1" s="30"/>
      <c r="ILV1" s="30"/>
      <c r="ILW1" s="30"/>
      <c r="ILX1" s="30"/>
      <c r="ILY1" s="30"/>
      <c r="ILZ1" s="30"/>
      <c r="IMA1" s="30"/>
      <c r="IMB1" s="30"/>
      <c r="IMC1" s="30"/>
      <c r="IMD1" s="30"/>
      <c r="IME1" s="30"/>
      <c r="IMF1" s="30"/>
      <c r="IMG1" s="30"/>
      <c r="IMH1" s="30"/>
      <c r="IMI1" s="30"/>
      <c r="IMJ1" s="30"/>
      <c r="IMK1" s="30"/>
      <c r="IML1" s="30"/>
      <c r="IMM1" s="30"/>
      <c r="IMN1" s="30"/>
      <c r="IMO1" s="30"/>
      <c r="IMP1" s="30"/>
      <c r="IMQ1" s="30"/>
      <c r="IMR1" s="30"/>
      <c r="IMS1" s="30"/>
      <c r="IMT1" s="30"/>
      <c r="IMU1" s="30"/>
      <c r="IMV1" s="30"/>
      <c r="IMW1" s="30"/>
      <c r="IMX1" s="30"/>
      <c r="IMY1" s="30"/>
      <c r="IMZ1" s="30"/>
      <c r="INA1" s="30"/>
      <c r="INB1" s="30"/>
      <c r="INC1" s="30"/>
      <c r="IND1" s="30"/>
      <c r="INE1" s="30"/>
      <c r="INF1" s="30"/>
      <c r="ING1" s="30"/>
      <c r="INH1" s="30"/>
      <c r="INI1" s="30"/>
      <c r="INJ1" s="30"/>
      <c r="INK1" s="30"/>
      <c r="INL1" s="30"/>
      <c r="INM1" s="30"/>
      <c r="INN1" s="30"/>
      <c r="INO1" s="30"/>
      <c r="INP1" s="30"/>
      <c r="INQ1" s="30"/>
      <c r="INR1" s="30"/>
      <c r="INS1" s="30"/>
      <c r="INT1" s="30"/>
      <c r="INU1" s="30"/>
      <c r="INV1" s="30"/>
      <c r="INW1" s="30"/>
      <c r="INX1" s="30"/>
      <c r="INY1" s="30"/>
      <c r="INZ1" s="30"/>
      <c r="IOA1" s="30"/>
      <c r="IOB1" s="30"/>
      <c r="IOC1" s="30"/>
      <c r="IOD1" s="30"/>
      <c r="IOE1" s="30"/>
      <c r="IOF1" s="30"/>
      <c r="IOG1" s="30"/>
      <c r="IOH1" s="30"/>
      <c r="IOI1" s="30"/>
      <c r="IOJ1" s="30"/>
      <c r="IOK1" s="30"/>
      <c r="IOL1" s="30"/>
      <c r="IOM1" s="30"/>
      <c r="ION1" s="30"/>
      <c r="IOO1" s="30"/>
      <c r="IOP1" s="30"/>
      <c r="IOQ1" s="30"/>
      <c r="IOR1" s="30"/>
      <c r="IOS1" s="30"/>
      <c r="IOT1" s="30"/>
      <c r="IOU1" s="30"/>
      <c r="IOV1" s="30"/>
      <c r="IOW1" s="30"/>
      <c r="IOX1" s="30"/>
      <c r="IOY1" s="30"/>
      <c r="IOZ1" s="30"/>
      <c r="IPA1" s="30"/>
      <c r="IPB1" s="30"/>
      <c r="IPC1" s="30"/>
      <c r="IPD1" s="30"/>
      <c r="IPE1" s="30"/>
      <c r="IPF1" s="30"/>
      <c r="IPG1" s="30"/>
      <c r="IPH1" s="30"/>
      <c r="IPI1" s="30"/>
      <c r="IPJ1" s="30"/>
      <c r="IPK1" s="30"/>
      <c r="IPL1" s="30"/>
      <c r="IPM1" s="30"/>
      <c r="IPN1" s="30"/>
      <c r="IPO1" s="30"/>
      <c r="IPP1" s="30"/>
      <c r="IPQ1" s="30"/>
      <c r="IPR1" s="30"/>
      <c r="IPS1" s="30"/>
      <c r="IPT1" s="30"/>
      <c r="IPU1" s="30"/>
      <c r="IPV1" s="30"/>
      <c r="IPW1" s="30"/>
      <c r="IPX1" s="30"/>
      <c r="IPY1" s="30"/>
      <c r="IPZ1" s="30"/>
      <c r="IQA1" s="30"/>
      <c r="IQB1" s="30"/>
      <c r="IQC1" s="30"/>
      <c r="IQD1" s="30"/>
      <c r="IQE1" s="30"/>
      <c r="IQF1" s="30"/>
      <c r="IQG1" s="30"/>
      <c r="IQH1" s="30"/>
      <c r="IQI1" s="30"/>
      <c r="IQJ1" s="30"/>
      <c r="IQK1" s="30"/>
      <c r="IQL1" s="30"/>
      <c r="IQM1" s="30"/>
      <c r="IQN1" s="30"/>
      <c r="IQO1" s="30"/>
      <c r="IQP1" s="30"/>
      <c r="IQQ1" s="30"/>
      <c r="IQR1" s="30"/>
      <c r="IQS1" s="30"/>
      <c r="IQT1" s="30"/>
      <c r="IQU1" s="30"/>
      <c r="IQV1" s="30"/>
      <c r="IQW1" s="30"/>
      <c r="IQX1" s="30"/>
      <c r="IQY1" s="30"/>
      <c r="IQZ1" s="30"/>
      <c r="IRA1" s="30"/>
      <c r="IRB1" s="30"/>
      <c r="IRC1" s="30"/>
      <c r="IRD1" s="30"/>
      <c r="IRE1" s="30"/>
      <c r="IRF1" s="30"/>
      <c r="IRG1" s="30"/>
      <c r="IRH1" s="30"/>
      <c r="IRI1" s="30"/>
      <c r="IRJ1" s="30"/>
      <c r="IRK1" s="30"/>
      <c r="IRL1" s="30"/>
      <c r="IRM1" s="30"/>
      <c r="IRN1" s="30"/>
      <c r="IRO1" s="30"/>
      <c r="IRP1" s="30"/>
      <c r="IRQ1" s="30"/>
      <c r="IRR1" s="30"/>
      <c r="IRS1" s="30"/>
      <c r="IRT1" s="30"/>
      <c r="IRU1" s="30"/>
      <c r="IRV1" s="30"/>
      <c r="IRW1" s="30"/>
      <c r="IRX1" s="30"/>
      <c r="IRY1" s="30"/>
      <c r="IRZ1" s="30"/>
      <c r="ISA1" s="30"/>
      <c r="ISB1" s="30"/>
      <c r="ISC1" s="30"/>
      <c r="ISD1" s="30"/>
      <c r="ISE1" s="30"/>
      <c r="ISF1" s="30"/>
      <c r="ISG1" s="30"/>
      <c r="ISH1" s="30"/>
      <c r="ISI1" s="30"/>
      <c r="ISJ1" s="30"/>
      <c r="ISK1" s="30"/>
      <c r="ISL1" s="30"/>
      <c r="ISM1" s="30"/>
      <c r="ISN1" s="30"/>
      <c r="ISO1" s="30"/>
      <c r="ISP1" s="30"/>
      <c r="ISQ1" s="30"/>
      <c r="ISR1" s="30"/>
      <c r="ISS1" s="30"/>
      <c r="IST1" s="30"/>
      <c r="ISU1" s="30"/>
      <c r="ISV1" s="30"/>
      <c r="ISW1" s="30"/>
      <c r="ISX1" s="30"/>
      <c r="ISY1" s="30"/>
      <c r="ISZ1" s="30"/>
      <c r="ITA1" s="30"/>
      <c r="ITB1" s="30"/>
      <c r="ITC1" s="30"/>
      <c r="ITD1" s="30"/>
      <c r="ITE1" s="30"/>
      <c r="ITF1" s="30"/>
      <c r="ITG1" s="30"/>
      <c r="ITH1" s="30"/>
      <c r="ITI1" s="30"/>
      <c r="ITJ1" s="30"/>
      <c r="ITK1" s="30"/>
      <c r="ITL1" s="30"/>
      <c r="ITM1" s="30"/>
      <c r="ITN1" s="30"/>
      <c r="ITO1" s="30"/>
      <c r="ITP1" s="30"/>
      <c r="ITQ1" s="30"/>
      <c r="ITR1" s="30"/>
      <c r="ITS1" s="30"/>
      <c r="ITT1" s="30"/>
      <c r="ITU1" s="30"/>
      <c r="ITV1" s="30"/>
      <c r="ITW1" s="30"/>
      <c r="ITX1" s="30"/>
      <c r="ITY1" s="30"/>
      <c r="ITZ1" s="30"/>
      <c r="IUA1" s="30"/>
      <c r="IUB1" s="30"/>
      <c r="IUC1" s="30"/>
      <c r="IUD1" s="30"/>
      <c r="IUE1" s="30"/>
      <c r="IUF1" s="30"/>
      <c r="IUG1" s="30"/>
      <c r="IUH1" s="30"/>
      <c r="IUI1" s="30"/>
      <c r="IUJ1" s="30"/>
      <c r="IUK1" s="30"/>
      <c r="IUL1" s="30"/>
      <c r="IUM1" s="30"/>
      <c r="IUN1" s="30"/>
      <c r="IUO1" s="30"/>
      <c r="IUP1" s="30"/>
      <c r="IUQ1" s="30"/>
      <c r="IUR1" s="30"/>
      <c r="IUS1" s="30"/>
      <c r="IUT1" s="30"/>
      <c r="IUU1" s="30"/>
      <c r="IUV1" s="30"/>
      <c r="IUW1" s="30"/>
      <c r="IUX1" s="30"/>
      <c r="IUY1" s="30"/>
      <c r="IUZ1" s="30"/>
      <c r="IVA1" s="30"/>
      <c r="IVB1" s="30"/>
      <c r="IVC1" s="30"/>
      <c r="IVD1" s="30"/>
      <c r="IVE1" s="30"/>
      <c r="IVF1" s="30"/>
      <c r="IVG1" s="30"/>
      <c r="IVH1" s="30"/>
      <c r="IVI1" s="30"/>
      <c r="IVJ1" s="30"/>
      <c r="IVK1" s="30"/>
      <c r="IVL1" s="30"/>
      <c r="IVM1" s="30"/>
      <c r="IVN1" s="30"/>
      <c r="IVO1" s="30"/>
      <c r="IVP1" s="30"/>
      <c r="IVQ1" s="30"/>
      <c r="IVR1" s="30"/>
      <c r="IVS1" s="30"/>
      <c r="IVT1" s="30"/>
      <c r="IVU1" s="30"/>
      <c r="IVV1" s="30"/>
      <c r="IVW1" s="30"/>
      <c r="IVX1" s="30"/>
      <c r="IVY1" s="30"/>
      <c r="IVZ1" s="30"/>
      <c r="IWA1" s="30"/>
      <c r="IWB1" s="30"/>
      <c r="IWC1" s="30"/>
      <c r="IWD1" s="30"/>
      <c r="IWE1" s="30"/>
      <c r="IWF1" s="30"/>
      <c r="IWG1" s="30"/>
      <c r="IWH1" s="30"/>
      <c r="IWI1" s="30"/>
      <c r="IWJ1" s="30"/>
      <c r="IWK1" s="30"/>
      <c r="IWL1" s="30"/>
      <c r="IWM1" s="30"/>
      <c r="IWN1" s="30"/>
      <c r="IWO1" s="30"/>
      <c r="IWP1" s="30"/>
      <c r="IWQ1" s="30"/>
      <c r="IWR1" s="30"/>
      <c r="IWS1" s="30"/>
      <c r="IWT1" s="30"/>
      <c r="IWU1" s="30"/>
      <c r="IWV1" s="30"/>
      <c r="IWW1" s="30"/>
      <c r="IWX1" s="30"/>
      <c r="IWY1" s="30"/>
      <c r="IWZ1" s="30"/>
      <c r="IXA1" s="30"/>
      <c r="IXB1" s="30"/>
      <c r="IXC1" s="30"/>
      <c r="IXD1" s="30"/>
      <c r="IXE1" s="30"/>
      <c r="IXF1" s="30"/>
      <c r="IXG1" s="30"/>
      <c r="IXH1" s="30"/>
      <c r="IXI1" s="30"/>
      <c r="IXJ1" s="30"/>
      <c r="IXK1" s="30"/>
      <c r="IXL1" s="30"/>
      <c r="IXM1" s="30"/>
      <c r="IXN1" s="30"/>
      <c r="IXO1" s="30"/>
      <c r="IXP1" s="30"/>
      <c r="IXQ1" s="30"/>
      <c r="IXR1" s="30"/>
      <c r="IXS1" s="30"/>
      <c r="IXT1" s="30"/>
      <c r="IXU1" s="30"/>
      <c r="IXV1" s="30"/>
      <c r="IXW1" s="30"/>
      <c r="IXX1" s="30"/>
      <c r="IXY1" s="30"/>
      <c r="IXZ1" s="30"/>
      <c r="IYA1" s="30"/>
      <c r="IYB1" s="30"/>
      <c r="IYC1" s="30"/>
      <c r="IYD1" s="30"/>
      <c r="IYE1" s="30"/>
      <c r="IYF1" s="30"/>
      <c r="IYG1" s="30"/>
      <c r="IYH1" s="30"/>
      <c r="IYI1" s="30"/>
      <c r="IYJ1" s="30"/>
      <c r="IYK1" s="30"/>
      <c r="IYL1" s="30"/>
      <c r="IYM1" s="30"/>
      <c r="IYN1" s="30"/>
      <c r="IYO1" s="30"/>
      <c r="IYP1" s="30"/>
      <c r="IYQ1" s="30"/>
      <c r="IYR1" s="30"/>
      <c r="IYS1" s="30"/>
      <c r="IYT1" s="30"/>
      <c r="IYU1" s="30"/>
      <c r="IYV1" s="30"/>
      <c r="IYW1" s="30"/>
      <c r="IYX1" s="30"/>
      <c r="IYY1" s="30"/>
      <c r="IYZ1" s="30"/>
      <c r="IZA1" s="30"/>
      <c r="IZB1" s="30"/>
      <c r="IZC1" s="30"/>
      <c r="IZD1" s="30"/>
      <c r="IZE1" s="30"/>
      <c r="IZF1" s="30"/>
      <c r="IZG1" s="30"/>
      <c r="IZH1" s="30"/>
      <c r="IZI1" s="30"/>
      <c r="IZJ1" s="30"/>
      <c r="IZK1" s="30"/>
      <c r="IZL1" s="30"/>
      <c r="IZM1" s="30"/>
      <c r="IZN1" s="30"/>
      <c r="IZO1" s="30"/>
      <c r="IZP1" s="30"/>
      <c r="IZQ1" s="30"/>
      <c r="IZR1" s="30"/>
      <c r="IZS1" s="30"/>
      <c r="IZT1" s="30"/>
      <c r="IZU1" s="30"/>
      <c r="IZV1" s="30"/>
      <c r="IZW1" s="30"/>
      <c r="IZX1" s="30"/>
      <c r="IZY1" s="30"/>
      <c r="IZZ1" s="30"/>
      <c r="JAA1" s="30"/>
      <c r="JAB1" s="30"/>
      <c r="JAC1" s="30"/>
      <c r="JAD1" s="30"/>
      <c r="JAE1" s="30"/>
      <c r="JAF1" s="30"/>
      <c r="JAG1" s="30"/>
      <c r="JAH1" s="30"/>
      <c r="JAI1" s="30"/>
      <c r="JAJ1" s="30"/>
      <c r="JAK1" s="30"/>
      <c r="JAL1" s="30"/>
      <c r="JAM1" s="30"/>
      <c r="JAN1" s="30"/>
      <c r="JAO1" s="30"/>
      <c r="JAP1" s="30"/>
      <c r="JAQ1" s="30"/>
      <c r="JAR1" s="30"/>
      <c r="JAS1" s="30"/>
      <c r="JAT1" s="30"/>
      <c r="JAU1" s="30"/>
      <c r="JAV1" s="30"/>
      <c r="JAW1" s="30"/>
      <c r="JAX1" s="30"/>
      <c r="JAY1" s="30"/>
      <c r="JAZ1" s="30"/>
      <c r="JBA1" s="30"/>
      <c r="JBB1" s="30"/>
      <c r="JBC1" s="30"/>
      <c r="JBD1" s="30"/>
      <c r="JBE1" s="30"/>
      <c r="JBF1" s="30"/>
      <c r="JBG1" s="30"/>
      <c r="JBH1" s="30"/>
      <c r="JBI1" s="30"/>
      <c r="JBJ1" s="30"/>
      <c r="JBK1" s="30"/>
      <c r="JBL1" s="30"/>
      <c r="JBM1" s="30"/>
      <c r="JBN1" s="30"/>
      <c r="JBO1" s="30"/>
      <c r="JBP1" s="30"/>
      <c r="JBQ1" s="30"/>
      <c r="JBR1" s="30"/>
      <c r="JBS1" s="30"/>
      <c r="JBT1" s="30"/>
      <c r="JBU1" s="30"/>
      <c r="JBV1" s="30"/>
      <c r="JBW1" s="30"/>
      <c r="JBX1" s="30"/>
      <c r="JBY1" s="30"/>
      <c r="JBZ1" s="30"/>
      <c r="JCA1" s="30"/>
      <c r="JCB1" s="30"/>
      <c r="JCC1" s="30"/>
      <c r="JCD1" s="30"/>
      <c r="JCE1" s="30"/>
      <c r="JCF1" s="30"/>
      <c r="JCG1" s="30"/>
      <c r="JCH1" s="30"/>
      <c r="JCI1" s="30"/>
      <c r="JCJ1" s="30"/>
      <c r="JCK1" s="30"/>
      <c r="JCL1" s="30"/>
      <c r="JCM1" s="30"/>
      <c r="JCN1" s="30"/>
      <c r="JCO1" s="30"/>
      <c r="JCP1" s="30"/>
      <c r="JCQ1" s="30"/>
      <c r="JCR1" s="30"/>
      <c r="JCS1" s="30"/>
      <c r="JCT1" s="30"/>
      <c r="JCU1" s="30"/>
      <c r="JCV1" s="30"/>
      <c r="JCW1" s="30"/>
      <c r="JCX1" s="30"/>
      <c r="JCY1" s="30"/>
      <c r="JCZ1" s="30"/>
      <c r="JDA1" s="30"/>
      <c r="JDB1" s="30"/>
      <c r="JDC1" s="30"/>
      <c r="JDD1" s="30"/>
      <c r="JDE1" s="30"/>
      <c r="JDF1" s="30"/>
      <c r="JDG1" s="30"/>
      <c r="JDH1" s="30"/>
      <c r="JDI1" s="30"/>
      <c r="JDJ1" s="30"/>
      <c r="JDK1" s="30"/>
      <c r="JDL1" s="30"/>
      <c r="JDM1" s="30"/>
      <c r="JDN1" s="30"/>
      <c r="JDO1" s="30"/>
      <c r="JDP1" s="30"/>
      <c r="JDQ1" s="30"/>
      <c r="JDR1" s="30"/>
      <c r="JDS1" s="30"/>
      <c r="JDT1" s="30"/>
      <c r="JDU1" s="30"/>
      <c r="JDV1" s="30"/>
      <c r="JDW1" s="30"/>
      <c r="JDX1" s="30"/>
      <c r="JDY1" s="30"/>
      <c r="JDZ1" s="30"/>
      <c r="JEA1" s="30"/>
      <c r="JEB1" s="30"/>
      <c r="JEC1" s="30"/>
      <c r="JED1" s="30"/>
      <c r="JEE1" s="30"/>
      <c r="JEF1" s="30"/>
      <c r="JEG1" s="30"/>
      <c r="JEH1" s="30"/>
      <c r="JEI1" s="30"/>
      <c r="JEJ1" s="30"/>
      <c r="JEK1" s="30"/>
      <c r="JEL1" s="30"/>
      <c r="JEM1" s="30"/>
      <c r="JEN1" s="30"/>
      <c r="JEO1" s="30"/>
      <c r="JEP1" s="30"/>
      <c r="JEQ1" s="30"/>
      <c r="JER1" s="30"/>
      <c r="JES1" s="30"/>
      <c r="JET1" s="30"/>
      <c r="JEU1" s="30"/>
      <c r="JEV1" s="30"/>
      <c r="JEW1" s="30"/>
      <c r="JEX1" s="30"/>
      <c r="JEY1" s="30"/>
      <c r="JEZ1" s="30"/>
      <c r="JFA1" s="30"/>
      <c r="JFB1" s="30"/>
      <c r="JFC1" s="30"/>
      <c r="JFD1" s="30"/>
      <c r="JFE1" s="30"/>
      <c r="JFF1" s="30"/>
      <c r="JFG1" s="30"/>
      <c r="JFH1" s="30"/>
      <c r="JFI1" s="30"/>
      <c r="JFJ1" s="30"/>
      <c r="JFK1" s="30"/>
      <c r="JFL1" s="30"/>
      <c r="JFM1" s="30"/>
      <c r="JFN1" s="30"/>
      <c r="JFO1" s="30"/>
      <c r="JFP1" s="30"/>
      <c r="JFQ1" s="30"/>
      <c r="JFR1" s="30"/>
      <c r="JFS1" s="30"/>
      <c r="JFT1" s="30"/>
      <c r="JFU1" s="30"/>
      <c r="JFV1" s="30"/>
      <c r="JFW1" s="30"/>
      <c r="JFX1" s="30"/>
      <c r="JFY1" s="30"/>
      <c r="JFZ1" s="30"/>
      <c r="JGA1" s="30"/>
      <c r="JGB1" s="30"/>
      <c r="JGC1" s="30"/>
      <c r="JGD1" s="30"/>
      <c r="JGE1" s="30"/>
      <c r="JGF1" s="30"/>
      <c r="JGG1" s="30"/>
      <c r="JGH1" s="30"/>
      <c r="JGI1" s="30"/>
      <c r="JGJ1" s="30"/>
      <c r="JGK1" s="30"/>
      <c r="JGL1" s="30"/>
      <c r="JGM1" s="30"/>
      <c r="JGN1" s="30"/>
      <c r="JGO1" s="30"/>
      <c r="JGP1" s="30"/>
      <c r="JGQ1" s="30"/>
      <c r="JGR1" s="30"/>
      <c r="JGS1" s="30"/>
      <c r="JGT1" s="30"/>
      <c r="JGU1" s="30"/>
      <c r="JGV1" s="30"/>
      <c r="JGW1" s="30"/>
      <c r="JGX1" s="30"/>
      <c r="JGY1" s="30"/>
      <c r="JGZ1" s="30"/>
      <c r="JHA1" s="30"/>
      <c r="JHB1" s="30"/>
      <c r="JHC1" s="30"/>
      <c r="JHD1" s="30"/>
      <c r="JHE1" s="30"/>
      <c r="JHF1" s="30"/>
      <c r="JHG1" s="30"/>
      <c r="JHH1" s="30"/>
      <c r="JHI1" s="30"/>
      <c r="JHJ1" s="30"/>
      <c r="JHK1" s="30"/>
      <c r="JHL1" s="30"/>
      <c r="JHM1" s="30"/>
      <c r="JHN1" s="30"/>
      <c r="JHO1" s="30"/>
      <c r="JHP1" s="30"/>
      <c r="JHQ1" s="30"/>
      <c r="JHR1" s="30"/>
      <c r="JHS1" s="30"/>
      <c r="JHT1" s="30"/>
      <c r="JHU1" s="30"/>
      <c r="JHV1" s="30"/>
      <c r="JHW1" s="30"/>
      <c r="JHX1" s="30"/>
      <c r="JHY1" s="30"/>
      <c r="JHZ1" s="30"/>
      <c r="JIA1" s="30"/>
      <c r="JIB1" s="30"/>
      <c r="JIC1" s="30"/>
      <c r="JID1" s="30"/>
      <c r="JIE1" s="30"/>
      <c r="JIF1" s="30"/>
      <c r="JIG1" s="30"/>
      <c r="JIH1" s="30"/>
      <c r="JII1" s="30"/>
      <c r="JIJ1" s="30"/>
      <c r="JIK1" s="30"/>
      <c r="JIL1" s="30"/>
      <c r="JIM1" s="30"/>
      <c r="JIN1" s="30"/>
      <c r="JIO1" s="30"/>
      <c r="JIP1" s="30"/>
      <c r="JIQ1" s="30"/>
      <c r="JIR1" s="30"/>
      <c r="JIS1" s="30"/>
      <c r="JIT1" s="30"/>
      <c r="JIU1" s="30"/>
      <c r="JIV1" s="30"/>
      <c r="JIW1" s="30"/>
      <c r="JIX1" s="30"/>
      <c r="JIY1" s="30"/>
      <c r="JIZ1" s="30"/>
      <c r="JJA1" s="30"/>
      <c r="JJB1" s="30"/>
      <c r="JJC1" s="30"/>
      <c r="JJD1" s="30"/>
      <c r="JJE1" s="30"/>
      <c r="JJF1" s="30"/>
      <c r="JJG1" s="30"/>
      <c r="JJH1" s="30"/>
      <c r="JJI1" s="30"/>
      <c r="JJJ1" s="30"/>
      <c r="JJK1" s="30"/>
      <c r="JJL1" s="30"/>
      <c r="JJM1" s="30"/>
      <c r="JJN1" s="30"/>
      <c r="JJO1" s="30"/>
      <c r="JJP1" s="30"/>
      <c r="JJQ1" s="30"/>
      <c r="JJR1" s="30"/>
      <c r="JJS1" s="30"/>
      <c r="JJT1" s="30"/>
      <c r="JJU1" s="30"/>
      <c r="JJV1" s="30"/>
      <c r="JJW1" s="30"/>
      <c r="JJX1" s="30"/>
      <c r="JJY1" s="30"/>
      <c r="JJZ1" s="30"/>
      <c r="JKA1" s="30"/>
      <c r="JKB1" s="30"/>
      <c r="JKC1" s="30"/>
      <c r="JKD1" s="30"/>
      <c r="JKE1" s="30"/>
      <c r="JKF1" s="30"/>
      <c r="JKG1" s="30"/>
      <c r="JKH1" s="30"/>
      <c r="JKI1" s="30"/>
      <c r="JKJ1" s="30"/>
      <c r="JKK1" s="30"/>
      <c r="JKL1" s="30"/>
      <c r="JKM1" s="30"/>
      <c r="JKN1" s="30"/>
      <c r="JKO1" s="30"/>
      <c r="JKP1" s="30"/>
      <c r="JKQ1" s="30"/>
      <c r="JKR1" s="30"/>
      <c r="JKS1" s="30"/>
      <c r="JKT1" s="30"/>
      <c r="JKU1" s="30"/>
      <c r="JKV1" s="30"/>
      <c r="JKW1" s="30"/>
      <c r="JKX1" s="30"/>
      <c r="JKY1" s="30"/>
      <c r="JKZ1" s="30"/>
      <c r="JLA1" s="30"/>
      <c r="JLB1" s="30"/>
      <c r="JLC1" s="30"/>
      <c r="JLD1" s="30"/>
      <c r="JLE1" s="30"/>
      <c r="JLF1" s="30"/>
      <c r="JLG1" s="30"/>
      <c r="JLH1" s="30"/>
      <c r="JLI1" s="30"/>
      <c r="JLJ1" s="30"/>
      <c r="JLK1" s="30"/>
      <c r="JLL1" s="30"/>
      <c r="JLM1" s="30"/>
      <c r="JLN1" s="30"/>
      <c r="JLO1" s="30"/>
      <c r="JLP1" s="30"/>
      <c r="JLQ1" s="30"/>
      <c r="JLR1" s="30"/>
      <c r="JLS1" s="30"/>
      <c r="JLT1" s="30"/>
      <c r="JLU1" s="30"/>
      <c r="JLV1" s="30"/>
      <c r="JLW1" s="30"/>
      <c r="JLX1" s="30"/>
      <c r="JLY1" s="30"/>
      <c r="JLZ1" s="30"/>
      <c r="JMA1" s="30"/>
      <c r="JMB1" s="30"/>
      <c r="JMC1" s="30"/>
      <c r="JMD1" s="30"/>
      <c r="JME1" s="30"/>
      <c r="JMF1" s="30"/>
      <c r="JMG1" s="30"/>
      <c r="JMH1" s="30"/>
      <c r="JMI1" s="30"/>
      <c r="JMJ1" s="30"/>
      <c r="JMK1" s="30"/>
      <c r="JML1" s="30"/>
      <c r="JMM1" s="30"/>
      <c r="JMN1" s="30"/>
      <c r="JMO1" s="30"/>
      <c r="JMP1" s="30"/>
      <c r="JMQ1" s="30"/>
      <c r="JMR1" s="30"/>
      <c r="JMS1" s="30"/>
      <c r="JMT1" s="30"/>
      <c r="JMU1" s="30"/>
      <c r="JMV1" s="30"/>
      <c r="JMW1" s="30"/>
      <c r="JMX1" s="30"/>
      <c r="JMY1" s="30"/>
      <c r="JMZ1" s="30"/>
      <c r="JNA1" s="30"/>
      <c r="JNB1" s="30"/>
      <c r="JNC1" s="30"/>
      <c r="JND1" s="30"/>
      <c r="JNE1" s="30"/>
      <c r="JNF1" s="30"/>
      <c r="JNG1" s="30"/>
      <c r="JNH1" s="30"/>
      <c r="JNI1" s="30"/>
      <c r="JNJ1" s="30"/>
      <c r="JNK1" s="30"/>
      <c r="JNL1" s="30"/>
      <c r="JNM1" s="30"/>
      <c r="JNN1" s="30"/>
      <c r="JNO1" s="30"/>
      <c r="JNP1" s="30"/>
      <c r="JNQ1" s="30"/>
      <c r="JNR1" s="30"/>
      <c r="JNS1" s="30"/>
      <c r="JNT1" s="30"/>
      <c r="JNU1" s="30"/>
      <c r="JNV1" s="30"/>
      <c r="JNW1" s="30"/>
      <c r="JNX1" s="30"/>
      <c r="JNY1" s="30"/>
      <c r="JNZ1" s="30"/>
      <c r="JOA1" s="30"/>
      <c r="JOB1" s="30"/>
      <c r="JOC1" s="30"/>
      <c r="JOD1" s="30"/>
      <c r="JOE1" s="30"/>
      <c r="JOF1" s="30"/>
      <c r="JOG1" s="30"/>
      <c r="JOH1" s="30"/>
      <c r="JOI1" s="30"/>
      <c r="JOJ1" s="30"/>
      <c r="JOK1" s="30"/>
      <c r="JOL1" s="30"/>
      <c r="JOM1" s="30"/>
      <c r="JON1" s="30"/>
      <c r="JOO1" s="30"/>
      <c r="JOP1" s="30"/>
      <c r="JOQ1" s="30"/>
      <c r="JOR1" s="30"/>
      <c r="JOS1" s="30"/>
      <c r="JOT1" s="30"/>
      <c r="JOU1" s="30"/>
      <c r="JOV1" s="30"/>
      <c r="JOW1" s="30"/>
      <c r="JOX1" s="30"/>
      <c r="JOY1" s="30"/>
      <c r="JOZ1" s="30"/>
      <c r="JPA1" s="30"/>
      <c r="JPB1" s="30"/>
      <c r="JPC1" s="30"/>
      <c r="JPD1" s="30"/>
      <c r="JPE1" s="30"/>
      <c r="JPF1" s="30"/>
      <c r="JPG1" s="30"/>
      <c r="JPH1" s="30"/>
      <c r="JPI1" s="30"/>
      <c r="JPJ1" s="30"/>
      <c r="JPK1" s="30"/>
      <c r="JPL1" s="30"/>
      <c r="JPM1" s="30"/>
      <c r="JPN1" s="30"/>
      <c r="JPO1" s="30"/>
      <c r="JPP1" s="30"/>
      <c r="JPQ1" s="30"/>
      <c r="JPR1" s="30"/>
      <c r="JPS1" s="30"/>
      <c r="JPT1" s="30"/>
      <c r="JPU1" s="30"/>
      <c r="JPV1" s="30"/>
      <c r="JPW1" s="30"/>
      <c r="JPX1" s="30"/>
      <c r="JPY1" s="30"/>
      <c r="JPZ1" s="30"/>
      <c r="JQA1" s="30"/>
      <c r="JQB1" s="30"/>
      <c r="JQC1" s="30"/>
      <c r="JQD1" s="30"/>
      <c r="JQE1" s="30"/>
      <c r="JQF1" s="30"/>
      <c r="JQG1" s="30"/>
      <c r="JQH1" s="30"/>
      <c r="JQI1" s="30"/>
      <c r="JQJ1" s="30"/>
      <c r="JQK1" s="30"/>
      <c r="JQL1" s="30"/>
      <c r="JQM1" s="30"/>
      <c r="JQN1" s="30"/>
      <c r="JQO1" s="30"/>
      <c r="JQP1" s="30"/>
      <c r="JQQ1" s="30"/>
      <c r="JQR1" s="30"/>
      <c r="JQS1" s="30"/>
      <c r="JQT1" s="30"/>
      <c r="JQU1" s="30"/>
      <c r="JQV1" s="30"/>
      <c r="JQW1" s="30"/>
      <c r="JQX1" s="30"/>
      <c r="JQY1" s="30"/>
      <c r="JQZ1" s="30"/>
      <c r="JRA1" s="30"/>
      <c r="JRB1" s="30"/>
      <c r="JRC1" s="30"/>
      <c r="JRD1" s="30"/>
      <c r="JRE1" s="30"/>
      <c r="JRF1" s="30"/>
      <c r="JRG1" s="30"/>
      <c r="JRH1" s="30"/>
      <c r="JRI1" s="30"/>
      <c r="JRJ1" s="30"/>
      <c r="JRK1" s="30"/>
      <c r="JRL1" s="30"/>
      <c r="JRM1" s="30"/>
      <c r="JRN1" s="30"/>
      <c r="JRO1" s="30"/>
      <c r="JRP1" s="30"/>
      <c r="JRQ1" s="30"/>
      <c r="JRR1" s="30"/>
      <c r="JRS1" s="30"/>
      <c r="JRT1" s="30"/>
      <c r="JRU1" s="30"/>
      <c r="JRV1" s="30"/>
      <c r="JRW1" s="30"/>
      <c r="JRX1" s="30"/>
      <c r="JRY1" s="30"/>
      <c r="JRZ1" s="30"/>
      <c r="JSA1" s="30"/>
      <c r="JSB1" s="30"/>
      <c r="JSC1" s="30"/>
      <c r="JSD1" s="30"/>
      <c r="JSE1" s="30"/>
      <c r="JSF1" s="30"/>
      <c r="JSG1" s="30"/>
      <c r="JSH1" s="30"/>
      <c r="JSI1" s="30"/>
      <c r="JSJ1" s="30"/>
      <c r="JSK1" s="30"/>
      <c r="JSL1" s="30"/>
      <c r="JSM1" s="30"/>
      <c r="JSN1" s="30"/>
      <c r="JSO1" s="30"/>
      <c r="JSP1" s="30"/>
      <c r="JSQ1" s="30"/>
      <c r="JSR1" s="30"/>
      <c r="JSS1" s="30"/>
      <c r="JST1" s="30"/>
      <c r="JSU1" s="30"/>
      <c r="JSV1" s="30"/>
      <c r="JSW1" s="30"/>
      <c r="JSX1" s="30"/>
      <c r="JSY1" s="30"/>
      <c r="JSZ1" s="30"/>
      <c r="JTA1" s="30"/>
      <c r="JTB1" s="30"/>
      <c r="JTC1" s="30"/>
      <c r="JTD1" s="30"/>
      <c r="JTE1" s="30"/>
      <c r="JTF1" s="30"/>
      <c r="JTG1" s="30"/>
      <c r="JTH1" s="30"/>
      <c r="JTI1" s="30"/>
      <c r="JTJ1" s="30"/>
      <c r="JTK1" s="30"/>
      <c r="JTL1" s="30"/>
      <c r="JTM1" s="30"/>
      <c r="JTN1" s="30"/>
      <c r="JTO1" s="30"/>
      <c r="JTP1" s="30"/>
      <c r="JTQ1" s="30"/>
      <c r="JTR1" s="30"/>
      <c r="JTS1" s="30"/>
      <c r="JTT1" s="30"/>
      <c r="JTU1" s="30"/>
      <c r="JTV1" s="30"/>
      <c r="JTW1" s="30"/>
      <c r="JTX1" s="30"/>
      <c r="JTY1" s="30"/>
      <c r="JTZ1" s="30"/>
      <c r="JUA1" s="30"/>
      <c r="JUB1" s="30"/>
      <c r="JUC1" s="30"/>
      <c r="JUD1" s="30"/>
      <c r="JUE1" s="30"/>
      <c r="JUF1" s="30"/>
      <c r="JUG1" s="30"/>
      <c r="JUH1" s="30"/>
      <c r="JUI1" s="30"/>
      <c r="JUJ1" s="30"/>
      <c r="JUK1" s="30"/>
      <c r="JUL1" s="30"/>
      <c r="JUM1" s="30"/>
      <c r="JUN1" s="30"/>
      <c r="JUO1" s="30"/>
      <c r="JUP1" s="30"/>
      <c r="JUQ1" s="30"/>
      <c r="JUR1" s="30"/>
      <c r="JUS1" s="30"/>
      <c r="JUT1" s="30"/>
      <c r="JUU1" s="30"/>
      <c r="JUV1" s="30"/>
      <c r="JUW1" s="30"/>
      <c r="JUX1" s="30"/>
      <c r="JUY1" s="30"/>
      <c r="JUZ1" s="30"/>
      <c r="JVA1" s="30"/>
      <c r="JVB1" s="30"/>
      <c r="JVC1" s="30"/>
      <c r="JVD1" s="30"/>
      <c r="JVE1" s="30"/>
      <c r="JVF1" s="30"/>
      <c r="JVG1" s="30"/>
      <c r="JVH1" s="30"/>
      <c r="JVI1" s="30"/>
      <c r="JVJ1" s="30"/>
      <c r="JVK1" s="30"/>
      <c r="JVL1" s="30"/>
      <c r="JVM1" s="30"/>
      <c r="JVN1" s="30"/>
      <c r="JVO1" s="30"/>
      <c r="JVP1" s="30"/>
      <c r="JVQ1" s="30"/>
      <c r="JVR1" s="30"/>
      <c r="JVS1" s="30"/>
      <c r="JVT1" s="30"/>
      <c r="JVU1" s="30"/>
      <c r="JVV1" s="30"/>
      <c r="JVW1" s="30"/>
      <c r="JVX1" s="30"/>
      <c r="JVY1" s="30"/>
      <c r="JVZ1" s="30"/>
      <c r="JWA1" s="30"/>
      <c r="JWB1" s="30"/>
      <c r="JWC1" s="30"/>
      <c r="JWD1" s="30"/>
      <c r="JWE1" s="30"/>
      <c r="JWF1" s="30"/>
      <c r="JWG1" s="30"/>
      <c r="JWH1" s="30"/>
      <c r="JWI1" s="30"/>
      <c r="JWJ1" s="30"/>
      <c r="JWK1" s="30"/>
      <c r="JWL1" s="30"/>
      <c r="JWM1" s="30"/>
      <c r="JWN1" s="30"/>
      <c r="JWO1" s="30"/>
      <c r="JWP1" s="30"/>
      <c r="JWQ1" s="30"/>
      <c r="JWR1" s="30"/>
      <c r="JWS1" s="30"/>
      <c r="JWT1" s="30"/>
      <c r="JWU1" s="30"/>
      <c r="JWV1" s="30"/>
      <c r="JWW1" s="30"/>
      <c r="JWX1" s="30"/>
      <c r="JWY1" s="30"/>
      <c r="JWZ1" s="30"/>
      <c r="JXA1" s="30"/>
      <c r="JXB1" s="30"/>
      <c r="JXC1" s="30"/>
      <c r="JXD1" s="30"/>
      <c r="JXE1" s="30"/>
      <c r="JXF1" s="30"/>
      <c r="JXG1" s="30"/>
      <c r="JXH1" s="30"/>
      <c r="JXI1" s="30"/>
      <c r="JXJ1" s="30"/>
      <c r="JXK1" s="30"/>
      <c r="JXL1" s="30"/>
      <c r="JXM1" s="30"/>
      <c r="JXN1" s="30"/>
      <c r="JXO1" s="30"/>
      <c r="JXP1" s="30"/>
      <c r="JXQ1" s="30"/>
      <c r="JXR1" s="30"/>
      <c r="JXS1" s="30"/>
      <c r="JXT1" s="30"/>
      <c r="JXU1" s="30"/>
      <c r="JXV1" s="30"/>
      <c r="JXW1" s="30"/>
      <c r="JXX1" s="30"/>
      <c r="JXY1" s="30"/>
      <c r="JXZ1" s="30"/>
      <c r="JYA1" s="30"/>
      <c r="JYB1" s="30"/>
      <c r="JYC1" s="30"/>
      <c r="JYD1" s="30"/>
      <c r="JYE1" s="30"/>
      <c r="JYF1" s="30"/>
      <c r="JYG1" s="30"/>
      <c r="JYH1" s="30"/>
      <c r="JYI1" s="30"/>
      <c r="JYJ1" s="30"/>
      <c r="JYK1" s="30"/>
      <c r="JYL1" s="30"/>
      <c r="JYM1" s="30"/>
      <c r="JYN1" s="30"/>
      <c r="JYO1" s="30"/>
      <c r="JYP1" s="30"/>
      <c r="JYQ1" s="30"/>
      <c r="JYR1" s="30"/>
      <c r="JYS1" s="30"/>
      <c r="JYT1" s="30"/>
      <c r="JYU1" s="30"/>
      <c r="JYV1" s="30"/>
      <c r="JYW1" s="30"/>
      <c r="JYX1" s="30"/>
      <c r="JYY1" s="30"/>
      <c r="JYZ1" s="30"/>
      <c r="JZA1" s="30"/>
      <c r="JZB1" s="30"/>
      <c r="JZC1" s="30"/>
      <c r="JZD1" s="30"/>
      <c r="JZE1" s="30"/>
      <c r="JZF1" s="30"/>
      <c r="JZG1" s="30"/>
      <c r="JZH1" s="30"/>
      <c r="JZI1" s="30"/>
      <c r="JZJ1" s="30"/>
      <c r="JZK1" s="30"/>
      <c r="JZL1" s="30"/>
      <c r="JZM1" s="30"/>
      <c r="JZN1" s="30"/>
      <c r="JZO1" s="30"/>
      <c r="JZP1" s="30"/>
      <c r="JZQ1" s="30"/>
      <c r="JZR1" s="30"/>
      <c r="JZS1" s="30"/>
      <c r="JZT1" s="30"/>
      <c r="JZU1" s="30"/>
      <c r="JZV1" s="30"/>
      <c r="JZW1" s="30"/>
      <c r="JZX1" s="30"/>
      <c r="JZY1" s="30"/>
      <c r="JZZ1" s="30"/>
      <c r="KAA1" s="30"/>
      <c r="KAB1" s="30"/>
      <c r="KAC1" s="30"/>
      <c r="KAD1" s="30"/>
      <c r="KAE1" s="30"/>
      <c r="KAF1" s="30"/>
      <c r="KAG1" s="30"/>
      <c r="KAH1" s="30"/>
      <c r="KAI1" s="30"/>
      <c r="KAJ1" s="30"/>
      <c r="KAK1" s="30"/>
      <c r="KAL1" s="30"/>
      <c r="KAM1" s="30"/>
      <c r="KAN1" s="30"/>
      <c r="KAO1" s="30"/>
      <c r="KAP1" s="30"/>
      <c r="KAQ1" s="30"/>
      <c r="KAR1" s="30"/>
      <c r="KAS1" s="30"/>
      <c r="KAT1" s="30"/>
      <c r="KAU1" s="30"/>
      <c r="KAV1" s="30"/>
      <c r="KAW1" s="30"/>
      <c r="KAX1" s="30"/>
      <c r="KAY1" s="30"/>
      <c r="KAZ1" s="30"/>
      <c r="KBA1" s="30"/>
      <c r="KBB1" s="30"/>
      <c r="KBC1" s="30"/>
      <c r="KBD1" s="30"/>
      <c r="KBE1" s="30"/>
      <c r="KBF1" s="30"/>
      <c r="KBG1" s="30"/>
      <c r="KBH1" s="30"/>
      <c r="KBI1" s="30"/>
      <c r="KBJ1" s="30"/>
      <c r="KBK1" s="30"/>
      <c r="KBL1" s="30"/>
      <c r="KBM1" s="30"/>
      <c r="KBN1" s="30"/>
      <c r="KBO1" s="30"/>
      <c r="KBP1" s="30"/>
      <c r="KBQ1" s="30"/>
      <c r="KBR1" s="30"/>
      <c r="KBS1" s="30"/>
      <c r="KBT1" s="30"/>
      <c r="KBU1" s="30"/>
      <c r="KBV1" s="30"/>
      <c r="KBW1" s="30"/>
      <c r="KBX1" s="30"/>
      <c r="KBY1" s="30"/>
      <c r="KBZ1" s="30"/>
      <c r="KCA1" s="30"/>
      <c r="KCB1" s="30"/>
      <c r="KCC1" s="30"/>
      <c r="KCD1" s="30"/>
      <c r="KCE1" s="30"/>
      <c r="KCF1" s="30"/>
      <c r="KCG1" s="30"/>
      <c r="KCH1" s="30"/>
      <c r="KCI1" s="30"/>
      <c r="KCJ1" s="30"/>
      <c r="KCK1" s="30"/>
      <c r="KCL1" s="30"/>
      <c r="KCM1" s="30"/>
      <c r="KCN1" s="30"/>
      <c r="KCO1" s="30"/>
      <c r="KCP1" s="30"/>
      <c r="KCQ1" s="30"/>
      <c r="KCR1" s="30"/>
      <c r="KCS1" s="30"/>
      <c r="KCT1" s="30"/>
      <c r="KCU1" s="30"/>
      <c r="KCV1" s="30"/>
      <c r="KCW1" s="30"/>
      <c r="KCX1" s="30"/>
      <c r="KCY1" s="30"/>
      <c r="KCZ1" s="30"/>
      <c r="KDA1" s="30"/>
      <c r="KDB1" s="30"/>
      <c r="KDC1" s="30"/>
      <c r="KDD1" s="30"/>
      <c r="KDE1" s="30"/>
      <c r="KDF1" s="30"/>
      <c r="KDG1" s="30"/>
      <c r="KDH1" s="30"/>
      <c r="KDI1" s="30"/>
      <c r="KDJ1" s="30"/>
      <c r="KDK1" s="30"/>
      <c r="KDL1" s="30"/>
      <c r="KDM1" s="30"/>
      <c r="KDN1" s="30"/>
      <c r="KDO1" s="30"/>
      <c r="KDP1" s="30"/>
      <c r="KDQ1" s="30"/>
      <c r="KDR1" s="30"/>
      <c r="KDS1" s="30"/>
      <c r="KDT1" s="30"/>
      <c r="KDU1" s="30"/>
      <c r="KDV1" s="30"/>
      <c r="KDW1" s="30"/>
      <c r="KDX1" s="30"/>
      <c r="KDY1" s="30"/>
      <c r="KDZ1" s="30"/>
      <c r="KEA1" s="30"/>
      <c r="KEB1" s="30"/>
      <c r="KEC1" s="30"/>
      <c r="KED1" s="30"/>
      <c r="KEE1" s="30"/>
      <c r="KEF1" s="30"/>
      <c r="KEG1" s="30"/>
      <c r="KEH1" s="30"/>
      <c r="KEI1" s="30"/>
      <c r="KEJ1" s="30"/>
      <c r="KEK1" s="30"/>
      <c r="KEL1" s="30"/>
      <c r="KEM1" s="30"/>
      <c r="KEN1" s="30"/>
      <c r="KEO1" s="30"/>
      <c r="KEP1" s="30"/>
      <c r="KEQ1" s="30"/>
      <c r="KER1" s="30"/>
      <c r="KES1" s="30"/>
      <c r="KET1" s="30"/>
      <c r="KEU1" s="30"/>
      <c r="KEV1" s="30"/>
      <c r="KEW1" s="30"/>
      <c r="KEX1" s="30"/>
      <c r="KEY1" s="30"/>
      <c r="KEZ1" s="30"/>
      <c r="KFA1" s="30"/>
      <c r="KFB1" s="30"/>
      <c r="KFC1" s="30"/>
      <c r="KFD1" s="30"/>
      <c r="KFE1" s="30"/>
      <c r="KFF1" s="30"/>
      <c r="KFG1" s="30"/>
      <c r="KFH1" s="30"/>
      <c r="KFI1" s="30"/>
      <c r="KFJ1" s="30"/>
      <c r="KFK1" s="30"/>
      <c r="KFL1" s="30"/>
      <c r="KFM1" s="30"/>
      <c r="KFN1" s="30"/>
      <c r="KFO1" s="30"/>
      <c r="KFP1" s="30"/>
      <c r="KFQ1" s="30"/>
      <c r="KFR1" s="30"/>
      <c r="KFS1" s="30"/>
      <c r="KFT1" s="30"/>
      <c r="KFU1" s="30"/>
      <c r="KFV1" s="30"/>
      <c r="KFW1" s="30"/>
      <c r="KFX1" s="30"/>
      <c r="KFY1" s="30"/>
      <c r="KFZ1" s="30"/>
      <c r="KGA1" s="30"/>
      <c r="KGB1" s="30"/>
      <c r="KGC1" s="30"/>
      <c r="KGD1" s="30"/>
      <c r="KGE1" s="30"/>
      <c r="KGF1" s="30"/>
      <c r="KGG1" s="30"/>
      <c r="KGH1" s="30"/>
      <c r="KGI1" s="30"/>
      <c r="KGJ1" s="30"/>
      <c r="KGK1" s="30"/>
      <c r="KGL1" s="30"/>
      <c r="KGM1" s="30"/>
      <c r="KGN1" s="30"/>
      <c r="KGO1" s="30"/>
      <c r="KGP1" s="30"/>
      <c r="KGQ1" s="30"/>
      <c r="KGR1" s="30"/>
      <c r="KGS1" s="30"/>
      <c r="KGT1" s="30"/>
      <c r="KGU1" s="30"/>
      <c r="KGV1" s="30"/>
      <c r="KGW1" s="30"/>
      <c r="KGX1" s="30"/>
      <c r="KGY1" s="30"/>
      <c r="KGZ1" s="30"/>
      <c r="KHA1" s="30"/>
      <c r="KHB1" s="30"/>
      <c r="KHC1" s="30"/>
      <c r="KHD1" s="30"/>
      <c r="KHE1" s="30"/>
      <c r="KHF1" s="30"/>
      <c r="KHG1" s="30"/>
      <c r="KHH1" s="30"/>
      <c r="KHI1" s="30"/>
      <c r="KHJ1" s="30"/>
      <c r="KHK1" s="30"/>
      <c r="KHL1" s="30"/>
      <c r="KHM1" s="30"/>
      <c r="KHN1" s="30"/>
      <c r="KHO1" s="30"/>
      <c r="KHP1" s="30"/>
      <c r="KHQ1" s="30"/>
      <c r="KHR1" s="30"/>
      <c r="KHS1" s="30"/>
      <c r="KHT1" s="30"/>
      <c r="KHU1" s="30"/>
      <c r="KHV1" s="30"/>
      <c r="KHW1" s="30"/>
      <c r="KHX1" s="30"/>
      <c r="KHY1" s="30"/>
      <c r="KHZ1" s="30"/>
      <c r="KIA1" s="30"/>
      <c r="KIB1" s="30"/>
      <c r="KIC1" s="30"/>
      <c r="KID1" s="30"/>
      <c r="KIE1" s="30"/>
      <c r="KIF1" s="30"/>
      <c r="KIG1" s="30"/>
      <c r="KIH1" s="30"/>
      <c r="KII1" s="30"/>
      <c r="KIJ1" s="30"/>
      <c r="KIK1" s="30"/>
      <c r="KIL1" s="30"/>
      <c r="KIM1" s="30"/>
      <c r="KIN1" s="30"/>
      <c r="KIO1" s="30"/>
      <c r="KIP1" s="30"/>
      <c r="KIQ1" s="30"/>
      <c r="KIR1" s="30"/>
      <c r="KIS1" s="30"/>
      <c r="KIT1" s="30"/>
      <c r="KIU1" s="30"/>
      <c r="KIV1" s="30"/>
      <c r="KIW1" s="30"/>
      <c r="KIX1" s="30"/>
      <c r="KIY1" s="30"/>
      <c r="KIZ1" s="30"/>
      <c r="KJA1" s="30"/>
      <c r="KJB1" s="30"/>
      <c r="KJC1" s="30"/>
      <c r="KJD1" s="30"/>
      <c r="KJE1" s="30"/>
      <c r="KJF1" s="30"/>
      <c r="KJG1" s="30"/>
      <c r="KJH1" s="30"/>
      <c r="KJI1" s="30"/>
      <c r="KJJ1" s="30"/>
      <c r="KJK1" s="30"/>
      <c r="KJL1" s="30"/>
      <c r="KJM1" s="30"/>
      <c r="KJN1" s="30"/>
      <c r="KJO1" s="30"/>
      <c r="KJP1" s="30"/>
      <c r="KJQ1" s="30"/>
      <c r="KJR1" s="30"/>
      <c r="KJS1" s="30"/>
      <c r="KJT1" s="30"/>
      <c r="KJU1" s="30"/>
      <c r="KJV1" s="30"/>
      <c r="KJW1" s="30"/>
      <c r="KJX1" s="30"/>
      <c r="KJY1" s="30"/>
      <c r="KJZ1" s="30"/>
      <c r="KKA1" s="30"/>
      <c r="KKB1" s="30"/>
      <c r="KKC1" s="30"/>
      <c r="KKD1" s="30"/>
      <c r="KKE1" s="30"/>
      <c r="KKF1" s="30"/>
      <c r="KKG1" s="30"/>
      <c r="KKH1" s="30"/>
      <c r="KKI1" s="30"/>
      <c r="KKJ1" s="30"/>
      <c r="KKK1" s="30"/>
      <c r="KKL1" s="30"/>
      <c r="KKM1" s="30"/>
      <c r="KKN1" s="30"/>
      <c r="KKO1" s="30"/>
      <c r="KKP1" s="30"/>
      <c r="KKQ1" s="30"/>
      <c r="KKR1" s="30"/>
      <c r="KKS1" s="30"/>
      <c r="KKT1" s="30"/>
      <c r="KKU1" s="30"/>
      <c r="KKV1" s="30"/>
      <c r="KKW1" s="30"/>
      <c r="KKX1" s="30"/>
      <c r="KKY1" s="30"/>
      <c r="KKZ1" s="30"/>
      <c r="KLA1" s="30"/>
      <c r="KLB1" s="30"/>
      <c r="KLC1" s="30"/>
      <c r="KLD1" s="30"/>
      <c r="KLE1" s="30"/>
      <c r="KLF1" s="30"/>
      <c r="KLG1" s="30"/>
      <c r="KLH1" s="30"/>
      <c r="KLI1" s="30"/>
      <c r="KLJ1" s="30"/>
      <c r="KLK1" s="30"/>
      <c r="KLL1" s="30"/>
      <c r="KLM1" s="30"/>
      <c r="KLN1" s="30"/>
      <c r="KLO1" s="30"/>
      <c r="KLP1" s="30"/>
      <c r="KLQ1" s="30"/>
      <c r="KLR1" s="30"/>
      <c r="KLS1" s="30"/>
      <c r="KLT1" s="30"/>
      <c r="KLU1" s="30"/>
      <c r="KLV1" s="30"/>
      <c r="KLW1" s="30"/>
      <c r="KLX1" s="30"/>
      <c r="KLY1" s="30"/>
      <c r="KLZ1" s="30"/>
      <c r="KMA1" s="30"/>
      <c r="KMB1" s="30"/>
      <c r="KMC1" s="30"/>
      <c r="KMD1" s="30"/>
      <c r="KME1" s="30"/>
      <c r="KMF1" s="30"/>
      <c r="KMG1" s="30"/>
      <c r="KMH1" s="30"/>
      <c r="KMI1" s="30"/>
      <c r="KMJ1" s="30"/>
      <c r="KMK1" s="30"/>
      <c r="KML1" s="30"/>
      <c r="KMM1" s="30"/>
      <c r="KMN1" s="30"/>
      <c r="KMO1" s="30"/>
      <c r="KMP1" s="30"/>
      <c r="KMQ1" s="30"/>
      <c r="KMR1" s="30"/>
      <c r="KMS1" s="30"/>
      <c r="KMT1" s="30"/>
      <c r="KMU1" s="30"/>
      <c r="KMV1" s="30"/>
      <c r="KMW1" s="30"/>
      <c r="KMX1" s="30"/>
      <c r="KMY1" s="30"/>
      <c r="KMZ1" s="30"/>
      <c r="KNA1" s="30"/>
      <c r="KNB1" s="30"/>
      <c r="KNC1" s="30"/>
      <c r="KND1" s="30"/>
      <c r="KNE1" s="30"/>
      <c r="KNF1" s="30"/>
      <c r="KNG1" s="30"/>
      <c r="KNH1" s="30"/>
      <c r="KNI1" s="30"/>
      <c r="KNJ1" s="30"/>
      <c r="KNK1" s="30"/>
      <c r="KNL1" s="30"/>
      <c r="KNM1" s="30"/>
      <c r="KNN1" s="30"/>
      <c r="KNO1" s="30"/>
      <c r="KNP1" s="30"/>
      <c r="KNQ1" s="30"/>
      <c r="KNR1" s="30"/>
      <c r="KNS1" s="30"/>
      <c r="KNT1" s="30"/>
      <c r="KNU1" s="30"/>
      <c r="KNV1" s="30"/>
      <c r="KNW1" s="30"/>
      <c r="KNX1" s="30"/>
      <c r="KNY1" s="30"/>
      <c r="KNZ1" s="30"/>
      <c r="KOA1" s="30"/>
      <c r="KOB1" s="30"/>
      <c r="KOC1" s="30"/>
      <c r="KOD1" s="30"/>
      <c r="KOE1" s="30"/>
      <c r="KOF1" s="30"/>
      <c r="KOG1" s="30"/>
      <c r="KOH1" s="30"/>
      <c r="KOI1" s="30"/>
      <c r="KOJ1" s="30"/>
      <c r="KOK1" s="30"/>
      <c r="KOL1" s="30"/>
      <c r="KOM1" s="30"/>
      <c r="KON1" s="30"/>
      <c r="KOO1" s="30"/>
      <c r="KOP1" s="30"/>
      <c r="KOQ1" s="30"/>
      <c r="KOR1" s="30"/>
      <c r="KOS1" s="30"/>
      <c r="KOT1" s="30"/>
      <c r="KOU1" s="30"/>
      <c r="KOV1" s="30"/>
      <c r="KOW1" s="30"/>
      <c r="KOX1" s="30"/>
      <c r="KOY1" s="30"/>
      <c r="KOZ1" s="30"/>
      <c r="KPA1" s="30"/>
      <c r="KPB1" s="30"/>
      <c r="KPC1" s="30"/>
      <c r="KPD1" s="30"/>
      <c r="KPE1" s="30"/>
      <c r="KPF1" s="30"/>
      <c r="KPG1" s="30"/>
      <c r="KPH1" s="30"/>
      <c r="KPI1" s="30"/>
      <c r="KPJ1" s="30"/>
      <c r="KPK1" s="30"/>
      <c r="KPL1" s="30"/>
      <c r="KPM1" s="30"/>
      <c r="KPN1" s="30"/>
      <c r="KPO1" s="30"/>
      <c r="KPP1" s="30"/>
      <c r="KPQ1" s="30"/>
      <c r="KPR1" s="30"/>
      <c r="KPS1" s="30"/>
      <c r="KPT1" s="30"/>
      <c r="KPU1" s="30"/>
      <c r="KPV1" s="30"/>
      <c r="KPW1" s="30"/>
      <c r="KPX1" s="30"/>
      <c r="KPY1" s="30"/>
      <c r="KPZ1" s="30"/>
      <c r="KQA1" s="30"/>
      <c r="KQB1" s="30"/>
      <c r="KQC1" s="30"/>
      <c r="KQD1" s="30"/>
      <c r="KQE1" s="30"/>
      <c r="KQF1" s="30"/>
      <c r="KQG1" s="30"/>
      <c r="KQH1" s="30"/>
      <c r="KQI1" s="30"/>
      <c r="KQJ1" s="30"/>
      <c r="KQK1" s="30"/>
      <c r="KQL1" s="30"/>
      <c r="KQM1" s="30"/>
      <c r="KQN1" s="30"/>
      <c r="KQO1" s="30"/>
      <c r="KQP1" s="30"/>
      <c r="KQQ1" s="30"/>
      <c r="KQR1" s="30"/>
      <c r="KQS1" s="30"/>
      <c r="KQT1" s="30"/>
      <c r="KQU1" s="30"/>
      <c r="KQV1" s="30"/>
      <c r="KQW1" s="30"/>
      <c r="KQX1" s="30"/>
      <c r="KQY1" s="30"/>
      <c r="KQZ1" s="30"/>
      <c r="KRA1" s="30"/>
      <c r="KRB1" s="30"/>
      <c r="KRC1" s="30"/>
      <c r="KRD1" s="30"/>
      <c r="KRE1" s="30"/>
      <c r="KRF1" s="30"/>
      <c r="KRG1" s="30"/>
      <c r="KRH1" s="30"/>
      <c r="KRI1" s="30"/>
      <c r="KRJ1" s="30"/>
      <c r="KRK1" s="30"/>
      <c r="KRL1" s="30"/>
      <c r="KRM1" s="30"/>
      <c r="KRN1" s="30"/>
      <c r="KRO1" s="30"/>
      <c r="KRP1" s="30"/>
      <c r="KRQ1" s="30"/>
      <c r="KRR1" s="30"/>
      <c r="KRS1" s="30"/>
      <c r="KRT1" s="30"/>
      <c r="KRU1" s="30"/>
      <c r="KRV1" s="30"/>
      <c r="KRW1" s="30"/>
      <c r="KRX1" s="30"/>
      <c r="KRY1" s="30"/>
      <c r="KRZ1" s="30"/>
      <c r="KSA1" s="30"/>
      <c r="KSB1" s="30"/>
      <c r="KSC1" s="30"/>
      <c r="KSD1" s="30"/>
      <c r="KSE1" s="30"/>
      <c r="KSF1" s="30"/>
      <c r="KSG1" s="30"/>
      <c r="KSH1" s="30"/>
      <c r="KSI1" s="30"/>
      <c r="KSJ1" s="30"/>
      <c r="KSK1" s="30"/>
      <c r="KSL1" s="30"/>
      <c r="KSM1" s="30"/>
      <c r="KSN1" s="30"/>
      <c r="KSO1" s="30"/>
      <c r="KSP1" s="30"/>
      <c r="KSQ1" s="30"/>
      <c r="KSR1" s="30"/>
      <c r="KSS1" s="30"/>
      <c r="KST1" s="30"/>
      <c r="KSU1" s="30"/>
      <c r="KSV1" s="30"/>
      <c r="KSW1" s="30"/>
      <c r="KSX1" s="30"/>
      <c r="KSY1" s="30"/>
      <c r="KSZ1" s="30"/>
      <c r="KTA1" s="30"/>
      <c r="KTB1" s="30"/>
      <c r="KTC1" s="30"/>
      <c r="KTD1" s="30"/>
      <c r="KTE1" s="30"/>
      <c r="KTF1" s="30"/>
      <c r="KTG1" s="30"/>
      <c r="KTH1" s="30"/>
      <c r="KTI1" s="30"/>
      <c r="KTJ1" s="30"/>
      <c r="KTK1" s="30"/>
      <c r="KTL1" s="30"/>
      <c r="KTM1" s="30"/>
      <c r="KTN1" s="30"/>
      <c r="KTO1" s="30"/>
      <c r="KTP1" s="30"/>
      <c r="KTQ1" s="30"/>
      <c r="KTR1" s="30"/>
      <c r="KTS1" s="30"/>
      <c r="KTT1" s="30"/>
      <c r="KTU1" s="30"/>
      <c r="KTV1" s="30"/>
      <c r="KTW1" s="30"/>
      <c r="KTX1" s="30"/>
      <c r="KTY1" s="30"/>
      <c r="KTZ1" s="30"/>
      <c r="KUA1" s="30"/>
      <c r="KUB1" s="30"/>
      <c r="KUC1" s="30"/>
      <c r="KUD1" s="30"/>
      <c r="KUE1" s="30"/>
      <c r="KUF1" s="30"/>
      <c r="KUG1" s="30"/>
      <c r="KUH1" s="30"/>
      <c r="KUI1" s="30"/>
      <c r="KUJ1" s="30"/>
      <c r="KUK1" s="30"/>
      <c r="KUL1" s="30"/>
      <c r="KUM1" s="30"/>
      <c r="KUN1" s="30"/>
      <c r="KUO1" s="30"/>
      <c r="KUP1" s="30"/>
      <c r="KUQ1" s="30"/>
      <c r="KUR1" s="30"/>
      <c r="KUS1" s="30"/>
      <c r="KUT1" s="30"/>
      <c r="KUU1" s="30"/>
      <c r="KUV1" s="30"/>
      <c r="KUW1" s="30"/>
      <c r="KUX1" s="30"/>
      <c r="KUY1" s="30"/>
      <c r="KUZ1" s="30"/>
      <c r="KVA1" s="30"/>
      <c r="KVB1" s="30"/>
      <c r="KVC1" s="30"/>
      <c r="KVD1" s="30"/>
      <c r="KVE1" s="30"/>
      <c r="KVF1" s="30"/>
      <c r="KVG1" s="30"/>
      <c r="KVH1" s="30"/>
      <c r="KVI1" s="30"/>
      <c r="KVJ1" s="30"/>
      <c r="KVK1" s="30"/>
      <c r="KVL1" s="30"/>
      <c r="KVM1" s="30"/>
      <c r="KVN1" s="30"/>
      <c r="KVO1" s="30"/>
      <c r="KVP1" s="30"/>
      <c r="KVQ1" s="30"/>
      <c r="KVR1" s="30"/>
      <c r="KVS1" s="30"/>
      <c r="KVT1" s="30"/>
      <c r="KVU1" s="30"/>
      <c r="KVV1" s="30"/>
      <c r="KVW1" s="30"/>
      <c r="KVX1" s="30"/>
      <c r="KVY1" s="30"/>
      <c r="KVZ1" s="30"/>
      <c r="KWA1" s="30"/>
      <c r="KWB1" s="30"/>
      <c r="KWC1" s="30"/>
      <c r="KWD1" s="30"/>
      <c r="KWE1" s="30"/>
      <c r="KWF1" s="30"/>
      <c r="KWG1" s="30"/>
      <c r="KWH1" s="30"/>
      <c r="KWI1" s="30"/>
      <c r="KWJ1" s="30"/>
      <c r="KWK1" s="30"/>
      <c r="KWL1" s="30"/>
      <c r="KWM1" s="30"/>
      <c r="KWN1" s="30"/>
      <c r="KWO1" s="30"/>
      <c r="KWP1" s="30"/>
      <c r="KWQ1" s="30"/>
      <c r="KWR1" s="30"/>
      <c r="KWS1" s="30"/>
      <c r="KWT1" s="30"/>
      <c r="KWU1" s="30"/>
      <c r="KWV1" s="30"/>
      <c r="KWW1" s="30"/>
      <c r="KWX1" s="30"/>
      <c r="KWY1" s="30"/>
      <c r="KWZ1" s="30"/>
      <c r="KXA1" s="30"/>
      <c r="KXB1" s="30"/>
      <c r="KXC1" s="30"/>
      <c r="KXD1" s="30"/>
      <c r="KXE1" s="30"/>
      <c r="KXF1" s="30"/>
      <c r="KXG1" s="30"/>
      <c r="KXH1" s="30"/>
      <c r="KXI1" s="30"/>
      <c r="KXJ1" s="30"/>
      <c r="KXK1" s="30"/>
      <c r="KXL1" s="30"/>
      <c r="KXM1" s="30"/>
      <c r="KXN1" s="30"/>
      <c r="KXO1" s="30"/>
      <c r="KXP1" s="30"/>
      <c r="KXQ1" s="30"/>
      <c r="KXR1" s="30"/>
      <c r="KXS1" s="30"/>
      <c r="KXT1" s="30"/>
      <c r="KXU1" s="30"/>
      <c r="KXV1" s="30"/>
      <c r="KXW1" s="30"/>
      <c r="KXX1" s="30"/>
      <c r="KXY1" s="30"/>
      <c r="KXZ1" s="30"/>
      <c r="KYA1" s="30"/>
      <c r="KYB1" s="30"/>
      <c r="KYC1" s="30"/>
      <c r="KYD1" s="30"/>
      <c r="KYE1" s="30"/>
      <c r="KYF1" s="30"/>
      <c r="KYG1" s="30"/>
      <c r="KYH1" s="30"/>
      <c r="KYI1" s="30"/>
      <c r="KYJ1" s="30"/>
      <c r="KYK1" s="30"/>
      <c r="KYL1" s="30"/>
      <c r="KYM1" s="30"/>
      <c r="KYN1" s="30"/>
      <c r="KYO1" s="30"/>
      <c r="KYP1" s="30"/>
      <c r="KYQ1" s="30"/>
      <c r="KYR1" s="30"/>
      <c r="KYS1" s="30"/>
      <c r="KYT1" s="30"/>
      <c r="KYU1" s="30"/>
      <c r="KYV1" s="30"/>
      <c r="KYW1" s="30"/>
      <c r="KYX1" s="30"/>
      <c r="KYY1" s="30"/>
      <c r="KYZ1" s="30"/>
      <c r="KZA1" s="30"/>
      <c r="KZB1" s="30"/>
      <c r="KZC1" s="30"/>
      <c r="KZD1" s="30"/>
      <c r="KZE1" s="30"/>
      <c r="KZF1" s="30"/>
      <c r="KZG1" s="30"/>
      <c r="KZH1" s="30"/>
      <c r="KZI1" s="30"/>
      <c r="KZJ1" s="30"/>
      <c r="KZK1" s="30"/>
      <c r="KZL1" s="30"/>
      <c r="KZM1" s="30"/>
      <c r="KZN1" s="30"/>
      <c r="KZO1" s="30"/>
      <c r="KZP1" s="30"/>
      <c r="KZQ1" s="30"/>
      <c r="KZR1" s="30"/>
      <c r="KZS1" s="30"/>
      <c r="KZT1" s="30"/>
      <c r="KZU1" s="30"/>
      <c r="KZV1" s="30"/>
      <c r="KZW1" s="30"/>
      <c r="KZX1" s="30"/>
      <c r="KZY1" s="30"/>
      <c r="KZZ1" s="30"/>
      <c r="LAA1" s="30"/>
      <c r="LAB1" s="30"/>
      <c r="LAC1" s="30"/>
      <c r="LAD1" s="30"/>
      <c r="LAE1" s="30"/>
      <c r="LAF1" s="30"/>
      <c r="LAG1" s="30"/>
      <c r="LAH1" s="30"/>
      <c r="LAI1" s="30"/>
      <c r="LAJ1" s="30"/>
      <c r="LAK1" s="30"/>
      <c r="LAL1" s="30"/>
      <c r="LAM1" s="30"/>
      <c r="LAN1" s="30"/>
      <c r="LAO1" s="30"/>
      <c r="LAP1" s="30"/>
      <c r="LAQ1" s="30"/>
      <c r="LAR1" s="30"/>
      <c r="LAS1" s="30"/>
      <c r="LAT1" s="30"/>
      <c r="LAU1" s="30"/>
      <c r="LAV1" s="30"/>
      <c r="LAW1" s="30"/>
      <c r="LAX1" s="30"/>
      <c r="LAY1" s="30"/>
      <c r="LAZ1" s="30"/>
      <c r="LBA1" s="30"/>
      <c r="LBB1" s="30"/>
      <c r="LBC1" s="30"/>
      <c r="LBD1" s="30"/>
      <c r="LBE1" s="30"/>
      <c r="LBF1" s="30"/>
      <c r="LBG1" s="30"/>
      <c r="LBH1" s="30"/>
      <c r="LBI1" s="30"/>
      <c r="LBJ1" s="30"/>
      <c r="LBK1" s="30"/>
      <c r="LBL1" s="30"/>
      <c r="LBM1" s="30"/>
      <c r="LBN1" s="30"/>
      <c r="LBO1" s="30"/>
      <c r="LBP1" s="30"/>
      <c r="LBQ1" s="30"/>
      <c r="LBR1" s="30"/>
      <c r="LBS1" s="30"/>
      <c r="LBT1" s="30"/>
      <c r="LBU1" s="30"/>
      <c r="LBV1" s="30"/>
      <c r="LBW1" s="30"/>
      <c r="LBX1" s="30"/>
      <c r="LBY1" s="30"/>
      <c r="LBZ1" s="30"/>
      <c r="LCA1" s="30"/>
      <c r="LCB1" s="30"/>
      <c r="LCC1" s="30"/>
      <c r="LCD1" s="30"/>
      <c r="LCE1" s="30"/>
      <c r="LCF1" s="30"/>
      <c r="LCG1" s="30"/>
      <c r="LCH1" s="30"/>
      <c r="LCI1" s="30"/>
      <c r="LCJ1" s="30"/>
      <c r="LCK1" s="30"/>
      <c r="LCL1" s="30"/>
      <c r="LCM1" s="30"/>
      <c r="LCN1" s="30"/>
      <c r="LCO1" s="30"/>
      <c r="LCP1" s="30"/>
      <c r="LCQ1" s="30"/>
      <c r="LCR1" s="30"/>
      <c r="LCS1" s="30"/>
      <c r="LCT1" s="30"/>
      <c r="LCU1" s="30"/>
      <c r="LCV1" s="30"/>
      <c r="LCW1" s="30"/>
      <c r="LCX1" s="30"/>
      <c r="LCY1" s="30"/>
      <c r="LCZ1" s="30"/>
      <c r="LDA1" s="30"/>
      <c r="LDB1" s="30"/>
      <c r="LDC1" s="30"/>
      <c r="LDD1" s="30"/>
      <c r="LDE1" s="30"/>
      <c r="LDF1" s="30"/>
      <c r="LDG1" s="30"/>
      <c r="LDH1" s="30"/>
      <c r="LDI1" s="30"/>
      <c r="LDJ1" s="30"/>
      <c r="LDK1" s="30"/>
      <c r="LDL1" s="30"/>
      <c r="LDM1" s="30"/>
      <c r="LDN1" s="30"/>
      <c r="LDO1" s="30"/>
      <c r="LDP1" s="30"/>
      <c r="LDQ1" s="30"/>
      <c r="LDR1" s="30"/>
      <c r="LDS1" s="30"/>
      <c r="LDT1" s="30"/>
      <c r="LDU1" s="30"/>
      <c r="LDV1" s="30"/>
      <c r="LDW1" s="30"/>
      <c r="LDX1" s="30"/>
      <c r="LDY1" s="30"/>
      <c r="LDZ1" s="30"/>
      <c r="LEA1" s="30"/>
      <c r="LEB1" s="30"/>
      <c r="LEC1" s="30"/>
      <c r="LED1" s="30"/>
      <c r="LEE1" s="30"/>
      <c r="LEF1" s="30"/>
      <c r="LEG1" s="30"/>
      <c r="LEH1" s="30"/>
      <c r="LEI1" s="30"/>
      <c r="LEJ1" s="30"/>
      <c r="LEK1" s="30"/>
      <c r="LEL1" s="30"/>
      <c r="LEM1" s="30"/>
      <c r="LEN1" s="30"/>
      <c r="LEO1" s="30"/>
      <c r="LEP1" s="30"/>
      <c r="LEQ1" s="30"/>
      <c r="LER1" s="30"/>
      <c r="LES1" s="30"/>
      <c r="LET1" s="30"/>
      <c r="LEU1" s="30"/>
      <c r="LEV1" s="30"/>
      <c r="LEW1" s="30"/>
      <c r="LEX1" s="30"/>
      <c r="LEY1" s="30"/>
      <c r="LEZ1" s="30"/>
      <c r="LFA1" s="30"/>
      <c r="LFB1" s="30"/>
      <c r="LFC1" s="30"/>
      <c r="LFD1" s="30"/>
      <c r="LFE1" s="30"/>
      <c r="LFF1" s="30"/>
      <c r="LFG1" s="30"/>
      <c r="LFH1" s="30"/>
      <c r="LFI1" s="30"/>
      <c r="LFJ1" s="30"/>
      <c r="LFK1" s="30"/>
      <c r="LFL1" s="30"/>
      <c r="LFM1" s="30"/>
      <c r="LFN1" s="30"/>
      <c r="LFO1" s="30"/>
      <c r="LFP1" s="30"/>
      <c r="LFQ1" s="30"/>
      <c r="LFR1" s="30"/>
      <c r="LFS1" s="30"/>
      <c r="LFT1" s="30"/>
      <c r="LFU1" s="30"/>
      <c r="LFV1" s="30"/>
      <c r="LFW1" s="30"/>
      <c r="LFX1" s="30"/>
      <c r="LFY1" s="30"/>
      <c r="LFZ1" s="30"/>
      <c r="LGA1" s="30"/>
      <c r="LGB1" s="30"/>
      <c r="LGC1" s="30"/>
      <c r="LGD1" s="30"/>
      <c r="LGE1" s="30"/>
      <c r="LGF1" s="30"/>
      <c r="LGG1" s="30"/>
      <c r="LGH1" s="30"/>
      <c r="LGI1" s="30"/>
      <c r="LGJ1" s="30"/>
      <c r="LGK1" s="30"/>
      <c r="LGL1" s="30"/>
      <c r="LGM1" s="30"/>
      <c r="LGN1" s="30"/>
      <c r="LGO1" s="30"/>
      <c r="LGP1" s="30"/>
      <c r="LGQ1" s="30"/>
      <c r="LGR1" s="30"/>
      <c r="LGS1" s="30"/>
      <c r="LGT1" s="30"/>
      <c r="LGU1" s="30"/>
      <c r="LGV1" s="30"/>
      <c r="LGW1" s="30"/>
      <c r="LGX1" s="30"/>
      <c r="LGY1" s="30"/>
      <c r="LGZ1" s="30"/>
      <c r="LHA1" s="30"/>
      <c r="LHB1" s="30"/>
      <c r="LHC1" s="30"/>
      <c r="LHD1" s="30"/>
      <c r="LHE1" s="30"/>
      <c r="LHF1" s="30"/>
      <c r="LHG1" s="30"/>
      <c r="LHH1" s="30"/>
      <c r="LHI1" s="30"/>
      <c r="LHJ1" s="30"/>
      <c r="LHK1" s="30"/>
      <c r="LHL1" s="30"/>
      <c r="LHM1" s="30"/>
      <c r="LHN1" s="30"/>
      <c r="LHO1" s="30"/>
      <c r="LHP1" s="30"/>
      <c r="LHQ1" s="30"/>
      <c r="LHR1" s="30"/>
      <c r="LHS1" s="30"/>
      <c r="LHT1" s="30"/>
      <c r="LHU1" s="30"/>
      <c r="LHV1" s="30"/>
      <c r="LHW1" s="30"/>
      <c r="LHX1" s="30"/>
      <c r="LHY1" s="30"/>
      <c r="LHZ1" s="30"/>
      <c r="LIA1" s="30"/>
      <c r="LIB1" s="30"/>
      <c r="LIC1" s="30"/>
      <c r="LID1" s="30"/>
      <c r="LIE1" s="30"/>
      <c r="LIF1" s="30"/>
      <c r="LIG1" s="30"/>
      <c r="LIH1" s="30"/>
      <c r="LII1" s="30"/>
      <c r="LIJ1" s="30"/>
      <c r="LIK1" s="30"/>
      <c r="LIL1" s="30"/>
      <c r="LIM1" s="30"/>
      <c r="LIN1" s="30"/>
      <c r="LIO1" s="30"/>
      <c r="LIP1" s="30"/>
      <c r="LIQ1" s="30"/>
      <c r="LIR1" s="30"/>
      <c r="LIS1" s="30"/>
      <c r="LIT1" s="30"/>
      <c r="LIU1" s="30"/>
      <c r="LIV1" s="30"/>
      <c r="LIW1" s="30"/>
      <c r="LIX1" s="30"/>
      <c r="LIY1" s="30"/>
      <c r="LIZ1" s="30"/>
      <c r="LJA1" s="30"/>
      <c r="LJB1" s="30"/>
      <c r="LJC1" s="30"/>
      <c r="LJD1" s="30"/>
      <c r="LJE1" s="30"/>
      <c r="LJF1" s="30"/>
      <c r="LJG1" s="30"/>
      <c r="LJH1" s="30"/>
      <c r="LJI1" s="30"/>
      <c r="LJJ1" s="30"/>
      <c r="LJK1" s="30"/>
      <c r="LJL1" s="30"/>
      <c r="LJM1" s="30"/>
      <c r="LJN1" s="30"/>
      <c r="LJO1" s="30"/>
      <c r="LJP1" s="30"/>
      <c r="LJQ1" s="30"/>
      <c r="LJR1" s="30"/>
      <c r="LJS1" s="30"/>
      <c r="LJT1" s="30"/>
      <c r="LJU1" s="30"/>
      <c r="LJV1" s="30"/>
      <c r="LJW1" s="30"/>
      <c r="LJX1" s="30"/>
      <c r="LJY1" s="30"/>
      <c r="LJZ1" s="30"/>
      <c r="LKA1" s="30"/>
      <c r="LKB1" s="30"/>
      <c r="LKC1" s="30"/>
      <c r="LKD1" s="30"/>
      <c r="LKE1" s="30"/>
      <c r="LKF1" s="30"/>
      <c r="LKG1" s="30"/>
      <c r="LKH1" s="30"/>
      <c r="LKI1" s="30"/>
      <c r="LKJ1" s="30"/>
      <c r="LKK1" s="30"/>
      <c r="LKL1" s="30"/>
      <c r="LKM1" s="30"/>
      <c r="LKN1" s="30"/>
      <c r="LKO1" s="30"/>
      <c r="LKP1" s="30"/>
      <c r="LKQ1" s="30"/>
      <c r="LKR1" s="30"/>
      <c r="LKS1" s="30"/>
      <c r="LKT1" s="30"/>
      <c r="LKU1" s="30"/>
      <c r="LKV1" s="30"/>
      <c r="LKW1" s="30"/>
      <c r="LKX1" s="30"/>
      <c r="LKY1" s="30"/>
      <c r="LKZ1" s="30"/>
      <c r="LLA1" s="30"/>
      <c r="LLB1" s="30"/>
      <c r="LLC1" s="30"/>
      <c r="LLD1" s="30"/>
      <c r="LLE1" s="30"/>
      <c r="LLF1" s="30"/>
      <c r="LLG1" s="30"/>
      <c r="LLH1" s="30"/>
      <c r="LLI1" s="30"/>
      <c r="LLJ1" s="30"/>
      <c r="LLK1" s="30"/>
      <c r="LLL1" s="30"/>
      <c r="LLM1" s="30"/>
      <c r="LLN1" s="30"/>
      <c r="LLO1" s="30"/>
      <c r="LLP1" s="30"/>
      <c r="LLQ1" s="30"/>
      <c r="LLR1" s="30"/>
      <c r="LLS1" s="30"/>
      <c r="LLT1" s="30"/>
      <c r="LLU1" s="30"/>
      <c r="LLV1" s="30"/>
      <c r="LLW1" s="30"/>
      <c r="LLX1" s="30"/>
      <c r="LLY1" s="30"/>
      <c r="LLZ1" s="30"/>
      <c r="LMA1" s="30"/>
      <c r="LMB1" s="30"/>
      <c r="LMC1" s="30"/>
      <c r="LMD1" s="30"/>
      <c r="LME1" s="30"/>
      <c r="LMF1" s="30"/>
      <c r="LMG1" s="30"/>
      <c r="LMH1" s="30"/>
      <c r="LMI1" s="30"/>
      <c r="LMJ1" s="30"/>
      <c r="LMK1" s="30"/>
      <c r="LML1" s="30"/>
      <c r="LMM1" s="30"/>
      <c r="LMN1" s="30"/>
      <c r="LMO1" s="30"/>
      <c r="LMP1" s="30"/>
      <c r="LMQ1" s="30"/>
      <c r="LMR1" s="30"/>
      <c r="LMS1" s="30"/>
      <c r="LMT1" s="30"/>
      <c r="LMU1" s="30"/>
      <c r="LMV1" s="30"/>
      <c r="LMW1" s="30"/>
      <c r="LMX1" s="30"/>
      <c r="LMY1" s="30"/>
      <c r="LMZ1" s="30"/>
      <c r="LNA1" s="30"/>
      <c r="LNB1" s="30"/>
      <c r="LNC1" s="30"/>
      <c r="LND1" s="30"/>
      <c r="LNE1" s="30"/>
      <c r="LNF1" s="30"/>
      <c r="LNG1" s="30"/>
      <c r="LNH1" s="30"/>
      <c r="LNI1" s="30"/>
      <c r="LNJ1" s="30"/>
      <c r="LNK1" s="30"/>
      <c r="LNL1" s="30"/>
      <c r="LNM1" s="30"/>
      <c r="LNN1" s="30"/>
      <c r="LNO1" s="30"/>
      <c r="LNP1" s="30"/>
      <c r="LNQ1" s="30"/>
      <c r="LNR1" s="30"/>
      <c r="LNS1" s="30"/>
      <c r="LNT1" s="30"/>
      <c r="LNU1" s="30"/>
      <c r="LNV1" s="30"/>
      <c r="LNW1" s="30"/>
      <c r="LNX1" s="30"/>
      <c r="LNY1" s="30"/>
      <c r="LNZ1" s="30"/>
      <c r="LOA1" s="30"/>
      <c r="LOB1" s="30"/>
      <c r="LOC1" s="30"/>
      <c r="LOD1" s="30"/>
      <c r="LOE1" s="30"/>
      <c r="LOF1" s="30"/>
      <c r="LOG1" s="30"/>
      <c r="LOH1" s="30"/>
      <c r="LOI1" s="30"/>
      <c r="LOJ1" s="30"/>
      <c r="LOK1" s="30"/>
      <c r="LOL1" s="30"/>
      <c r="LOM1" s="30"/>
      <c r="LON1" s="30"/>
      <c r="LOO1" s="30"/>
      <c r="LOP1" s="30"/>
      <c r="LOQ1" s="30"/>
      <c r="LOR1" s="30"/>
      <c r="LOS1" s="30"/>
      <c r="LOT1" s="30"/>
      <c r="LOU1" s="30"/>
      <c r="LOV1" s="30"/>
      <c r="LOW1" s="30"/>
      <c r="LOX1" s="30"/>
      <c r="LOY1" s="30"/>
      <c r="LOZ1" s="30"/>
      <c r="LPA1" s="30"/>
      <c r="LPB1" s="30"/>
      <c r="LPC1" s="30"/>
      <c r="LPD1" s="30"/>
      <c r="LPE1" s="30"/>
      <c r="LPF1" s="30"/>
      <c r="LPG1" s="30"/>
      <c r="LPH1" s="30"/>
      <c r="LPI1" s="30"/>
      <c r="LPJ1" s="30"/>
      <c r="LPK1" s="30"/>
      <c r="LPL1" s="30"/>
      <c r="LPM1" s="30"/>
      <c r="LPN1" s="30"/>
      <c r="LPO1" s="30"/>
      <c r="LPP1" s="30"/>
      <c r="LPQ1" s="30"/>
      <c r="LPR1" s="30"/>
      <c r="LPS1" s="30"/>
      <c r="LPT1" s="30"/>
      <c r="LPU1" s="30"/>
      <c r="LPV1" s="30"/>
      <c r="LPW1" s="30"/>
      <c r="LPX1" s="30"/>
      <c r="LPY1" s="30"/>
      <c r="LPZ1" s="30"/>
      <c r="LQA1" s="30"/>
      <c r="LQB1" s="30"/>
      <c r="LQC1" s="30"/>
      <c r="LQD1" s="30"/>
      <c r="LQE1" s="30"/>
      <c r="LQF1" s="30"/>
      <c r="LQG1" s="30"/>
      <c r="LQH1" s="30"/>
      <c r="LQI1" s="30"/>
      <c r="LQJ1" s="30"/>
      <c r="LQK1" s="30"/>
      <c r="LQL1" s="30"/>
      <c r="LQM1" s="30"/>
      <c r="LQN1" s="30"/>
      <c r="LQO1" s="30"/>
      <c r="LQP1" s="30"/>
      <c r="LQQ1" s="30"/>
      <c r="LQR1" s="30"/>
      <c r="LQS1" s="30"/>
      <c r="LQT1" s="30"/>
      <c r="LQU1" s="30"/>
      <c r="LQV1" s="30"/>
      <c r="LQW1" s="30"/>
      <c r="LQX1" s="30"/>
      <c r="LQY1" s="30"/>
      <c r="LQZ1" s="30"/>
      <c r="LRA1" s="30"/>
      <c r="LRB1" s="30"/>
      <c r="LRC1" s="30"/>
      <c r="LRD1" s="30"/>
      <c r="LRE1" s="30"/>
      <c r="LRF1" s="30"/>
      <c r="LRG1" s="30"/>
      <c r="LRH1" s="30"/>
      <c r="LRI1" s="30"/>
      <c r="LRJ1" s="30"/>
      <c r="LRK1" s="30"/>
      <c r="LRL1" s="30"/>
      <c r="LRM1" s="30"/>
      <c r="LRN1" s="30"/>
      <c r="LRO1" s="30"/>
      <c r="LRP1" s="30"/>
      <c r="LRQ1" s="30"/>
      <c r="LRR1" s="30"/>
      <c r="LRS1" s="30"/>
      <c r="LRT1" s="30"/>
      <c r="LRU1" s="30"/>
      <c r="LRV1" s="30"/>
      <c r="LRW1" s="30"/>
      <c r="LRX1" s="30"/>
      <c r="LRY1" s="30"/>
      <c r="LRZ1" s="30"/>
      <c r="LSA1" s="30"/>
      <c r="LSB1" s="30"/>
      <c r="LSC1" s="30"/>
      <c r="LSD1" s="30"/>
      <c r="LSE1" s="30"/>
      <c r="LSF1" s="30"/>
      <c r="LSG1" s="30"/>
      <c r="LSH1" s="30"/>
      <c r="LSI1" s="30"/>
      <c r="LSJ1" s="30"/>
      <c r="LSK1" s="30"/>
      <c r="LSL1" s="30"/>
      <c r="LSM1" s="30"/>
      <c r="LSN1" s="30"/>
      <c r="LSO1" s="30"/>
      <c r="LSP1" s="30"/>
      <c r="LSQ1" s="30"/>
      <c r="LSR1" s="30"/>
      <c r="LSS1" s="30"/>
      <c r="LST1" s="30"/>
      <c r="LSU1" s="30"/>
      <c r="LSV1" s="30"/>
      <c r="LSW1" s="30"/>
      <c r="LSX1" s="30"/>
      <c r="LSY1" s="30"/>
      <c r="LSZ1" s="30"/>
      <c r="LTA1" s="30"/>
      <c r="LTB1" s="30"/>
      <c r="LTC1" s="30"/>
      <c r="LTD1" s="30"/>
      <c r="LTE1" s="30"/>
      <c r="LTF1" s="30"/>
      <c r="LTG1" s="30"/>
      <c r="LTH1" s="30"/>
      <c r="LTI1" s="30"/>
      <c r="LTJ1" s="30"/>
      <c r="LTK1" s="30"/>
      <c r="LTL1" s="30"/>
      <c r="LTM1" s="30"/>
      <c r="LTN1" s="30"/>
      <c r="LTO1" s="30"/>
      <c r="LTP1" s="30"/>
      <c r="LTQ1" s="30"/>
      <c r="LTR1" s="30"/>
      <c r="LTS1" s="30"/>
      <c r="LTT1" s="30"/>
      <c r="LTU1" s="30"/>
      <c r="LTV1" s="30"/>
      <c r="LTW1" s="30"/>
      <c r="LTX1" s="30"/>
      <c r="LTY1" s="30"/>
      <c r="LTZ1" s="30"/>
      <c r="LUA1" s="30"/>
      <c r="LUB1" s="30"/>
      <c r="LUC1" s="30"/>
      <c r="LUD1" s="30"/>
      <c r="LUE1" s="30"/>
      <c r="LUF1" s="30"/>
      <c r="LUG1" s="30"/>
      <c r="LUH1" s="30"/>
      <c r="LUI1" s="30"/>
      <c r="LUJ1" s="30"/>
      <c r="LUK1" s="30"/>
      <c r="LUL1" s="30"/>
      <c r="LUM1" s="30"/>
      <c r="LUN1" s="30"/>
      <c r="LUO1" s="30"/>
      <c r="LUP1" s="30"/>
      <c r="LUQ1" s="30"/>
      <c r="LUR1" s="30"/>
      <c r="LUS1" s="30"/>
      <c r="LUT1" s="30"/>
      <c r="LUU1" s="30"/>
      <c r="LUV1" s="30"/>
      <c r="LUW1" s="30"/>
      <c r="LUX1" s="30"/>
      <c r="LUY1" s="30"/>
      <c r="LUZ1" s="30"/>
      <c r="LVA1" s="30"/>
      <c r="LVB1" s="30"/>
      <c r="LVC1" s="30"/>
      <c r="LVD1" s="30"/>
      <c r="LVE1" s="30"/>
      <c r="LVF1" s="30"/>
      <c r="LVG1" s="30"/>
      <c r="LVH1" s="30"/>
      <c r="LVI1" s="30"/>
      <c r="LVJ1" s="30"/>
      <c r="LVK1" s="30"/>
      <c r="LVL1" s="30"/>
      <c r="LVM1" s="30"/>
      <c r="LVN1" s="30"/>
      <c r="LVO1" s="30"/>
      <c r="LVP1" s="30"/>
      <c r="LVQ1" s="30"/>
      <c r="LVR1" s="30"/>
      <c r="LVS1" s="30"/>
      <c r="LVT1" s="30"/>
      <c r="LVU1" s="30"/>
      <c r="LVV1" s="30"/>
      <c r="LVW1" s="30"/>
      <c r="LVX1" s="30"/>
      <c r="LVY1" s="30"/>
      <c r="LVZ1" s="30"/>
      <c r="LWA1" s="30"/>
      <c r="LWB1" s="30"/>
      <c r="LWC1" s="30"/>
      <c r="LWD1" s="30"/>
      <c r="LWE1" s="30"/>
      <c r="LWF1" s="30"/>
      <c r="LWG1" s="30"/>
      <c r="LWH1" s="30"/>
      <c r="LWI1" s="30"/>
      <c r="LWJ1" s="30"/>
      <c r="LWK1" s="30"/>
      <c r="LWL1" s="30"/>
      <c r="LWM1" s="30"/>
      <c r="LWN1" s="30"/>
      <c r="LWO1" s="30"/>
      <c r="LWP1" s="30"/>
      <c r="LWQ1" s="30"/>
      <c r="LWR1" s="30"/>
      <c r="LWS1" s="30"/>
      <c r="LWT1" s="30"/>
      <c r="LWU1" s="30"/>
      <c r="LWV1" s="30"/>
      <c r="LWW1" s="30"/>
      <c r="LWX1" s="30"/>
      <c r="LWY1" s="30"/>
      <c r="LWZ1" s="30"/>
      <c r="LXA1" s="30"/>
      <c r="LXB1" s="30"/>
      <c r="LXC1" s="30"/>
      <c r="LXD1" s="30"/>
      <c r="LXE1" s="30"/>
      <c r="LXF1" s="30"/>
      <c r="LXG1" s="30"/>
      <c r="LXH1" s="30"/>
      <c r="LXI1" s="30"/>
      <c r="LXJ1" s="30"/>
      <c r="LXK1" s="30"/>
      <c r="LXL1" s="30"/>
      <c r="LXM1" s="30"/>
      <c r="LXN1" s="30"/>
      <c r="LXO1" s="30"/>
      <c r="LXP1" s="30"/>
      <c r="LXQ1" s="30"/>
      <c r="LXR1" s="30"/>
      <c r="LXS1" s="30"/>
      <c r="LXT1" s="30"/>
      <c r="LXU1" s="30"/>
      <c r="LXV1" s="30"/>
      <c r="LXW1" s="30"/>
      <c r="LXX1" s="30"/>
      <c r="LXY1" s="30"/>
      <c r="LXZ1" s="30"/>
      <c r="LYA1" s="30"/>
      <c r="LYB1" s="30"/>
      <c r="LYC1" s="30"/>
      <c r="LYD1" s="30"/>
      <c r="LYE1" s="30"/>
      <c r="LYF1" s="30"/>
      <c r="LYG1" s="30"/>
      <c r="LYH1" s="30"/>
      <c r="LYI1" s="30"/>
      <c r="LYJ1" s="30"/>
      <c r="LYK1" s="30"/>
      <c r="LYL1" s="30"/>
      <c r="LYM1" s="30"/>
      <c r="LYN1" s="30"/>
      <c r="LYO1" s="30"/>
      <c r="LYP1" s="30"/>
      <c r="LYQ1" s="30"/>
      <c r="LYR1" s="30"/>
      <c r="LYS1" s="30"/>
      <c r="LYT1" s="30"/>
      <c r="LYU1" s="30"/>
      <c r="LYV1" s="30"/>
      <c r="LYW1" s="30"/>
      <c r="LYX1" s="30"/>
      <c r="LYY1" s="30"/>
      <c r="LYZ1" s="30"/>
      <c r="LZA1" s="30"/>
      <c r="LZB1" s="30"/>
      <c r="LZC1" s="30"/>
      <c r="LZD1" s="30"/>
      <c r="LZE1" s="30"/>
      <c r="LZF1" s="30"/>
      <c r="LZG1" s="30"/>
      <c r="LZH1" s="30"/>
      <c r="LZI1" s="30"/>
      <c r="LZJ1" s="30"/>
      <c r="LZK1" s="30"/>
      <c r="LZL1" s="30"/>
      <c r="LZM1" s="30"/>
      <c r="LZN1" s="30"/>
      <c r="LZO1" s="30"/>
      <c r="LZP1" s="30"/>
      <c r="LZQ1" s="30"/>
      <c r="LZR1" s="30"/>
      <c r="LZS1" s="30"/>
      <c r="LZT1" s="30"/>
      <c r="LZU1" s="30"/>
      <c r="LZV1" s="30"/>
      <c r="LZW1" s="30"/>
      <c r="LZX1" s="30"/>
      <c r="LZY1" s="30"/>
      <c r="LZZ1" s="30"/>
      <c r="MAA1" s="30"/>
      <c r="MAB1" s="30"/>
      <c r="MAC1" s="30"/>
      <c r="MAD1" s="30"/>
      <c r="MAE1" s="30"/>
      <c r="MAF1" s="30"/>
      <c r="MAG1" s="30"/>
      <c r="MAH1" s="30"/>
      <c r="MAI1" s="30"/>
      <c r="MAJ1" s="30"/>
      <c r="MAK1" s="30"/>
      <c r="MAL1" s="30"/>
      <c r="MAM1" s="30"/>
      <c r="MAN1" s="30"/>
      <c r="MAO1" s="30"/>
      <c r="MAP1" s="30"/>
      <c r="MAQ1" s="30"/>
      <c r="MAR1" s="30"/>
      <c r="MAS1" s="30"/>
      <c r="MAT1" s="30"/>
      <c r="MAU1" s="30"/>
      <c r="MAV1" s="30"/>
      <c r="MAW1" s="30"/>
      <c r="MAX1" s="30"/>
      <c r="MAY1" s="30"/>
      <c r="MAZ1" s="30"/>
      <c r="MBA1" s="30"/>
      <c r="MBB1" s="30"/>
      <c r="MBC1" s="30"/>
      <c r="MBD1" s="30"/>
      <c r="MBE1" s="30"/>
      <c r="MBF1" s="30"/>
      <c r="MBG1" s="30"/>
      <c r="MBH1" s="30"/>
      <c r="MBI1" s="30"/>
      <c r="MBJ1" s="30"/>
      <c r="MBK1" s="30"/>
      <c r="MBL1" s="30"/>
      <c r="MBM1" s="30"/>
      <c r="MBN1" s="30"/>
      <c r="MBO1" s="30"/>
      <c r="MBP1" s="30"/>
      <c r="MBQ1" s="30"/>
      <c r="MBR1" s="30"/>
      <c r="MBS1" s="30"/>
      <c r="MBT1" s="30"/>
      <c r="MBU1" s="30"/>
      <c r="MBV1" s="30"/>
      <c r="MBW1" s="30"/>
      <c r="MBX1" s="30"/>
      <c r="MBY1" s="30"/>
      <c r="MBZ1" s="30"/>
      <c r="MCA1" s="30"/>
      <c r="MCB1" s="30"/>
      <c r="MCC1" s="30"/>
      <c r="MCD1" s="30"/>
      <c r="MCE1" s="30"/>
      <c r="MCF1" s="30"/>
      <c r="MCG1" s="30"/>
      <c r="MCH1" s="30"/>
      <c r="MCI1" s="30"/>
      <c r="MCJ1" s="30"/>
      <c r="MCK1" s="30"/>
      <c r="MCL1" s="30"/>
      <c r="MCM1" s="30"/>
      <c r="MCN1" s="30"/>
      <c r="MCO1" s="30"/>
      <c r="MCP1" s="30"/>
      <c r="MCQ1" s="30"/>
      <c r="MCR1" s="30"/>
      <c r="MCS1" s="30"/>
      <c r="MCT1" s="30"/>
      <c r="MCU1" s="30"/>
      <c r="MCV1" s="30"/>
      <c r="MCW1" s="30"/>
      <c r="MCX1" s="30"/>
      <c r="MCY1" s="30"/>
      <c r="MCZ1" s="30"/>
      <c r="MDA1" s="30"/>
      <c r="MDB1" s="30"/>
      <c r="MDC1" s="30"/>
      <c r="MDD1" s="30"/>
      <c r="MDE1" s="30"/>
      <c r="MDF1" s="30"/>
      <c r="MDG1" s="30"/>
      <c r="MDH1" s="30"/>
      <c r="MDI1" s="30"/>
      <c r="MDJ1" s="30"/>
      <c r="MDK1" s="30"/>
      <c r="MDL1" s="30"/>
      <c r="MDM1" s="30"/>
      <c r="MDN1" s="30"/>
      <c r="MDO1" s="30"/>
      <c r="MDP1" s="30"/>
      <c r="MDQ1" s="30"/>
      <c r="MDR1" s="30"/>
      <c r="MDS1" s="30"/>
      <c r="MDT1" s="30"/>
      <c r="MDU1" s="30"/>
      <c r="MDV1" s="30"/>
      <c r="MDW1" s="30"/>
      <c r="MDX1" s="30"/>
      <c r="MDY1" s="30"/>
      <c r="MDZ1" s="30"/>
      <c r="MEA1" s="30"/>
      <c r="MEB1" s="30"/>
      <c r="MEC1" s="30"/>
      <c r="MED1" s="30"/>
      <c r="MEE1" s="30"/>
      <c r="MEF1" s="30"/>
      <c r="MEG1" s="30"/>
      <c r="MEH1" s="30"/>
      <c r="MEI1" s="30"/>
      <c r="MEJ1" s="30"/>
      <c r="MEK1" s="30"/>
      <c r="MEL1" s="30"/>
      <c r="MEM1" s="30"/>
      <c r="MEN1" s="30"/>
      <c r="MEO1" s="30"/>
      <c r="MEP1" s="30"/>
      <c r="MEQ1" s="30"/>
      <c r="MER1" s="30"/>
      <c r="MES1" s="30"/>
      <c r="MET1" s="30"/>
      <c r="MEU1" s="30"/>
      <c r="MEV1" s="30"/>
      <c r="MEW1" s="30"/>
      <c r="MEX1" s="30"/>
      <c r="MEY1" s="30"/>
      <c r="MEZ1" s="30"/>
      <c r="MFA1" s="30"/>
      <c r="MFB1" s="30"/>
      <c r="MFC1" s="30"/>
      <c r="MFD1" s="30"/>
      <c r="MFE1" s="30"/>
      <c r="MFF1" s="30"/>
      <c r="MFG1" s="30"/>
      <c r="MFH1" s="30"/>
      <c r="MFI1" s="30"/>
      <c r="MFJ1" s="30"/>
      <c r="MFK1" s="30"/>
      <c r="MFL1" s="30"/>
      <c r="MFM1" s="30"/>
      <c r="MFN1" s="30"/>
      <c r="MFO1" s="30"/>
      <c r="MFP1" s="30"/>
      <c r="MFQ1" s="30"/>
      <c r="MFR1" s="30"/>
      <c r="MFS1" s="30"/>
      <c r="MFT1" s="30"/>
      <c r="MFU1" s="30"/>
      <c r="MFV1" s="30"/>
      <c r="MFW1" s="30"/>
      <c r="MFX1" s="30"/>
      <c r="MFY1" s="30"/>
      <c r="MFZ1" s="30"/>
      <c r="MGA1" s="30"/>
      <c r="MGB1" s="30"/>
      <c r="MGC1" s="30"/>
      <c r="MGD1" s="30"/>
      <c r="MGE1" s="30"/>
      <c r="MGF1" s="30"/>
      <c r="MGG1" s="30"/>
      <c r="MGH1" s="30"/>
      <c r="MGI1" s="30"/>
      <c r="MGJ1" s="30"/>
      <c r="MGK1" s="30"/>
      <c r="MGL1" s="30"/>
      <c r="MGM1" s="30"/>
      <c r="MGN1" s="30"/>
      <c r="MGO1" s="30"/>
      <c r="MGP1" s="30"/>
      <c r="MGQ1" s="30"/>
      <c r="MGR1" s="30"/>
      <c r="MGS1" s="30"/>
      <c r="MGT1" s="30"/>
      <c r="MGU1" s="30"/>
      <c r="MGV1" s="30"/>
      <c r="MGW1" s="30"/>
      <c r="MGX1" s="30"/>
      <c r="MGY1" s="30"/>
      <c r="MGZ1" s="30"/>
      <c r="MHA1" s="30"/>
      <c r="MHB1" s="30"/>
      <c r="MHC1" s="30"/>
      <c r="MHD1" s="30"/>
      <c r="MHE1" s="30"/>
      <c r="MHF1" s="30"/>
      <c r="MHG1" s="30"/>
      <c r="MHH1" s="30"/>
      <c r="MHI1" s="30"/>
      <c r="MHJ1" s="30"/>
      <c r="MHK1" s="30"/>
      <c r="MHL1" s="30"/>
      <c r="MHM1" s="30"/>
      <c r="MHN1" s="30"/>
      <c r="MHO1" s="30"/>
      <c r="MHP1" s="30"/>
      <c r="MHQ1" s="30"/>
      <c r="MHR1" s="30"/>
      <c r="MHS1" s="30"/>
      <c r="MHT1" s="30"/>
      <c r="MHU1" s="30"/>
      <c r="MHV1" s="30"/>
      <c r="MHW1" s="30"/>
      <c r="MHX1" s="30"/>
      <c r="MHY1" s="30"/>
      <c r="MHZ1" s="30"/>
      <c r="MIA1" s="30"/>
      <c r="MIB1" s="30"/>
      <c r="MIC1" s="30"/>
      <c r="MID1" s="30"/>
      <c r="MIE1" s="30"/>
      <c r="MIF1" s="30"/>
      <c r="MIG1" s="30"/>
      <c r="MIH1" s="30"/>
      <c r="MII1" s="30"/>
      <c r="MIJ1" s="30"/>
      <c r="MIK1" s="30"/>
      <c r="MIL1" s="30"/>
      <c r="MIM1" s="30"/>
      <c r="MIN1" s="30"/>
      <c r="MIO1" s="30"/>
      <c r="MIP1" s="30"/>
      <c r="MIQ1" s="30"/>
      <c r="MIR1" s="30"/>
      <c r="MIS1" s="30"/>
      <c r="MIT1" s="30"/>
      <c r="MIU1" s="30"/>
      <c r="MIV1" s="30"/>
      <c r="MIW1" s="30"/>
      <c r="MIX1" s="30"/>
      <c r="MIY1" s="30"/>
      <c r="MIZ1" s="30"/>
      <c r="MJA1" s="30"/>
      <c r="MJB1" s="30"/>
      <c r="MJC1" s="30"/>
      <c r="MJD1" s="30"/>
      <c r="MJE1" s="30"/>
      <c r="MJF1" s="30"/>
      <c r="MJG1" s="30"/>
      <c r="MJH1" s="30"/>
      <c r="MJI1" s="30"/>
      <c r="MJJ1" s="30"/>
      <c r="MJK1" s="30"/>
      <c r="MJL1" s="30"/>
      <c r="MJM1" s="30"/>
      <c r="MJN1" s="30"/>
      <c r="MJO1" s="30"/>
      <c r="MJP1" s="30"/>
      <c r="MJQ1" s="30"/>
      <c r="MJR1" s="30"/>
      <c r="MJS1" s="30"/>
      <c r="MJT1" s="30"/>
      <c r="MJU1" s="30"/>
      <c r="MJV1" s="30"/>
      <c r="MJW1" s="30"/>
      <c r="MJX1" s="30"/>
      <c r="MJY1" s="30"/>
      <c r="MJZ1" s="30"/>
      <c r="MKA1" s="30"/>
      <c r="MKB1" s="30"/>
      <c r="MKC1" s="30"/>
      <c r="MKD1" s="30"/>
      <c r="MKE1" s="30"/>
      <c r="MKF1" s="30"/>
      <c r="MKG1" s="30"/>
      <c r="MKH1" s="30"/>
      <c r="MKI1" s="30"/>
      <c r="MKJ1" s="30"/>
      <c r="MKK1" s="30"/>
      <c r="MKL1" s="30"/>
      <c r="MKM1" s="30"/>
      <c r="MKN1" s="30"/>
      <c r="MKO1" s="30"/>
      <c r="MKP1" s="30"/>
      <c r="MKQ1" s="30"/>
      <c r="MKR1" s="30"/>
      <c r="MKS1" s="30"/>
      <c r="MKT1" s="30"/>
      <c r="MKU1" s="30"/>
      <c r="MKV1" s="30"/>
      <c r="MKW1" s="30"/>
      <c r="MKX1" s="30"/>
      <c r="MKY1" s="30"/>
      <c r="MKZ1" s="30"/>
      <c r="MLA1" s="30"/>
      <c r="MLB1" s="30"/>
      <c r="MLC1" s="30"/>
      <c r="MLD1" s="30"/>
      <c r="MLE1" s="30"/>
      <c r="MLF1" s="30"/>
      <c r="MLG1" s="30"/>
      <c r="MLH1" s="30"/>
      <c r="MLI1" s="30"/>
      <c r="MLJ1" s="30"/>
      <c r="MLK1" s="30"/>
      <c r="MLL1" s="30"/>
      <c r="MLM1" s="30"/>
      <c r="MLN1" s="30"/>
      <c r="MLO1" s="30"/>
      <c r="MLP1" s="30"/>
      <c r="MLQ1" s="30"/>
      <c r="MLR1" s="30"/>
      <c r="MLS1" s="30"/>
      <c r="MLT1" s="30"/>
      <c r="MLU1" s="30"/>
      <c r="MLV1" s="30"/>
      <c r="MLW1" s="30"/>
      <c r="MLX1" s="30"/>
      <c r="MLY1" s="30"/>
      <c r="MLZ1" s="30"/>
      <c r="MMA1" s="30"/>
      <c r="MMB1" s="30"/>
      <c r="MMC1" s="30"/>
      <c r="MMD1" s="30"/>
      <c r="MME1" s="30"/>
      <c r="MMF1" s="30"/>
      <c r="MMG1" s="30"/>
      <c r="MMH1" s="30"/>
      <c r="MMI1" s="30"/>
      <c r="MMJ1" s="30"/>
      <c r="MMK1" s="30"/>
      <c r="MML1" s="30"/>
      <c r="MMM1" s="30"/>
      <c r="MMN1" s="30"/>
      <c r="MMO1" s="30"/>
      <c r="MMP1" s="30"/>
      <c r="MMQ1" s="30"/>
      <c r="MMR1" s="30"/>
      <c r="MMS1" s="30"/>
      <c r="MMT1" s="30"/>
      <c r="MMU1" s="30"/>
      <c r="MMV1" s="30"/>
      <c r="MMW1" s="30"/>
      <c r="MMX1" s="30"/>
      <c r="MMY1" s="30"/>
      <c r="MMZ1" s="30"/>
      <c r="MNA1" s="30"/>
      <c r="MNB1" s="30"/>
      <c r="MNC1" s="30"/>
      <c r="MND1" s="30"/>
      <c r="MNE1" s="30"/>
      <c r="MNF1" s="30"/>
      <c r="MNG1" s="30"/>
      <c r="MNH1" s="30"/>
      <c r="MNI1" s="30"/>
      <c r="MNJ1" s="30"/>
      <c r="MNK1" s="30"/>
      <c r="MNL1" s="30"/>
      <c r="MNM1" s="30"/>
      <c r="MNN1" s="30"/>
      <c r="MNO1" s="30"/>
      <c r="MNP1" s="30"/>
      <c r="MNQ1" s="30"/>
      <c r="MNR1" s="30"/>
      <c r="MNS1" s="30"/>
      <c r="MNT1" s="30"/>
      <c r="MNU1" s="30"/>
      <c r="MNV1" s="30"/>
      <c r="MNW1" s="30"/>
      <c r="MNX1" s="30"/>
      <c r="MNY1" s="30"/>
      <c r="MNZ1" s="30"/>
      <c r="MOA1" s="30"/>
      <c r="MOB1" s="30"/>
      <c r="MOC1" s="30"/>
      <c r="MOD1" s="30"/>
      <c r="MOE1" s="30"/>
      <c r="MOF1" s="30"/>
      <c r="MOG1" s="30"/>
      <c r="MOH1" s="30"/>
      <c r="MOI1" s="30"/>
      <c r="MOJ1" s="30"/>
      <c r="MOK1" s="30"/>
      <c r="MOL1" s="30"/>
      <c r="MOM1" s="30"/>
      <c r="MON1" s="30"/>
      <c r="MOO1" s="30"/>
      <c r="MOP1" s="30"/>
      <c r="MOQ1" s="30"/>
      <c r="MOR1" s="30"/>
      <c r="MOS1" s="30"/>
      <c r="MOT1" s="30"/>
      <c r="MOU1" s="30"/>
      <c r="MOV1" s="30"/>
      <c r="MOW1" s="30"/>
      <c r="MOX1" s="30"/>
      <c r="MOY1" s="30"/>
      <c r="MOZ1" s="30"/>
      <c r="MPA1" s="30"/>
      <c r="MPB1" s="30"/>
      <c r="MPC1" s="30"/>
      <c r="MPD1" s="30"/>
      <c r="MPE1" s="30"/>
      <c r="MPF1" s="30"/>
      <c r="MPG1" s="30"/>
      <c r="MPH1" s="30"/>
      <c r="MPI1" s="30"/>
      <c r="MPJ1" s="30"/>
      <c r="MPK1" s="30"/>
      <c r="MPL1" s="30"/>
      <c r="MPM1" s="30"/>
      <c r="MPN1" s="30"/>
      <c r="MPO1" s="30"/>
      <c r="MPP1" s="30"/>
      <c r="MPQ1" s="30"/>
      <c r="MPR1" s="30"/>
      <c r="MPS1" s="30"/>
      <c r="MPT1" s="30"/>
      <c r="MPU1" s="30"/>
      <c r="MPV1" s="30"/>
      <c r="MPW1" s="30"/>
      <c r="MPX1" s="30"/>
      <c r="MPY1" s="30"/>
      <c r="MPZ1" s="30"/>
      <c r="MQA1" s="30"/>
      <c r="MQB1" s="30"/>
      <c r="MQC1" s="30"/>
      <c r="MQD1" s="30"/>
      <c r="MQE1" s="30"/>
      <c r="MQF1" s="30"/>
      <c r="MQG1" s="30"/>
      <c r="MQH1" s="30"/>
      <c r="MQI1" s="30"/>
      <c r="MQJ1" s="30"/>
      <c r="MQK1" s="30"/>
      <c r="MQL1" s="30"/>
      <c r="MQM1" s="30"/>
      <c r="MQN1" s="30"/>
      <c r="MQO1" s="30"/>
      <c r="MQP1" s="30"/>
      <c r="MQQ1" s="30"/>
      <c r="MQR1" s="30"/>
      <c r="MQS1" s="30"/>
      <c r="MQT1" s="30"/>
      <c r="MQU1" s="30"/>
      <c r="MQV1" s="30"/>
      <c r="MQW1" s="30"/>
      <c r="MQX1" s="30"/>
      <c r="MQY1" s="30"/>
      <c r="MQZ1" s="30"/>
      <c r="MRA1" s="30"/>
      <c r="MRB1" s="30"/>
      <c r="MRC1" s="30"/>
      <c r="MRD1" s="30"/>
      <c r="MRE1" s="30"/>
      <c r="MRF1" s="30"/>
      <c r="MRG1" s="30"/>
      <c r="MRH1" s="30"/>
      <c r="MRI1" s="30"/>
      <c r="MRJ1" s="30"/>
      <c r="MRK1" s="30"/>
      <c r="MRL1" s="30"/>
      <c r="MRM1" s="30"/>
      <c r="MRN1" s="30"/>
      <c r="MRO1" s="30"/>
      <c r="MRP1" s="30"/>
      <c r="MRQ1" s="30"/>
      <c r="MRR1" s="30"/>
      <c r="MRS1" s="30"/>
      <c r="MRT1" s="30"/>
      <c r="MRU1" s="30"/>
      <c r="MRV1" s="30"/>
      <c r="MRW1" s="30"/>
      <c r="MRX1" s="30"/>
      <c r="MRY1" s="30"/>
      <c r="MRZ1" s="30"/>
      <c r="MSA1" s="30"/>
      <c r="MSB1" s="30"/>
      <c r="MSC1" s="30"/>
      <c r="MSD1" s="30"/>
      <c r="MSE1" s="30"/>
      <c r="MSF1" s="30"/>
      <c r="MSG1" s="30"/>
      <c r="MSH1" s="30"/>
      <c r="MSI1" s="30"/>
      <c r="MSJ1" s="30"/>
      <c r="MSK1" s="30"/>
      <c r="MSL1" s="30"/>
      <c r="MSM1" s="30"/>
      <c r="MSN1" s="30"/>
      <c r="MSO1" s="30"/>
      <c r="MSP1" s="30"/>
      <c r="MSQ1" s="30"/>
      <c r="MSR1" s="30"/>
      <c r="MSS1" s="30"/>
      <c r="MST1" s="30"/>
      <c r="MSU1" s="30"/>
      <c r="MSV1" s="30"/>
      <c r="MSW1" s="30"/>
      <c r="MSX1" s="30"/>
      <c r="MSY1" s="30"/>
      <c r="MSZ1" s="30"/>
      <c r="MTA1" s="30"/>
      <c r="MTB1" s="30"/>
      <c r="MTC1" s="30"/>
      <c r="MTD1" s="30"/>
      <c r="MTE1" s="30"/>
      <c r="MTF1" s="30"/>
      <c r="MTG1" s="30"/>
      <c r="MTH1" s="30"/>
      <c r="MTI1" s="30"/>
      <c r="MTJ1" s="30"/>
      <c r="MTK1" s="30"/>
      <c r="MTL1" s="30"/>
      <c r="MTM1" s="30"/>
      <c r="MTN1" s="30"/>
      <c r="MTO1" s="30"/>
      <c r="MTP1" s="30"/>
      <c r="MTQ1" s="30"/>
      <c r="MTR1" s="30"/>
      <c r="MTS1" s="30"/>
      <c r="MTT1" s="30"/>
      <c r="MTU1" s="30"/>
      <c r="MTV1" s="30"/>
      <c r="MTW1" s="30"/>
      <c r="MTX1" s="30"/>
      <c r="MTY1" s="30"/>
      <c r="MTZ1" s="30"/>
      <c r="MUA1" s="30"/>
      <c r="MUB1" s="30"/>
      <c r="MUC1" s="30"/>
      <c r="MUD1" s="30"/>
      <c r="MUE1" s="30"/>
      <c r="MUF1" s="30"/>
      <c r="MUG1" s="30"/>
      <c r="MUH1" s="30"/>
      <c r="MUI1" s="30"/>
      <c r="MUJ1" s="30"/>
      <c r="MUK1" s="30"/>
      <c r="MUL1" s="30"/>
      <c r="MUM1" s="30"/>
      <c r="MUN1" s="30"/>
      <c r="MUO1" s="30"/>
      <c r="MUP1" s="30"/>
      <c r="MUQ1" s="30"/>
      <c r="MUR1" s="30"/>
      <c r="MUS1" s="30"/>
      <c r="MUT1" s="30"/>
      <c r="MUU1" s="30"/>
      <c r="MUV1" s="30"/>
      <c r="MUW1" s="30"/>
      <c r="MUX1" s="30"/>
      <c r="MUY1" s="30"/>
      <c r="MUZ1" s="30"/>
      <c r="MVA1" s="30"/>
      <c r="MVB1" s="30"/>
      <c r="MVC1" s="30"/>
      <c r="MVD1" s="30"/>
      <c r="MVE1" s="30"/>
      <c r="MVF1" s="30"/>
      <c r="MVG1" s="30"/>
      <c r="MVH1" s="30"/>
      <c r="MVI1" s="30"/>
      <c r="MVJ1" s="30"/>
      <c r="MVK1" s="30"/>
      <c r="MVL1" s="30"/>
      <c r="MVM1" s="30"/>
      <c r="MVN1" s="30"/>
      <c r="MVO1" s="30"/>
      <c r="MVP1" s="30"/>
      <c r="MVQ1" s="30"/>
      <c r="MVR1" s="30"/>
      <c r="MVS1" s="30"/>
      <c r="MVT1" s="30"/>
      <c r="MVU1" s="30"/>
      <c r="MVV1" s="30"/>
      <c r="MVW1" s="30"/>
      <c r="MVX1" s="30"/>
      <c r="MVY1" s="30"/>
      <c r="MVZ1" s="30"/>
      <c r="MWA1" s="30"/>
      <c r="MWB1" s="30"/>
      <c r="MWC1" s="30"/>
      <c r="MWD1" s="30"/>
      <c r="MWE1" s="30"/>
      <c r="MWF1" s="30"/>
      <c r="MWG1" s="30"/>
      <c r="MWH1" s="30"/>
      <c r="MWI1" s="30"/>
      <c r="MWJ1" s="30"/>
      <c r="MWK1" s="30"/>
      <c r="MWL1" s="30"/>
      <c r="MWM1" s="30"/>
      <c r="MWN1" s="30"/>
      <c r="MWO1" s="30"/>
      <c r="MWP1" s="30"/>
      <c r="MWQ1" s="30"/>
      <c r="MWR1" s="30"/>
      <c r="MWS1" s="30"/>
      <c r="MWT1" s="30"/>
      <c r="MWU1" s="30"/>
      <c r="MWV1" s="30"/>
      <c r="MWW1" s="30"/>
      <c r="MWX1" s="30"/>
      <c r="MWY1" s="30"/>
      <c r="MWZ1" s="30"/>
      <c r="MXA1" s="30"/>
      <c r="MXB1" s="30"/>
      <c r="MXC1" s="30"/>
      <c r="MXD1" s="30"/>
      <c r="MXE1" s="30"/>
      <c r="MXF1" s="30"/>
      <c r="MXG1" s="30"/>
      <c r="MXH1" s="30"/>
      <c r="MXI1" s="30"/>
      <c r="MXJ1" s="30"/>
      <c r="MXK1" s="30"/>
      <c r="MXL1" s="30"/>
      <c r="MXM1" s="30"/>
      <c r="MXN1" s="30"/>
      <c r="MXO1" s="30"/>
      <c r="MXP1" s="30"/>
      <c r="MXQ1" s="30"/>
      <c r="MXR1" s="30"/>
      <c r="MXS1" s="30"/>
      <c r="MXT1" s="30"/>
      <c r="MXU1" s="30"/>
      <c r="MXV1" s="30"/>
      <c r="MXW1" s="30"/>
      <c r="MXX1" s="30"/>
      <c r="MXY1" s="30"/>
      <c r="MXZ1" s="30"/>
      <c r="MYA1" s="30"/>
      <c r="MYB1" s="30"/>
      <c r="MYC1" s="30"/>
      <c r="MYD1" s="30"/>
      <c r="MYE1" s="30"/>
      <c r="MYF1" s="30"/>
      <c r="MYG1" s="30"/>
      <c r="MYH1" s="30"/>
      <c r="MYI1" s="30"/>
      <c r="MYJ1" s="30"/>
      <c r="MYK1" s="30"/>
      <c r="MYL1" s="30"/>
      <c r="MYM1" s="30"/>
      <c r="MYN1" s="30"/>
      <c r="MYO1" s="30"/>
      <c r="MYP1" s="30"/>
      <c r="MYQ1" s="30"/>
      <c r="MYR1" s="30"/>
      <c r="MYS1" s="30"/>
      <c r="MYT1" s="30"/>
      <c r="MYU1" s="30"/>
      <c r="MYV1" s="30"/>
      <c r="MYW1" s="30"/>
      <c r="MYX1" s="30"/>
      <c r="MYY1" s="30"/>
      <c r="MYZ1" s="30"/>
      <c r="MZA1" s="30"/>
      <c r="MZB1" s="30"/>
      <c r="MZC1" s="30"/>
      <c r="MZD1" s="30"/>
      <c r="MZE1" s="30"/>
      <c r="MZF1" s="30"/>
      <c r="MZG1" s="30"/>
      <c r="MZH1" s="30"/>
      <c r="MZI1" s="30"/>
      <c r="MZJ1" s="30"/>
      <c r="MZK1" s="30"/>
      <c r="MZL1" s="30"/>
      <c r="MZM1" s="30"/>
      <c r="MZN1" s="30"/>
      <c r="MZO1" s="30"/>
      <c r="MZP1" s="30"/>
      <c r="MZQ1" s="30"/>
      <c r="MZR1" s="30"/>
      <c r="MZS1" s="30"/>
      <c r="MZT1" s="30"/>
      <c r="MZU1" s="30"/>
      <c r="MZV1" s="30"/>
      <c r="MZW1" s="30"/>
      <c r="MZX1" s="30"/>
      <c r="MZY1" s="30"/>
      <c r="MZZ1" s="30"/>
      <c r="NAA1" s="30"/>
      <c r="NAB1" s="30"/>
      <c r="NAC1" s="30"/>
      <c r="NAD1" s="30"/>
      <c r="NAE1" s="30"/>
      <c r="NAF1" s="30"/>
      <c r="NAG1" s="30"/>
      <c r="NAH1" s="30"/>
      <c r="NAI1" s="30"/>
      <c r="NAJ1" s="30"/>
      <c r="NAK1" s="30"/>
      <c r="NAL1" s="30"/>
      <c r="NAM1" s="30"/>
      <c r="NAN1" s="30"/>
      <c r="NAO1" s="30"/>
      <c r="NAP1" s="30"/>
      <c r="NAQ1" s="30"/>
      <c r="NAR1" s="30"/>
      <c r="NAS1" s="30"/>
      <c r="NAT1" s="30"/>
      <c r="NAU1" s="30"/>
      <c r="NAV1" s="30"/>
      <c r="NAW1" s="30"/>
      <c r="NAX1" s="30"/>
      <c r="NAY1" s="30"/>
      <c r="NAZ1" s="30"/>
      <c r="NBA1" s="30"/>
      <c r="NBB1" s="30"/>
      <c r="NBC1" s="30"/>
      <c r="NBD1" s="30"/>
      <c r="NBE1" s="30"/>
      <c r="NBF1" s="30"/>
      <c r="NBG1" s="30"/>
      <c r="NBH1" s="30"/>
      <c r="NBI1" s="30"/>
      <c r="NBJ1" s="30"/>
      <c r="NBK1" s="30"/>
      <c r="NBL1" s="30"/>
      <c r="NBM1" s="30"/>
      <c r="NBN1" s="30"/>
      <c r="NBO1" s="30"/>
      <c r="NBP1" s="30"/>
      <c r="NBQ1" s="30"/>
      <c r="NBR1" s="30"/>
      <c r="NBS1" s="30"/>
      <c r="NBT1" s="30"/>
      <c r="NBU1" s="30"/>
      <c r="NBV1" s="30"/>
      <c r="NBW1" s="30"/>
      <c r="NBX1" s="30"/>
      <c r="NBY1" s="30"/>
      <c r="NBZ1" s="30"/>
      <c r="NCA1" s="30"/>
      <c r="NCB1" s="30"/>
      <c r="NCC1" s="30"/>
      <c r="NCD1" s="30"/>
      <c r="NCE1" s="30"/>
      <c r="NCF1" s="30"/>
      <c r="NCG1" s="30"/>
      <c r="NCH1" s="30"/>
      <c r="NCI1" s="30"/>
      <c r="NCJ1" s="30"/>
      <c r="NCK1" s="30"/>
      <c r="NCL1" s="30"/>
      <c r="NCM1" s="30"/>
      <c r="NCN1" s="30"/>
      <c r="NCO1" s="30"/>
      <c r="NCP1" s="30"/>
      <c r="NCQ1" s="30"/>
      <c r="NCR1" s="30"/>
      <c r="NCS1" s="30"/>
      <c r="NCT1" s="30"/>
      <c r="NCU1" s="30"/>
      <c r="NCV1" s="30"/>
      <c r="NCW1" s="30"/>
      <c r="NCX1" s="30"/>
      <c r="NCY1" s="30"/>
      <c r="NCZ1" s="30"/>
      <c r="NDA1" s="30"/>
      <c r="NDB1" s="30"/>
      <c r="NDC1" s="30"/>
      <c r="NDD1" s="30"/>
      <c r="NDE1" s="30"/>
      <c r="NDF1" s="30"/>
      <c r="NDG1" s="30"/>
      <c r="NDH1" s="30"/>
      <c r="NDI1" s="30"/>
      <c r="NDJ1" s="30"/>
      <c r="NDK1" s="30"/>
      <c r="NDL1" s="30"/>
      <c r="NDM1" s="30"/>
      <c r="NDN1" s="30"/>
      <c r="NDO1" s="30"/>
      <c r="NDP1" s="30"/>
      <c r="NDQ1" s="30"/>
      <c r="NDR1" s="30"/>
      <c r="NDS1" s="30"/>
      <c r="NDT1" s="30"/>
      <c r="NDU1" s="30"/>
      <c r="NDV1" s="30"/>
      <c r="NDW1" s="30"/>
      <c r="NDX1" s="30"/>
      <c r="NDY1" s="30"/>
      <c r="NDZ1" s="30"/>
      <c r="NEA1" s="30"/>
      <c r="NEB1" s="30"/>
      <c r="NEC1" s="30"/>
      <c r="NED1" s="30"/>
      <c r="NEE1" s="30"/>
      <c r="NEF1" s="30"/>
      <c r="NEG1" s="30"/>
      <c r="NEH1" s="30"/>
      <c r="NEI1" s="30"/>
      <c r="NEJ1" s="30"/>
      <c r="NEK1" s="30"/>
      <c r="NEL1" s="30"/>
      <c r="NEM1" s="30"/>
      <c r="NEN1" s="30"/>
      <c r="NEO1" s="30"/>
      <c r="NEP1" s="30"/>
      <c r="NEQ1" s="30"/>
      <c r="NER1" s="30"/>
      <c r="NES1" s="30"/>
      <c r="NET1" s="30"/>
      <c r="NEU1" s="30"/>
      <c r="NEV1" s="30"/>
      <c r="NEW1" s="30"/>
      <c r="NEX1" s="30"/>
      <c r="NEY1" s="30"/>
      <c r="NEZ1" s="30"/>
      <c r="NFA1" s="30"/>
      <c r="NFB1" s="30"/>
      <c r="NFC1" s="30"/>
      <c r="NFD1" s="30"/>
      <c r="NFE1" s="30"/>
      <c r="NFF1" s="30"/>
      <c r="NFG1" s="30"/>
      <c r="NFH1" s="30"/>
      <c r="NFI1" s="30"/>
      <c r="NFJ1" s="30"/>
      <c r="NFK1" s="30"/>
      <c r="NFL1" s="30"/>
      <c r="NFM1" s="30"/>
      <c r="NFN1" s="30"/>
      <c r="NFO1" s="30"/>
      <c r="NFP1" s="30"/>
      <c r="NFQ1" s="30"/>
      <c r="NFR1" s="30"/>
      <c r="NFS1" s="30"/>
      <c r="NFT1" s="30"/>
      <c r="NFU1" s="30"/>
      <c r="NFV1" s="30"/>
      <c r="NFW1" s="30"/>
      <c r="NFX1" s="30"/>
      <c r="NFY1" s="30"/>
      <c r="NFZ1" s="30"/>
      <c r="NGA1" s="30"/>
      <c r="NGB1" s="30"/>
      <c r="NGC1" s="30"/>
      <c r="NGD1" s="30"/>
      <c r="NGE1" s="30"/>
      <c r="NGF1" s="30"/>
      <c r="NGG1" s="30"/>
      <c r="NGH1" s="30"/>
      <c r="NGI1" s="30"/>
      <c r="NGJ1" s="30"/>
      <c r="NGK1" s="30"/>
      <c r="NGL1" s="30"/>
      <c r="NGM1" s="30"/>
      <c r="NGN1" s="30"/>
      <c r="NGO1" s="30"/>
      <c r="NGP1" s="30"/>
      <c r="NGQ1" s="30"/>
      <c r="NGR1" s="30"/>
      <c r="NGS1" s="30"/>
      <c r="NGT1" s="30"/>
      <c r="NGU1" s="30"/>
      <c r="NGV1" s="30"/>
      <c r="NGW1" s="30"/>
      <c r="NGX1" s="30"/>
      <c r="NGY1" s="30"/>
      <c r="NGZ1" s="30"/>
      <c r="NHA1" s="30"/>
      <c r="NHB1" s="30"/>
      <c r="NHC1" s="30"/>
      <c r="NHD1" s="30"/>
      <c r="NHE1" s="30"/>
      <c r="NHF1" s="30"/>
      <c r="NHG1" s="30"/>
      <c r="NHH1" s="30"/>
      <c r="NHI1" s="30"/>
      <c r="NHJ1" s="30"/>
      <c r="NHK1" s="30"/>
      <c r="NHL1" s="30"/>
      <c r="NHM1" s="30"/>
      <c r="NHN1" s="30"/>
      <c r="NHO1" s="30"/>
      <c r="NHP1" s="30"/>
      <c r="NHQ1" s="30"/>
      <c r="NHR1" s="30"/>
      <c r="NHS1" s="30"/>
      <c r="NHT1" s="30"/>
      <c r="NHU1" s="30"/>
      <c r="NHV1" s="30"/>
      <c r="NHW1" s="30"/>
      <c r="NHX1" s="30"/>
      <c r="NHY1" s="30"/>
      <c r="NHZ1" s="30"/>
      <c r="NIA1" s="30"/>
      <c r="NIB1" s="30"/>
      <c r="NIC1" s="30"/>
      <c r="NID1" s="30"/>
      <c r="NIE1" s="30"/>
      <c r="NIF1" s="30"/>
      <c r="NIG1" s="30"/>
      <c r="NIH1" s="30"/>
      <c r="NII1" s="30"/>
      <c r="NIJ1" s="30"/>
      <c r="NIK1" s="30"/>
      <c r="NIL1" s="30"/>
      <c r="NIM1" s="30"/>
      <c r="NIN1" s="30"/>
      <c r="NIO1" s="30"/>
      <c r="NIP1" s="30"/>
      <c r="NIQ1" s="30"/>
      <c r="NIR1" s="30"/>
      <c r="NIS1" s="30"/>
      <c r="NIT1" s="30"/>
      <c r="NIU1" s="30"/>
      <c r="NIV1" s="30"/>
      <c r="NIW1" s="30"/>
      <c r="NIX1" s="30"/>
      <c r="NIY1" s="30"/>
      <c r="NIZ1" s="30"/>
      <c r="NJA1" s="30"/>
      <c r="NJB1" s="30"/>
      <c r="NJC1" s="30"/>
      <c r="NJD1" s="30"/>
      <c r="NJE1" s="30"/>
      <c r="NJF1" s="30"/>
      <c r="NJG1" s="30"/>
      <c r="NJH1" s="30"/>
      <c r="NJI1" s="30"/>
      <c r="NJJ1" s="30"/>
      <c r="NJK1" s="30"/>
      <c r="NJL1" s="30"/>
      <c r="NJM1" s="30"/>
      <c r="NJN1" s="30"/>
      <c r="NJO1" s="30"/>
      <c r="NJP1" s="30"/>
      <c r="NJQ1" s="30"/>
      <c r="NJR1" s="30"/>
      <c r="NJS1" s="30"/>
      <c r="NJT1" s="30"/>
      <c r="NJU1" s="30"/>
      <c r="NJV1" s="30"/>
      <c r="NJW1" s="30"/>
      <c r="NJX1" s="30"/>
      <c r="NJY1" s="30"/>
      <c r="NJZ1" s="30"/>
      <c r="NKA1" s="30"/>
      <c r="NKB1" s="30"/>
      <c r="NKC1" s="30"/>
      <c r="NKD1" s="30"/>
      <c r="NKE1" s="30"/>
      <c r="NKF1" s="30"/>
      <c r="NKG1" s="30"/>
      <c r="NKH1" s="30"/>
      <c r="NKI1" s="30"/>
      <c r="NKJ1" s="30"/>
      <c r="NKK1" s="30"/>
      <c r="NKL1" s="30"/>
      <c r="NKM1" s="30"/>
      <c r="NKN1" s="30"/>
      <c r="NKO1" s="30"/>
      <c r="NKP1" s="30"/>
      <c r="NKQ1" s="30"/>
      <c r="NKR1" s="30"/>
      <c r="NKS1" s="30"/>
      <c r="NKT1" s="30"/>
      <c r="NKU1" s="30"/>
      <c r="NKV1" s="30"/>
      <c r="NKW1" s="30"/>
      <c r="NKX1" s="30"/>
      <c r="NKY1" s="30"/>
      <c r="NKZ1" s="30"/>
      <c r="NLA1" s="30"/>
      <c r="NLB1" s="30"/>
      <c r="NLC1" s="30"/>
      <c r="NLD1" s="30"/>
      <c r="NLE1" s="30"/>
      <c r="NLF1" s="30"/>
      <c r="NLG1" s="30"/>
      <c r="NLH1" s="30"/>
      <c r="NLI1" s="30"/>
      <c r="NLJ1" s="30"/>
      <c r="NLK1" s="30"/>
      <c r="NLL1" s="30"/>
      <c r="NLM1" s="30"/>
      <c r="NLN1" s="30"/>
      <c r="NLO1" s="30"/>
      <c r="NLP1" s="30"/>
      <c r="NLQ1" s="30"/>
      <c r="NLR1" s="30"/>
      <c r="NLS1" s="30"/>
      <c r="NLT1" s="30"/>
      <c r="NLU1" s="30"/>
      <c r="NLV1" s="30"/>
      <c r="NLW1" s="30"/>
      <c r="NLX1" s="30"/>
      <c r="NLY1" s="30"/>
      <c r="NLZ1" s="30"/>
      <c r="NMA1" s="30"/>
      <c r="NMB1" s="30"/>
      <c r="NMC1" s="30"/>
      <c r="NMD1" s="30"/>
      <c r="NME1" s="30"/>
      <c r="NMF1" s="30"/>
      <c r="NMG1" s="30"/>
      <c r="NMH1" s="30"/>
      <c r="NMI1" s="30"/>
      <c r="NMJ1" s="30"/>
      <c r="NMK1" s="30"/>
      <c r="NML1" s="30"/>
      <c r="NMM1" s="30"/>
      <c r="NMN1" s="30"/>
      <c r="NMO1" s="30"/>
      <c r="NMP1" s="30"/>
      <c r="NMQ1" s="30"/>
      <c r="NMR1" s="30"/>
      <c r="NMS1" s="30"/>
      <c r="NMT1" s="30"/>
      <c r="NMU1" s="30"/>
      <c r="NMV1" s="30"/>
      <c r="NMW1" s="30"/>
      <c r="NMX1" s="30"/>
      <c r="NMY1" s="30"/>
      <c r="NMZ1" s="30"/>
      <c r="NNA1" s="30"/>
      <c r="NNB1" s="30"/>
      <c r="NNC1" s="30"/>
      <c r="NND1" s="30"/>
      <c r="NNE1" s="30"/>
      <c r="NNF1" s="30"/>
      <c r="NNG1" s="30"/>
      <c r="NNH1" s="30"/>
      <c r="NNI1" s="30"/>
      <c r="NNJ1" s="30"/>
      <c r="NNK1" s="30"/>
      <c r="NNL1" s="30"/>
      <c r="NNM1" s="30"/>
      <c r="NNN1" s="30"/>
      <c r="NNO1" s="30"/>
      <c r="NNP1" s="30"/>
      <c r="NNQ1" s="30"/>
      <c r="NNR1" s="30"/>
      <c r="NNS1" s="30"/>
      <c r="NNT1" s="30"/>
      <c r="NNU1" s="30"/>
      <c r="NNV1" s="30"/>
      <c r="NNW1" s="30"/>
      <c r="NNX1" s="30"/>
      <c r="NNY1" s="30"/>
      <c r="NNZ1" s="30"/>
      <c r="NOA1" s="30"/>
      <c r="NOB1" s="30"/>
      <c r="NOC1" s="30"/>
      <c r="NOD1" s="30"/>
      <c r="NOE1" s="30"/>
      <c r="NOF1" s="30"/>
      <c r="NOG1" s="30"/>
      <c r="NOH1" s="30"/>
      <c r="NOI1" s="30"/>
      <c r="NOJ1" s="30"/>
      <c r="NOK1" s="30"/>
      <c r="NOL1" s="30"/>
      <c r="NOM1" s="30"/>
      <c r="NON1" s="30"/>
      <c r="NOO1" s="30"/>
      <c r="NOP1" s="30"/>
      <c r="NOQ1" s="30"/>
      <c r="NOR1" s="30"/>
      <c r="NOS1" s="30"/>
      <c r="NOT1" s="30"/>
      <c r="NOU1" s="30"/>
      <c r="NOV1" s="30"/>
      <c r="NOW1" s="30"/>
      <c r="NOX1" s="30"/>
      <c r="NOY1" s="30"/>
      <c r="NOZ1" s="30"/>
      <c r="NPA1" s="30"/>
      <c r="NPB1" s="30"/>
      <c r="NPC1" s="30"/>
      <c r="NPD1" s="30"/>
      <c r="NPE1" s="30"/>
      <c r="NPF1" s="30"/>
      <c r="NPG1" s="30"/>
      <c r="NPH1" s="30"/>
      <c r="NPI1" s="30"/>
      <c r="NPJ1" s="30"/>
      <c r="NPK1" s="30"/>
      <c r="NPL1" s="30"/>
      <c r="NPM1" s="30"/>
      <c r="NPN1" s="30"/>
      <c r="NPO1" s="30"/>
      <c r="NPP1" s="30"/>
      <c r="NPQ1" s="30"/>
      <c r="NPR1" s="30"/>
      <c r="NPS1" s="30"/>
      <c r="NPT1" s="30"/>
      <c r="NPU1" s="30"/>
      <c r="NPV1" s="30"/>
      <c r="NPW1" s="30"/>
      <c r="NPX1" s="30"/>
      <c r="NPY1" s="30"/>
      <c r="NPZ1" s="30"/>
      <c r="NQA1" s="30"/>
      <c r="NQB1" s="30"/>
      <c r="NQC1" s="30"/>
      <c r="NQD1" s="30"/>
      <c r="NQE1" s="30"/>
      <c r="NQF1" s="30"/>
      <c r="NQG1" s="30"/>
      <c r="NQH1" s="30"/>
      <c r="NQI1" s="30"/>
      <c r="NQJ1" s="30"/>
      <c r="NQK1" s="30"/>
      <c r="NQL1" s="30"/>
      <c r="NQM1" s="30"/>
      <c r="NQN1" s="30"/>
      <c r="NQO1" s="30"/>
      <c r="NQP1" s="30"/>
      <c r="NQQ1" s="30"/>
      <c r="NQR1" s="30"/>
      <c r="NQS1" s="30"/>
      <c r="NQT1" s="30"/>
      <c r="NQU1" s="30"/>
      <c r="NQV1" s="30"/>
      <c r="NQW1" s="30"/>
      <c r="NQX1" s="30"/>
      <c r="NQY1" s="30"/>
      <c r="NQZ1" s="30"/>
      <c r="NRA1" s="30"/>
      <c r="NRB1" s="30"/>
      <c r="NRC1" s="30"/>
      <c r="NRD1" s="30"/>
      <c r="NRE1" s="30"/>
      <c r="NRF1" s="30"/>
      <c r="NRG1" s="30"/>
      <c r="NRH1" s="30"/>
      <c r="NRI1" s="30"/>
      <c r="NRJ1" s="30"/>
      <c r="NRK1" s="30"/>
      <c r="NRL1" s="30"/>
      <c r="NRM1" s="30"/>
      <c r="NRN1" s="30"/>
      <c r="NRO1" s="30"/>
      <c r="NRP1" s="30"/>
      <c r="NRQ1" s="30"/>
      <c r="NRR1" s="30"/>
      <c r="NRS1" s="30"/>
      <c r="NRT1" s="30"/>
      <c r="NRU1" s="30"/>
      <c r="NRV1" s="30"/>
      <c r="NRW1" s="30"/>
      <c r="NRX1" s="30"/>
      <c r="NRY1" s="30"/>
      <c r="NRZ1" s="30"/>
      <c r="NSA1" s="30"/>
      <c r="NSB1" s="30"/>
      <c r="NSC1" s="30"/>
      <c r="NSD1" s="30"/>
      <c r="NSE1" s="30"/>
      <c r="NSF1" s="30"/>
      <c r="NSG1" s="30"/>
      <c r="NSH1" s="30"/>
      <c r="NSI1" s="30"/>
      <c r="NSJ1" s="30"/>
      <c r="NSK1" s="30"/>
      <c r="NSL1" s="30"/>
      <c r="NSM1" s="30"/>
      <c r="NSN1" s="30"/>
      <c r="NSO1" s="30"/>
      <c r="NSP1" s="30"/>
      <c r="NSQ1" s="30"/>
      <c r="NSR1" s="30"/>
      <c r="NSS1" s="30"/>
      <c r="NST1" s="30"/>
      <c r="NSU1" s="30"/>
      <c r="NSV1" s="30"/>
      <c r="NSW1" s="30"/>
      <c r="NSX1" s="30"/>
      <c r="NSY1" s="30"/>
      <c r="NSZ1" s="30"/>
      <c r="NTA1" s="30"/>
      <c r="NTB1" s="30"/>
      <c r="NTC1" s="30"/>
      <c r="NTD1" s="30"/>
      <c r="NTE1" s="30"/>
      <c r="NTF1" s="30"/>
      <c r="NTG1" s="30"/>
      <c r="NTH1" s="30"/>
      <c r="NTI1" s="30"/>
      <c r="NTJ1" s="30"/>
      <c r="NTK1" s="30"/>
      <c r="NTL1" s="30"/>
      <c r="NTM1" s="30"/>
      <c r="NTN1" s="30"/>
      <c r="NTO1" s="30"/>
      <c r="NTP1" s="30"/>
      <c r="NTQ1" s="30"/>
      <c r="NTR1" s="30"/>
      <c r="NTS1" s="30"/>
      <c r="NTT1" s="30"/>
      <c r="NTU1" s="30"/>
      <c r="NTV1" s="30"/>
      <c r="NTW1" s="30"/>
      <c r="NTX1" s="30"/>
      <c r="NTY1" s="30"/>
      <c r="NTZ1" s="30"/>
      <c r="NUA1" s="30"/>
      <c r="NUB1" s="30"/>
      <c r="NUC1" s="30"/>
      <c r="NUD1" s="30"/>
      <c r="NUE1" s="30"/>
      <c r="NUF1" s="30"/>
      <c r="NUG1" s="30"/>
      <c r="NUH1" s="30"/>
      <c r="NUI1" s="30"/>
      <c r="NUJ1" s="30"/>
      <c r="NUK1" s="30"/>
      <c r="NUL1" s="30"/>
      <c r="NUM1" s="30"/>
      <c r="NUN1" s="30"/>
      <c r="NUO1" s="30"/>
      <c r="NUP1" s="30"/>
      <c r="NUQ1" s="30"/>
      <c r="NUR1" s="30"/>
      <c r="NUS1" s="30"/>
      <c r="NUT1" s="30"/>
      <c r="NUU1" s="30"/>
      <c r="NUV1" s="30"/>
      <c r="NUW1" s="30"/>
      <c r="NUX1" s="30"/>
      <c r="NUY1" s="30"/>
      <c r="NUZ1" s="30"/>
      <c r="NVA1" s="30"/>
      <c r="NVB1" s="30"/>
      <c r="NVC1" s="30"/>
      <c r="NVD1" s="30"/>
      <c r="NVE1" s="30"/>
      <c r="NVF1" s="30"/>
      <c r="NVG1" s="30"/>
      <c r="NVH1" s="30"/>
      <c r="NVI1" s="30"/>
      <c r="NVJ1" s="30"/>
      <c r="NVK1" s="30"/>
      <c r="NVL1" s="30"/>
      <c r="NVM1" s="30"/>
      <c r="NVN1" s="30"/>
      <c r="NVO1" s="30"/>
      <c r="NVP1" s="30"/>
      <c r="NVQ1" s="30"/>
      <c r="NVR1" s="30"/>
      <c r="NVS1" s="30"/>
      <c r="NVT1" s="30"/>
      <c r="NVU1" s="30"/>
      <c r="NVV1" s="30"/>
      <c r="NVW1" s="30"/>
      <c r="NVX1" s="30"/>
      <c r="NVY1" s="30"/>
      <c r="NVZ1" s="30"/>
      <c r="NWA1" s="30"/>
      <c r="NWB1" s="30"/>
      <c r="NWC1" s="30"/>
      <c r="NWD1" s="30"/>
      <c r="NWE1" s="30"/>
      <c r="NWF1" s="30"/>
      <c r="NWG1" s="30"/>
      <c r="NWH1" s="30"/>
      <c r="NWI1" s="30"/>
      <c r="NWJ1" s="30"/>
      <c r="NWK1" s="30"/>
      <c r="NWL1" s="30"/>
      <c r="NWM1" s="30"/>
      <c r="NWN1" s="30"/>
      <c r="NWO1" s="30"/>
      <c r="NWP1" s="30"/>
      <c r="NWQ1" s="30"/>
      <c r="NWR1" s="30"/>
      <c r="NWS1" s="30"/>
      <c r="NWT1" s="30"/>
      <c r="NWU1" s="30"/>
      <c r="NWV1" s="30"/>
      <c r="NWW1" s="30"/>
      <c r="NWX1" s="30"/>
      <c r="NWY1" s="30"/>
      <c r="NWZ1" s="30"/>
      <c r="NXA1" s="30"/>
      <c r="NXB1" s="30"/>
      <c r="NXC1" s="30"/>
      <c r="NXD1" s="30"/>
      <c r="NXE1" s="30"/>
      <c r="NXF1" s="30"/>
      <c r="NXG1" s="30"/>
      <c r="NXH1" s="30"/>
      <c r="NXI1" s="30"/>
      <c r="NXJ1" s="30"/>
      <c r="NXK1" s="30"/>
      <c r="NXL1" s="30"/>
      <c r="NXM1" s="30"/>
      <c r="NXN1" s="30"/>
      <c r="NXO1" s="30"/>
      <c r="NXP1" s="30"/>
      <c r="NXQ1" s="30"/>
      <c r="NXR1" s="30"/>
      <c r="NXS1" s="30"/>
      <c r="NXT1" s="30"/>
      <c r="NXU1" s="30"/>
      <c r="NXV1" s="30"/>
      <c r="NXW1" s="30"/>
      <c r="NXX1" s="30"/>
      <c r="NXY1" s="30"/>
      <c r="NXZ1" s="30"/>
      <c r="NYA1" s="30"/>
      <c r="NYB1" s="30"/>
      <c r="NYC1" s="30"/>
      <c r="NYD1" s="30"/>
      <c r="NYE1" s="30"/>
      <c r="NYF1" s="30"/>
      <c r="NYG1" s="30"/>
      <c r="NYH1" s="30"/>
      <c r="NYI1" s="30"/>
      <c r="NYJ1" s="30"/>
      <c r="NYK1" s="30"/>
      <c r="NYL1" s="30"/>
      <c r="NYM1" s="30"/>
      <c r="NYN1" s="30"/>
      <c r="NYO1" s="30"/>
      <c r="NYP1" s="30"/>
      <c r="NYQ1" s="30"/>
      <c r="NYR1" s="30"/>
      <c r="NYS1" s="30"/>
      <c r="NYT1" s="30"/>
      <c r="NYU1" s="30"/>
      <c r="NYV1" s="30"/>
      <c r="NYW1" s="30"/>
      <c r="NYX1" s="30"/>
      <c r="NYY1" s="30"/>
      <c r="NYZ1" s="30"/>
      <c r="NZA1" s="30"/>
      <c r="NZB1" s="30"/>
      <c r="NZC1" s="30"/>
      <c r="NZD1" s="30"/>
      <c r="NZE1" s="30"/>
      <c r="NZF1" s="30"/>
      <c r="NZG1" s="30"/>
      <c r="NZH1" s="30"/>
      <c r="NZI1" s="30"/>
      <c r="NZJ1" s="30"/>
      <c r="NZK1" s="30"/>
      <c r="NZL1" s="30"/>
      <c r="NZM1" s="30"/>
      <c r="NZN1" s="30"/>
      <c r="NZO1" s="30"/>
      <c r="NZP1" s="30"/>
      <c r="NZQ1" s="30"/>
      <c r="NZR1" s="30"/>
      <c r="NZS1" s="30"/>
      <c r="NZT1" s="30"/>
      <c r="NZU1" s="30"/>
      <c r="NZV1" s="30"/>
      <c r="NZW1" s="30"/>
      <c r="NZX1" s="30"/>
      <c r="NZY1" s="30"/>
      <c r="NZZ1" s="30"/>
      <c r="OAA1" s="30"/>
      <c r="OAB1" s="30"/>
      <c r="OAC1" s="30"/>
      <c r="OAD1" s="30"/>
      <c r="OAE1" s="30"/>
      <c r="OAF1" s="30"/>
      <c r="OAG1" s="30"/>
      <c r="OAH1" s="30"/>
      <c r="OAI1" s="30"/>
      <c r="OAJ1" s="30"/>
      <c r="OAK1" s="30"/>
      <c r="OAL1" s="30"/>
      <c r="OAM1" s="30"/>
      <c r="OAN1" s="30"/>
      <c r="OAO1" s="30"/>
      <c r="OAP1" s="30"/>
      <c r="OAQ1" s="30"/>
      <c r="OAR1" s="30"/>
      <c r="OAS1" s="30"/>
      <c r="OAT1" s="30"/>
      <c r="OAU1" s="30"/>
      <c r="OAV1" s="30"/>
      <c r="OAW1" s="30"/>
      <c r="OAX1" s="30"/>
      <c r="OAY1" s="30"/>
      <c r="OAZ1" s="30"/>
      <c r="OBA1" s="30"/>
      <c r="OBB1" s="30"/>
      <c r="OBC1" s="30"/>
      <c r="OBD1" s="30"/>
      <c r="OBE1" s="30"/>
      <c r="OBF1" s="30"/>
      <c r="OBG1" s="30"/>
      <c r="OBH1" s="30"/>
      <c r="OBI1" s="30"/>
      <c r="OBJ1" s="30"/>
      <c r="OBK1" s="30"/>
      <c r="OBL1" s="30"/>
      <c r="OBM1" s="30"/>
      <c r="OBN1" s="30"/>
      <c r="OBO1" s="30"/>
      <c r="OBP1" s="30"/>
      <c r="OBQ1" s="30"/>
      <c r="OBR1" s="30"/>
      <c r="OBS1" s="30"/>
      <c r="OBT1" s="30"/>
      <c r="OBU1" s="30"/>
      <c r="OBV1" s="30"/>
      <c r="OBW1" s="30"/>
      <c r="OBX1" s="30"/>
      <c r="OBY1" s="30"/>
      <c r="OBZ1" s="30"/>
      <c r="OCA1" s="30"/>
      <c r="OCB1" s="30"/>
      <c r="OCC1" s="30"/>
      <c r="OCD1" s="30"/>
      <c r="OCE1" s="30"/>
      <c r="OCF1" s="30"/>
      <c r="OCG1" s="30"/>
      <c r="OCH1" s="30"/>
      <c r="OCI1" s="30"/>
      <c r="OCJ1" s="30"/>
      <c r="OCK1" s="30"/>
      <c r="OCL1" s="30"/>
      <c r="OCM1" s="30"/>
      <c r="OCN1" s="30"/>
      <c r="OCO1" s="30"/>
      <c r="OCP1" s="30"/>
      <c r="OCQ1" s="30"/>
      <c r="OCR1" s="30"/>
      <c r="OCS1" s="30"/>
      <c r="OCT1" s="30"/>
      <c r="OCU1" s="30"/>
      <c r="OCV1" s="30"/>
      <c r="OCW1" s="30"/>
      <c r="OCX1" s="30"/>
      <c r="OCY1" s="30"/>
      <c r="OCZ1" s="30"/>
      <c r="ODA1" s="30"/>
      <c r="ODB1" s="30"/>
      <c r="ODC1" s="30"/>
      <c r="ODD1" s="30"/>
      <c r="ODE1" s="30"/>
      <c r="ODF1" s="30"/>
      <c r="ODG1" s="30"/>
      <c r="ODH1" s="30"/>
      <c r="ODI1" s="30"/>
      <c r="ODJ1" s="30"/>
      <c r="ODK1" s="30"/>
      <c r="ODL1" s="30"/>
      <c r="ODM1" s="30"/>
      <c r="ODN1" s="30"/>
      <c r="ODO1" s="30"/>
      <c r="ODP1" s="30"/>
      <c r="ODQ1" s="30"/>
      <c r="ODR1" s="30"/>
      <c r="ODS1" s="30"/>
      <c r="ODT1" s="30"/>
      <c r="ODU1" s="30"/>
      <c r="ODV1" s="30"/>
      <c r="ODW1" s="30"/>
      <c r="ODX1" s="30"/>
      <c r="ODY1" s="30"/>
      <c r="ODZ1" s="30"/>
      <c r="OEA1" s="30"/>
      <c r="OEB1" s="30"/>
      <c r="OEC1" s="30"/>
      <c r="OED1" s="30"/>
      <c r="OEE1" s="30"/>
      <c r="OEF1" s="30"/>
      <c r="OEG1" s="30"/>
      <c r="OEH1" s="30"/>
      <c r="OEI1" s="30"/>
      <c r="OEJ1" s="30"/>
      <c r="OEK1" s="30"/>
      <c r="OEL1" s="30"/>
      <c r="OEM1" s="30"/>
      <c r="OEN1" s="30"/>
      <c r="OEO1" s="30"/>
      <c r="OEP1" s="30"/>
      <c r="OEQ1" s="30"/>
      <c r="OER1" s="30"/>
      <c r="OES1" s="30"/>
      <c r="OET1" s="30"/>
      <c r="OEU1" s="30"/>
      <c r="OEV1" s="30"/>
      <c r="OEW1" s="30"/>
      <c r="OEX1" s="30"/>
      <c r="OEY1" s="30"/>
      <c r="OEZ1" s="30"/>
      <c r="OFA1" s="30"/>
      <c r="OFB1" s="30"/>
      <c r="OFC1" s="30"/>
      <c r="OFD1" s="30"/>
      <c r="OFE1" s="30"/>
      <c r="OFF1" s="30"/>
      <c r="OFG1" s="30"/>
      <c r="OFH1" s="30"/>
      <c r="OFI1" s="30"/>
      <c r="OFJ1" s="30"/>
      <c r="OFK1" s="30"/>
      <c r="OFL1" s="30"/>
      <c r="OFM1" s="30"/>
      <c r="OFN1" s="30"/>
      <c r="OFO1" s="30"/>
      <c r="OFP1" s="30"/>
      <c r="OFQ1" s="30"/>
      <c r="OFR1" s="30"/>
      <c r="OFS1" s="30"/>
      <c r="OFT1" s="30"/>
      <c r="OFU1" s="30"/>
      <c r="OFV1" s="30"/>
      <c r="OFW1" s="30"/>
      <c r="OFX1" s="30"/>
      <c r="OFY1" s="30"/>
      <c r="OFZ1" s="30"/>
      <c r="OGA1" s="30"/>
      <c r="OGB1" s="30"/>
      <c r="OGC1" s="30"/>
      <c r="OGD1" s="30"/>
      <c r="OGE1" s="30"/>
      <c r="OGF1" s="30"/>
      <c r="OGG1" s="30"/>
      <c r="OGH1" s="30"/>
      <c r="OGI1" s="30"/>
      <c r="OGJ1" s="30"/>
      <c r="OGK1" s="30"/>
      <c r="OGL1" s="30"/>
      <c r="OGM1" s="30"/>
      <c r="OGN1" s="30"/>
      <c r="OGO1" s="30"/>
      <c r="OGP1" s="30"/>
      <c r="OGQ1" s="30"/>
      <c r="OGR1" s="30"/>
      <c r="OGS1" s="30"/>
      <c r="OGT1" s="30"/>
      <c r="OGU1" s="30"/>
      <c r="OGV1" s="30"/>
      <c r="OGW1" s="30"/>
      <c r="OGX1" s="30"/>
      <c r="OGY1" s="30"/>
      <c r="OGZ1" s="30"/>
      <c r="OHA1" s="30"/>
      <c r="OHB1" s="30"/>
      <c r="OHC1" s="30"/>
      <c r="OHD1" s="30"/>
      <c r="OHE1" s="30"/>
      <c r="OHF1" s="30"/>
      <c r="OHG1" s="30"/>
      <c r="OHH1" s="30"/>
      <c r="OHI1" s="30"/>
      <c r="OHJ1" s="30"/>
      <c r="OHK1" s="30"/>
      <c r="OHL1" s="30"/>
      <c r="OHM1" s="30"/>
      <c r="OHN1" s="30"/>
      <c r="OHO1" s="30"/>
      <c r="OHP1" s="30"/>
      <c r="OHQ1" s="30"/>
      <c r="OHR1" s="30"/>
      <c r="OHS1" s="30"/>
      <c r="OHT1" s="30"/>
      <c r="OHU1" s="30"/>
      <c r="OHV1" s="30"/>
      <c r="OHW1" s="30"/>
      <c r="OHX1" s="30"/>
      <c r="OHY1" s="30"/>
      <c r="OHZ1" s="30"/>
      <c r="OIA1" s="30"/>
      <c r="OIB1" s="30"/>
      <c r="OIC1" s="30"/>
      <c r="OID1" s="30"/>
      <c r="OIE1" s="30"/>
      <c r="OIF1" s="30"/>
      <c r="OIG1" s="30"/>
      <c r="OIH1" s="30"/>
      <c r="OII1" s="30"/>
      <c r="OIJ1" s="30"/>
      <c r="OIK1" s="30"/>
      <c r="OIL1" s="30"/>
      <c r="OIM1" s="30"/>
      <c r="OIN1" s="30"/>
      <c r="OIO1" s="30"/>
      <c r="OIP1" s="30"/>
      <c r="OIQ1" s="30"/>
      <c r="OIR1" s="30"/>
      <c r="OIS1" s="30"/>
      <c r="OIT1" s="30"/>
      <c r="OIU1" s="30"/>
      <c r="OIV1" s="30"/>
      <c r="OIW1" s="30"/>
      <c r="OIX1" s="30"/>
      <c r="OIY1" s="30"/>
      <c r="OIZ1" s="30"/>
      <c r="OJA1" s="30"/>
      <c r="OJB1" s="30"/>
      <c r="OJC1" s="30"/>
      <c r="OJD1" s="30"/>
      <c r="OJE1" s="30"/>
      <c r="OJF1" s="30"/>
      <c r="OJG1" s="30"/>
      <c r="OJH1" s="30"/>
      <c r="OJI1" s="30"/>
      <c r="OJJ1" s="30"/>
      <c r="OJK1" s="30"/>
      <c r="OJL1" s="30"/>
      <c r="OJM1" s="30"/>
      <c r="OJN1" s="30"/>
      <c r="OJO1" s="30"/>
      <c r="OJP1" s="30"/>
      <c r="OJQ1" s="30"/>
      <c r="OJR1" s="30"/>
      <c r="OJS1" s="30"/>
      <c r="OJT1" s="30"/>
      <c r="OJU1" s="30"/>
      <c r="OJV1" s="30"/>
      <c r="OJW1" s="30"/>
      <c r="OJX1" s="30"/>
      <c r="OJY1" s="30"/>
      <c r="OJZ1" s="30"/>
      <c r="OKA1" s="30"/>
      <c r="OKB1" s="30"/>
      <c r="OKC1" s="30"/>
      <c r="OKD1" s="30"/>
      <c r="OKE1" s="30"/>
      <c r="OKF1" s="30"/>
      <c r="OKG1" s="30"/>
      <c r="OKH1" s="30"/>
      <c r="OKI1" s="30"/>
      <c r="OKJ1" s="30"/>
      <c r="OKK1" s="30"/>
      <c r="OKL1" s="30"/>
      <c r="OKM1" s="30"/>
      <c r="OKN1" s="30"/>
      <c r="OKO1" s="30"/>
      <c r="OKP1" s="30"/>
      <c r="OKQ1" s="30"/>
      <c r="OKR1" s="30"/>
      <c r="OKS1" s="30"/>
      <c r="OKT1" s="30"/>
      <c r="OKU1" s="30"/>
      <c r="OKV1" s="30"/>
      <c r="OKW1" s="30"/>
      <c r="OKX1" s="30"/>
      <c r="OKY1" s="30"/>
      <c r="OKZ1" s="30"/>
      <c r="OLA1" s="30"/>
      <c r="OLB1" s="30"/>
      <c r="OLC1" s="30"/>
      <c r="OLD1" s="30"/>
      <c r="OLE1" s="30"/>
      <c r="OLF1" s="30"/>
      <c r="OLG1" s="30"/>
      <c r="OLH1" s="30"/>
      <c r="OLI1" s="30"/>
      <c r="OLJ1" s="30"/>
      <c r="OLK1" s="30"/>
      <c r="OLL1" s="30"/>
      <c r="OLM1" s="30"/>
      <c r="OLN1" s="30"/>
      <c r="OLO1" s="30"/>
      <c r="OLP1" s="30"/>
      <c r="OLQ1" s="30"/>
      <c r="OLR1" s="30"/>
      <c r="OLS1" s="30"/>
      <c r="OLT1" s="30"/>
      <c r="OLU1" s="30"/>
      <c r="OLV1" s="30"/>
      <c r="OLW1" s="30"/>
      <c r="OLX1" s="30"/>
      <c r="OLY1" s="30"/>
      <c r="OLZ1" s="30"/>
      <c r="OMA1" s="30"/>
      <c r="OMB1" s="30"/>
      <c r="OMC1" s="30"/>
      <c r="OMD1" s="30"/>
      <c r="OME1" s="30"/>
      <c r="OMF1" s="30"/>
      <c r="OMG1" s="30"/>
      <c r="OMH1" s="30"/>
      <c r="OMI1" s="30"/>
      <c r="OMJ1" s="30"/>
      <c r="OMK1" s="30"/>
      <c r="OML1" s="30"/>
      <c r="OMM1" s="30"/>
      <c r="OMN1" s="30"/>
      <c r="OMO1" s="30"/>
      <c r="OMP1" s="30"/>
      <c r="OMQ1" s="30"/>
      <c r="OMR1" s="30"/>
      <c r="OMS1" s="30"/>
      <c r="OMT1" s="30"/>
      <c r="OMU1" s="30"/>
      <c r="OMV1" s="30"/>
      <c r="OMW1" s="30"/>
      <c r="OMX1" s="30"/>
      <c r="OMY1" s="30"/>
      <c r="OMZ1" s="30"/>
      <c r="ONA1" s="30"/>
      <c r="ONB1" s="30"/>
      <c r="ONC1" s="30"/>
      <c r="OND1" s="30"/>
      <c r="ONE1" s="30"/>
      <c r="ONF1" s="30"/>
      <c r="ONG1" s="30"/>
      <c r="ONH1" s="30"/>
      <c r="ONI1" s="30"/>
      <c r="ONJ1" s="30"/>
      <c r="ONK1" s="30"/>
      <c r="ONL1" s="30"/>
      <c r="ONM1" s="30"/>
      <c r="ONN1" s="30"/>
      <c r="ONO1" s="30"/>
      <c r="ONP1" s="30"/>
      <c r="ONQ1" s="30"/>
      <c r="ONR1" s="30"/>
      <c r="ONS1" s="30"/>
      <c r="ONT1" s="30"/>
      <c r="ONU1" s="30"/>
      <c r="ONV1" s="30"/>
      <c r="ONW1" s="30"/>
      <c r="ONX1" s="30"/>
      <c r="ONY1" s="30"/>
      <c r="ONZ1" s="30"/>
      <c r="OOA1" s="30"/>
      <c r="OOB1" s="30"/>
      <c r="OOC1" s="30"/>
      <c r="OOD1" s="30"/>
      <c r="OOE1" s="30"/>
      <c r="OOF1" s="30"/>
      <c r="OOG1" s="30"/>
      <c r="OOH1" s="30"/>
      <c r="OOI1" s="30"/>
      <c r="OOJ1" s="30"/>
      <c r="OOK1" s="30"/>
      <c r="OOL1" s="30"/>
      <c r="OOM1" s="30"/>
      <c r="OON1" s="30"/>
      <c r="OOO1" s="30"/>
      <c r="OOP1" s="30"/>
      <c r="OOQ1" s="30"/>
      <c r="OOR1" s="30"/>
      <c r="OOS1" s="30"/>
      <c r="OOT1" s="30"/>
      <c r="OOU1" s="30"/>
      <c r="OOV1" s="30"/>
      <c r="OOW1" s="30"/>
      <c r="OOX1" s="30"/>
      <c r="OOY1" s="30"/>
      <c r="OOZ1" s="30"/>
      <c r="OPA1" s="30"/>
      <c r="OPB1" s="30"/>
      <c r="OPC1" s="30"/>
      <c r="OPD1" s="30"/>
      <c r="OPE1" s="30"/>
      <c r="OPF1" s="30"/>
      <c r="OPG1" s="30"/>
      <c r="OPH1" s="30"/>
      <c r="OPI1" s="30"/>
      <c r="OPJ1" s="30"/>
      <c r="OPK1" s="30"/>
      <c r="OPL1" s="30"/>
      <c r="OPM1" s="30"/>
      <c r="OPN1" s="30"/>
      <c r="OPO1" s="30"/>
      <c r="OPP1" s="30"/>
      <c r="OPQ1" s="30"/>
      <c r="OPR1" s="30"/>
      <c r="OPS1" s="30"/>
      <c r="OPT1" s="30"/>
      <c r="OPU1" s="30"/>
      <c r="OPV1" s="30"/>
      <c r="OPW1" s="30"/>
      <c r="OPX1" s="30"/>
      <c r="OPY1" s="30"/>
      <c r="OPZ1" s="30"/>
      <c r="OQA1" s="30"/>
      <c r="OQB1" s="30"/>
      <c r="OQC1" s="30"/>
      <c r="OQD1" s="30"/>
      <c r="OQE1" s="30"/>
      <c r="OQF1" s="30"/>
      <c r="OQG1" s="30"/>
      <c r="OQH1" s="30"/>
      <c r="OQI1" s="30"/>
      <c r="OQJ1" s="30"/>
      <c r="OQK1" s="30"/>
      <c r="OQL1" s="30"/>
      <c r="OQM1" s="30"/>
      <c r="OQN1" s="30"/>
      <c r="OQO1" s="30"/>
      <c r="OQP1" s="30"/>
      <c r="OQQ1" s="30"/>
      <c r="OQR1" s="30"/>
      <c r="OQS1" s="30"/>
      <c r="OQT1" s="30"/>
      <c r="OQU1" s="30"/>
      <c r="OQV1" s="30"/>
      <c r="OQW1" s="30"/>
      <c r="OQX1" s="30"/>
      <c r="OQY1" s="30"/>
      <c r="OQZ1" s="30"/>
      <c r="ORA1" s="30"/>
      <c r="ORB1" s="30"/>
      <c r="ORC1" s="30"/>
      <c r="ORD1" s="30"/>
      <c r="ORE1" s="30"/>
      <c r="ORF1" s="30"/>
      <c r="ORG1" s="30"/>
      <c r="ORH1" s="30"/>
      <c r="ORI1" s="30"/>
      <c r="ORJ1" s="30"/>
      <c r="ORK1" s="30"/>
      <c r="ORL1" s="30"/>
      <c r="ORM1" s="30"/>
      <c r="ORN1" s="30"/>
      <c r="ORO1" s="30"/>
      <c r="ORP1" s="30"/>
      <c r="ORQ1" s="30"/>
      <c r="ORR1" s="30"/>
      <c r="ORS1" s="30"/>
      <c r="ORT1" s="30"/>
      <c r="ORU1" s="30"/>
      <c r="ORV1" s="30"/>
      <c r="ORW1" s="30"/>
      <c r="ORX1" s="30"/>
      <c r="ORY1" s="30"/>
      <c r="ORZ1" s="30"/>
      <c r="OSA1" s="30"/>
      <c r="OSB1" s="30"/>
      <c r="OSC1" s="30"/>
      <c r="OSD1" s="30"/>
      <c r="OSE1" s="30"/>
      <c r="OSF1" s="30"/>
      <c r="OSG1" s="30"/>
      <c r="OSH1" s="30"/>
      <c r="OSI1" s="30"/>
      <c r="OSJ1" s="30"/>
      <c r="OSK1" s="30"/>
      <c r="OSL1" s="30"/>
      <c r="OSM1" s="30"/>
      <c r="OSN1" s="30"/>
      <c r="OSO1" s="30"/>
      <c r="OSP1" s="30"/>
      <c r="OSQ1" s="30"/>
      <c r="OSR1" s="30"/>
      <c r="OSS1" s="30"/>
      <c r="OST1" s="30"/>
      <c r="OSU1" s="30"/>
      <c r="OSV1" s="30"/>
      <c r="OSW1" s="30"/>
      <c r="OSX1" s="30"/>
      <c r="OSY1" s="30"/>
      <c r="OSZ1" s="30"/>
      <c r="OTA1" s="30"/>
      <c r="OTB1" s="30"/>
      <c r="OTC1" s="30"/>
      <c r="OTD1" s="30"/>
      <c r="OTE1" s="30"/>
      <c r="OTF1" s="30"/>
      <c r="OTG1" s="30"/>
      <c r="OTH1" s="30"/>
      <c r="OTI1" s="30"/>
      <c r="OTJ1" s="30"/>
      <c r="OTK1" s="30"/>
      <c r="OTL1" s="30"/>
      <c r="OTM1" s="30"/>
      <c r="OTN1" s="30"/>
      <c r="OTO1" s="30"/>
      <c r="OTP1" s="30"/>
      <c r="OTQ1" s="30"/>
      <c r="OTR1" s="30"/>
      <c r="OTS1" s="30"/>
      <c r="OTT1" s="30"/>
      <c r="OTU1" s="30"/>
      <c r="OTV1" s="30"/>
      <c r="OTW1" s="30"/>
      <c r="OTX1" s="30"/>
      <c r="OTY1" s="30"/>
      <c r="OTZ1" s="30"/>
      <c r="OUA1" s="30"/>
      <c r="OUB1" s="30"/>
      <c r="OUC1" s="30"/>
      <c r="OUD1" s="30"/>
      <c r="OUE1" s="30"/>
      <c r="OUF1" s="30"/>
      <c r="OUG1" s="30"/>
      <c r="OUH1" s="30"/>
      <c r="OUI1" s="30"/>
      <c r="OUJ1" s="30"/>
      <c r="OUK1" s="30"/>
      <c r="OUL1" s="30"/>
      <c r="OUM1" s="30"/>
      <c r="OUN1" s="30"/>
      <c r="OUO1" s="30"/>
      <c r="OUP1" s="30"/>
      <c r="OUQ1" s="30"/>
      <c r="OUR1" s="30"/>
      <c r="OUS1" s="30"/>
      <c r="OUT1" s="30"/>
      <c r="OUU1" s="30"/>
      <c r="OUV1" s="30"/>
      <c r="OUW1" s="30"/>
      <c r="OUX1" s="30"/>
      <c r="OUY1" s="30"/>
      <c r="OUZ1" s="30"/>
      <c r="OVA1" s="30"/>
      <c r="OVB1" s="30"/>
      <c r="OVC1" s="30"/>
      <c r="OVD1" s="30"/>
      <c r="OVE1" s="30"/>
      <c r="OVF1" s="30"/>
      <c r="OVG1" s="30"/>
      <c r="OVH1" s="30"/>
      <c r="OVI1" s="30"/>
      <c r="OVJ1" s="30"/>
      <c r="OVK1" s="30"/>
      <c r="OVL1" s="30"/>
      <c r="OVM1" s="30"/>
      <c r="OVN1" s="30"/>
      <c r="OVO1" s="30"/>
      <c r="OVP1" s="30"/>
      <c r="OVQ1" s="30"/>
      <c r="OVR1" s="30"/>
      <c r="OVS1" s="30"/>
      <c r="OVT1" s="30"/>
      <c r="OVU1" s="30"/>
      <c r="OVV1" s="30"/>
      <c r="OVW1" s="30"/>
      <c r="OVX1" s="30"/>
      <c r="OVY1" s="30"/>
      <c r="OVZ1" s="30"/>
      <c r="OWA1" s="30"/>
      <c r="OWB1" s="30"/>
      <c r="OWC1" s="30"/>
      <c r="OWD1" s="30"/>
      <c r="OWE1" s="30"/>
      <c r="OWF1" s="30"/>
      <c r="OWG1" s="30"/>
      <c r="OWH1" s="30"/>
      <c r="OWI1" s="30"/>
      <c r="OWJ1" s="30"/>
      <c r="OWK1" s="30"/>
      <c r="OWL1" s="30"/>
      <c r="OWM1" s="30"/>
      <c r="OWN1" s="30"/>
      <c r="OWO1" s="30"/>
      <c r="OWP1" s="30"/>
      <c r="OWQ1" s="30"/>
      <c r="OWR1" s="30"/>
      <c r="OWS1" s="30"/>
      <c r="OWT1" s="30"/>
      <c r="OWU1" s="30"/>
      <c r="OWV1" s="30"/>
      <c r="OWW1" s="30"/>
      <c r="OWX1" s="30"/>
      <c r="OWY1" s="30"/>
      <c r="OWZ1" s="30"/>
      <c r="OXA1" s="30"/>
      <c r="OXB1" s="30"/>
      <c r="OXC1" s="30"/>
      <c r="OXD1" s="30"/>
      <c r="OXE1" s="30"/>
      <c r="OXF1" s="30"/>
      <c r="OXG1" s="30"/>
      <c r="OXH1" s="30"/>
      <c r="OXI1" s="30"/>
      <c r="OXJ1" s="30"/>
      <c r="OXK1" s="30"/>
      <c r="OXL1" s="30"/>
      <c r="OXM1" s="30"/>
      <c r="OXN1" s="30"/>
      <c r="OXO1" s="30"/>
      <c r="OXP1" s="30"/>
      <c r="OXQ1" s="30"/>
      <c r="OXR1" s="30"/>
      <c r="OXS1" s="30"/>
      <c r="OXT1" s="30"/>
      <c r="OXU1" s="30"/>
      <c r="OXV1" s="30"/>
      <c r="OXW1" s="30"/>
      <c r="OXX1" s="30"/>
      <c r="OXY1" s="30"/>
      <c r="OXZ1" s="30"/>
      <c r="OYA1" s="30"/>
      <c r="OYB1" s="30"/>
      <c r="OYC1" s="30"/>
      <c r="OYD1" s="30"/>
      <c r="OYE1" s="30"/>
      <c r="OYF1" s="30"/>
      <c r="OYG1" s="30"/>
      <c r="OYH1" s="30"/>
      <c r="OYI1" s="30"/>
      <c r="OYJ1" s="30"/>
      <c r="OYK1" s="30"/>
      <c r="OYL1" s="30"/>
      <c r="OYM1" s="30"/>
      <c r="OYN1" s="30"/>
      <c r="OYO1" s="30"/>
      <c r="OYP1" s="30"/>
      <c r="OYQ1" s="30"/>
      <c r="OYR1" s="30"/>
      <c r="OYS1" s="30"/>
      <c r="OYT1" s="30"/>
      <c r="OYU1" s="30"/>
      <c r="OYV1" s="30"/>
      <c r="OYW1" s="30"/>
      <c r="OYX1" s="30"/>
      <c r="OYY1" s="30"/>
      <c r="OYZ1" s="30"/>
      <c r="OZA1" s="30"/>
      <c r="OZB1" s="30"/>
      <c r="OZC1" s="30"/>
      <c r="OZD1" s="30"/>
      <c r="OZE1" s="30"/>
      <c r="OZF1" s="30"/>
      <c r="OZG1" s="30"/>
      <c r="OZH1" s="30"/>
      <c r="OZI1" s="30"/>
      <c r="OZJ1" s="30"/>
      <c r="OZK1" s="30"/>
      <c r="OZL1" s="30"/>
      <c r="OZM1" s="30"/>
      <c r="OZN1" s="30"/>
      <c r="OZO1" s="30"/>
      <c r="OZP1" s="30"/>
      <c r="OZQ1" s="30"/>
      <c r="OZR1" s="30"/>
      <c r="OZS1" s="30"/>
      <c r="OZT1" s="30"/>
      <c r="OZU1" s="30"/>
      <c r="OZV1" s="30"/>
      <c r="OZW1" s="30"/>
      <c r="OZX1" s="30"/>
      <c r="OZY1" s="30"/>
      <c r="OZZ1" s="30"/>
      <c r="PAA1" s="30"/>
      <c r="PAB1" s="30"/>
      <c r="PAC1" s="30"/>
      <c r="PAD1" s="30"/>
      <c r="PAE1" s="30"/>
      <c r="PAF1" s="30"/>
      <c r="PAG1" s="30"/>
      <c r="PAH1" s="30"/>
      <c r="PAI1" s="30"/>
      <c r="PAJ1" s="30"/>
      <c r="PAK1" s="30"/>
      <c r="PAL1" s="30"/>
      <c r="PAM1" s="30"/>
      <c r="PAN1" s="30"/>
      <c r="PAO1" s="30"/>
      <c r="PAP1" s="30"/>
      <c r="PAQ1" s="30"/>
      <c r="PAR1" s="30"/>
      <c r="PAS1" s="30"/>
      <c r="PAT1" s="30"/>
      <c r="PAU1" s="30"/>
      <c r="PAV1" s="30"/>
      <c r="PAW1" s="30"/>
      <c r="PAX1" s="30"/>
      <c r="PAY1" s="30"/>
      <c r="PAZ1" s="30"/>
      <c r="PBA1" s="30"/>
      <c r="PBB1" s="30"/>
      <c r="PBC1" s="30"/>
      <c r="PBD1" s="30"/>
      <c r="PBE1" s="30"/>
      <c r="PBF1" s="30"/>
      <c r="PBG1" s="30"/>
      <c r="PBH1" s="30"/>
      <c r="PBI1" s="30"/>
      <c r="PBJ1" s="30"/>
      <c r="PBK1" s="30"/>
      <c r="PBL1" s="30"/>
      <c r="PBM1" s="30"/>
      <c r="PBN1" s="30"/>
      <c r="PBO1" s="30"/>
      <c r="PBP1" s="30"/>
      <c r="PBQ1" s="30"/>
      <c r="PBR1" s="30"/>
      <c r="PBS1" s="30"/>
      <c r="PBT1" s="30"/>
      <c r="PBU1" s="30"/>
      <c r="PBV1" s="30"/>
      <c r="PBW1" s="30"/>
      <c r="PBX1" s="30"/>
      <c r="PBY1" s="30"/>
      <c r="PBZ1" s="30"/>
      <c r="PCA1" s="30"/>
      <c r="PCB1" s="30"/>
      <c r="PCC1" s="30"/>
      <c r="PCD1" s="30"/>
      <c r="PCE1" s="30"/>
      <c r="PCF1" s="30"/>
      <c r="PCG1" s="30"/>
      <c r="PCH1" s="30"/>
      <c r="PCI1" s="30"/>
      <c r="PCJ1" s="30"/>
      <c r="PCK1" s="30"/>
      <c r="PCL1" s="30"/>
      <c r="PCM1" s="30"/>
      <c r="PCN1" s="30"/>
      <c r="PCO1" s="30"/>
      <c r="PCP1" s="30"/>
      <c r="PCQ1" s="30"/>
      <c r="PCR1" s="30"/>
      <c r="PCS1" s="30"/>
      <c r="PCT1" s="30"/>
      <c r="PCU1" s="30"/>
      <c r="PCV1" s="30"/>
      <c r="PCW1" s="30"/>
      <c r="PCX1" s="30"/>
      <c r="PCY1" s="30"/>
      <c r="PCZ1" s="30"/>
      <c r="PDA1" s="30"/>
      <c r="PDB1" s="30"/>
      <c r="PDC1" s="30"/>
      <c r="PDD1" s="30"/>
      <c r="PDE1" s="30"/>
      <c r="PDF1" s="30"/>
      <c r="PDG1" s="30"/>
      <c r="PDH1" s="30"/>
      <c r="PDI1" s="30"/>
      <c r="PDJ1" s="30"/>
      <c r="PDK1" s="30"/>
      <c r="PDL1" s="30"/>
      <c r="PDM1" s="30"/>
      <c r="PDN1" s="30"/>
      <c r="PDO1" s="30"/>
      <c r="PDP1" s="30"/>
      <c r="PDQ1" s="30"/>
      <c r="PDR1" s="30"/>
      <c r="PDS1" s="30"/>
      <c r="PDT1" s="30"/>
      <c r="PDU1" s="30"/>
      <c r="PDV1" s="30"/>
      <c r="PDW1" s="30"/>
      <c r="PDX1" s="30"/>
      <c r="PDY1" s="30"/>
      <c r="PDZ1" s="30"/>
      <c r="PEA1" s="30"/>
      <c r="PEB1" s="30"/>
      <c r="PEC1" s="30"/>
      <c r="PED1" s="30"/>
      <c r="PEE1" s="30"/>
      <c r="PEF1" s="30"/>
      <c r="PEG1" s="30"/>
      <c r="PEH1" s="30"/>
      <c r="PEI1" s="30"/>
      <c r="PEJ1" s="30"/>
      <c r="PEK1" s="30"/>
      <c r="PEL1" s="30"/>
      <c r="PEM1" s="30"/>
      <c r="PEN1" s="30"/>
      <c r="PEO1" s="30"/>
      <c r="PEP1" s="30"/>
      <c r="PEQ1" s="30"/>
      <c r="PER1" s="30"/>
      <c r="PES1" s="30"/>
      <c r="PET1" s="30"/>
      <c r="PEU1" s="30"/>
      <c r="PEV1" s="30"/>
      <c r="PEW1" s="30"/>
      <c r="PEX1" s="30"/>
      <c r="PEY1" s="30"/>
      <c r="PEZ1" s="30"/>
      <c r="PFA1" s="30"/>
      <c r="PFB1" s="30"/>
      <c r="PFC1" s="30"/>
      <c r="PFD1" s="30"/>
      <c r="PFE1" s="30"/>
      <c r="PFF1" s="30"/>
      <c r="PFG1" s="30"/>
      <c r="PFH1" s="30"/>
      <c r="PFI1" s="30"/>
      <c r="PFJ1" s="30"/>
      <c r="PFK1" s="30"/>
      <c r="PFL1" s="30"/>
      <c r="PFM1" s="30"/>
      <c r="PFN1" s="30"/>
      <c r="PFO1" s="30"/>
      <c r="PFP1" s="30"/>
      <c r="PFQ1" s="30"/>
      <c r="PFR1" s="30"/>
      <c r="PFS1" s="30"/>
      <c r="PFT1" s="30"/>
      <c r="PFU1" s="30"/>
      <c r="PFV1" s="30"/>
      <c r="PFW1" s="30"/>
      <c r="PFX1" s="30"/>
      <c r="PFY1" s="30"/>
      <c r="PFZ1" s="30"/>
      <c r="PGA1" s="30"/>
      <c r="PGB1" s="30"/>
      <c r="PGC1" s="30"/>
      <c r="PGD1" s="30"/>
      <c r="PGE1" s="30"/>
      <c r="PGF1" s="30"/>
      <c r="PGG1" s="30"/>
      <c r="PGH1" s="30"/>
      <c r="PGI1" s="30"/>
      <c r="PGJ1" s="30"/>
      <c r="PGK1" s="30"/>
      <c r="PGL1" s="30"/>
      <c r="PGM1" s="30"/>
      <c r="PGN1" s="30"/>
      <c r="PGO1" s="30"/>
      <c r="PGP1" s="30"/>
      <c r="PGQ1" s="30"/>
      <c r="PGR1" s="30"/>
      <c r="PGS1" s="30"/>
      <c r="PGT1" s="30"/>
      <c r="PGU1" s="30"/>
      <c r="PGV1" s="30"/>
      <c r="PGW1" s="30"/>
      <c r="PGX1" s="30"/>
      <c r="PGY1" s="30"/>
      <c r="PGZ1" s="30"/>
      <c r="PHA1" s="30"/>
      <c r="PHB1" s="30"/>
      <c r="PHC1" s="30"/>
      <c r="PHD1" s="30"/>
      <c r="PHE1" s="30"/>
      <c r="PHF1" s="30"/>
      <c r="PHG1" s="30"/>
      <c r="PHH1" s="30"/>
      <c r="PHI1" s="30"/>
      <c r="PHJ1" s="30"/>
      <c r="PHK1" s="30"/>
      <c r="PHL1" s="30"/>
      <c r="PHM1" s="30"/>
      <c r="PHN1" s="30"/>
      <c r="PHO1" s="30"/>
      <c r="PHP1" s="30"/>
      <c r="PHQ1" s="30"/>
      <c r="PHR1" s="30"/>
      <c r="PHS1" s="30"/>
      <c r="PHT1" s="30"/>
      <c r="PHU1" s="30"/>
      <c r="PHV1" s="30"/>
      <c r="PHW1" s="30"/>
      <c r="PHX1" s="30"/>
      <c r="PHY1" s="30"/>
      <c r="PHZ1" s="30"/>
      <c r="PIA1" s="30"/>
      <c r="PIB1" s="30"/>
      <c r="PIC1" s="30"/>
      <c r="PID1" s="30"/>
      <c r="PIE1" s="30"/>
      <c r="PIF1" s="30"/>
      <c r="PIG1" s="30"/>
      <c r="PIH1" s="30"/>
      <c r="PII1" s="30"/>
      <c r="PIJ1" s="30"/>
      <c r="PIK1" s="30"/>
      <c r="PIL1" s="30"/>
      <c r="PIM1" s="30"/>
      <c r="PIN1" s="30"/>
      <c r="PIO1" s="30"/>
      <c r="PIP1" s="30"/>
      <c r="PIQ1" s="30"/>
      <c r="PIR1" s="30"/>
      <c r="PIS1" s="30"/>
      <c r="PIT1" s="30"/>
      <c r="PIU1" s="30"/>
      <c r="PIV1" s="30"/>
      <c r="PIW1" s="30"/>
      <c r="PIX1" s="30"/>
      <c r="PIY1" s="30"/>
      <c r="PIZ1" s="30"/>
      <c r="PJA1" s="30"/>
      <c r="PJB1" s="30"/>
      <c r="PJC1" s="30"/>
      <c r="PJD1" s="30"/>
      <c r="PJE1" s="30"/>
      <c r="PJF1" s="30"/>
      <c r="PJG1" s="30"/>
      <c r="PJH1" s="30"/>
      <c r="PJI1" s="30"/>
      <c r="PJJ1" s="30"/>
      <c r="PJK1" s="30"/>
      <c r="PJL1" s="30"/>
      <c r="PJM1" s="30"/>
      <c r="PJN1" s="30"/>
      <c r="PJO1" s="30"/>
      <c r="PJP1" s="30"/>
      <c r="PJQ1" s="30"/>
      <c r="PJR1" s="30"/>
      <c r="PJS1" s="30"/>
      <c r="PJT1" s="30"/>
      <c r="PJU1" s="30"/>
      <c r="PJV1" s="30"/>
      <c r="PJW1" s="30"/>
      <c r="PJX1" s="30"/>
      <c r="PJY1" s="30"/>
      <c r="PJZ1" s="30"/>
      <c r="PKA1" s="30"/>
      <c r="PKB1" s="30"/>
      <c r="PKC1" s="30"/>
      <c r="PKD1" s="30"/>
      <c r="PKE1" s="30"/>
      <c r="PKF1" s="30"/>
      <c r="PKG1" s="30"/>
      <c r="PKH1" s="30"/>
      <c r="PKI1" s="30"/>
      <c r="PKJ1" s="30"/>
      <c r="PKK1" s="30"/>
      <c r="PKL1" s="30"/>
      <c r="PKM1" s="30"/>
      <c r="PKN1" s="30"/>
      <c r="PKO1" s="30"/>
      <c r="PKP1" s="30"/>
      <c r="PKQ1" s="30"/>
      <c r="PKR1" s="30"/>
      <c r="PKS1" s="30"/>
      <c r="PKT1" s="30"/>
      <c r="PKU1" s="30"/>
      <c r="PKV1" s="30"/>
      <c r="PKW1" s="30"/>
      <c r="PKX1" s="30"/>
      <c r="PKY1" s="30"/>
      <c r="PKZ1" s="30"/>
      <c r="PLA1" s="30"/>
      <c r="PLB1" s="30"/>
      <c r="PLC1" s="30"/>
      <c r="PLD1" s="30"/>
      <c r="PLE1" s="30"/>
      <c r="PLF1" s="30"/>
      <c r="PLG1" s="30"/>
      <c r="PLH1" s="30"/>
      <c r="PLI1" s="30"/>
      <c r="PLJ1" s="30"/>
      <c r="PLK1" s="30"/>
      <c r="PLL1" s="30"/>
      <c r="PLM1" s="30"/>
      <c r="PLN1" s="30"/>
      <c r="PLO1" s="30"/>
      <c r="PLP1" s="30"/>
      <c r="PLQ1" s="30"/>
      <c r="PLR1" s="30"/>
      <c r="PLS1" s="30"/>
      <c r="PLT1" s="30"/>
      <c r="PLU1" s="30"/>
      <c r="PLV1" s="30"/>
      <c r="PLW1" s="30"/>
      <c r="PLX1" s="30"/>
      <c r="PLY1" s="30"/>
      <c r="PLZ1" s="30"/>
      <c r="PMA1" s="30"/>
      <c r="PMB1" s="30"/>
      <c r="PMC1" s="30"/>
      <c r="PMD1" s="30"/>
      <c r="PME1" s="30"/>
      <c r="PMF1" s="30"/>
      <c r="PMG1" s="30"/>
      <c r="PMH1" s="30"/>
      <c r="PMI1" s="30"/>
      <c r="PMJ1" s="30"/>
      <c r="PMK1" s="30"/>
      <c r="PML1" s="30"/>
      <c r="PMM1" s="30"/>
      <c r="PMN1" s="30"/>
      <c r="PMO1" s="30"/>
      <c r="PMP1" s="30"/>
      <c r="PMQ1" s="30"/>
      <c r="PMR1" s="30"/>
      <c r="PMS1" s="30"/>
      <c r="PMT1" s="30"/>
      <c r="PMU1" s="30"/>
      <c r="PMV1" s="30"/>
      <c r="PMW1" s="30"/>
      <c r="PMX1" s="30"/>
      <c r="PMY1" s="30"/>
      <c r="PMZ1" s="30"/>
      <c r="PNA1" s="30"/>
      <c r="PNB1" s="30"/>
      <c r="PNC1" s="30"/>
      <c r="PND1" s="30"/>
      <c r="PNE1" s="30"/>
      <c r="PNF1" s="30"/>
      <c r="PNG1" s="30"/>
      <c r="PNH1" s="30"/>
      <c r="PNI1" s="30"/>
      <c r="PNJ1" s="30"/>
      <c r="PNK1" s="30"/>
      <c r="PNL1" s="30"/>
      <c r="PNM1" s="30"/>
      <c r="PNN1" s="30"/>
      <c r="PNO1" s="30"/>
      <c r="PNP1" s="30"/>
      <c r="PNQ1" s="30"/>
      <c r="PNR1" s="30"/>
      <c r="PNS1" s="30"/>
      <c r="PNT1" s="30"/>
      <c r="PNU1" s="30"/>
      <c r="PNV1" s="30"/>
      <c r="PNW1" s="30"/>
      <c r="PNX1" s="30"/>
      <c r="PNY1" s="30"/>
      <c r="PNZ1" s="30"/>
      <c r="POA1" s="30"/>
      <c r="POB1" s="30"/>
      <c r="POC1" s="30"/>
      <c r="POD1" s="30"/>
      <c r="POE1" s="30"/>
      <c r="POF1" s="30"/>
      <c r="POG1" s="30"/>
      <c r="POH1" s="30"/>
      <c r="POI1" s="30"/>
      <c r="POJ1" s="30"/>
      <c r="POK1" s="30"/>
      <c r="POL1" s="30"/>
      <c r="POM1" s="30"/>
      <c r="PON1" s="30"/>
      <c r="POO1" s="30"/>
      <c r="POP1" s="30"/>
      <c r="POQ1" s="30"/>
      <c r="POR1" s="30"/>
      <c r="POS1" s="30"/>
      <c r="POT1" s="30"/>
      <c r="POU1" s="30"/>
      <c r="POV1" s="30"/>
      <c r="POW1" s="30"/>
      <c r="POX1" s="30"/>
      <c r="POY1" s="30"/>
      <c r="POZ1" s="30"/>
      <c r="PPA1" s="30"/>
      <c r="PPB1" s="30"/>
      <c r="PPC1" s="30"/>
      <c r="PPD1" s="30"/>
      <c r="PPE1" s="30"/>
      <c r="PPF1" s="30"/>
      <c r="PPG1" s="30"/>
      <c r="PPH1" s="30"/>
      <c r="PPI1" s="30"/>
      <c r="PPJ1" s="30"/>
      <c r="PPK1" s="30"/>
      <c r="PPL1" s="30"/>
      <c r="PPM1" s="30"/>
      <c r="PPN1" s="30"/>
      <c r="PPO1" s="30"/>
      <c r="PPP1" s="30"/>
      <c r="PPQ1" s="30"/>
      <c r="PPR1" s="30"/>
      <c r="PPS1" s="30"/>
      <c r="PPT1" s="30"/>
      <c r="PPU1" s="30"/>
      <c r="PPV1" s="30"/>
      <c r="PPW1" s="30"/>
      <c r="PPX1" s="30"/>
      <c r="PPY1" s="30"/>
      <c r="PPZ1" s="30"/>
      <c r="PQA1" s="30"/>
      <c r="PQB1" s="30"/>
      <c r="PQC1" s="30"/>
      <c r="PQD1" s="30"/>
      <c r="PQE1" s="30"/>
      <c r="PQF1" s="30"/>
      <c r="PQG1" s="30"/>
      <c r="PQH1" s="30"/>
      <c r="PQI1" s="30"/>
      <c r="PQJ1" s="30"/>
      <c r="PQK1" s="30"/>
      <c r="PQL1" s="30"/>
      <c r="PQM1" s="30"/>
      <c r="PQN1" s="30"/>
      <c r="PQO1" s="30"/>
      <c r="PQP1" s="30"/>
      <c r="PQQ1" s="30"/>
      <c r="PQR1" s="30"/>
      <c r="PQS1" s="30"/>
      <c r="PQT1" s="30"/>
      <c r="PQU1" s="30"/>
      <c r="PQV1" s="30"/>
      <c r="PQW1" s="30"/>
      <c r="PQX1" s="30"/>
      <c r="PQY1" s="30"/>
      <c r="PQZ1" s="30"/>
      <c r="PRA1" s="30"/>
      <c r="PRB1" s="30"/>
      <c r="PRC1" s="30"/>
      <c r="PRD1" s="30"/>
      <c r="PRE1" s="30"/>
      <c r="PRF1" s="30"/>
      <c r="PRG1" s="30"/>
      <c r="PRH1" s="30"/>
      <c r="PRI1" s="30"/>
      <c r="PRJ1" s="30"/>
      <c r="PRK1" s="30"/>
      <c r="PRL1" s="30"/>
      <c r="PRM1" s="30"/>
      <c r="PRN1" s="30"/>
      <c r="PRO1" s="30"/>
      <c r="PRP1" s="30"/>
      <c r="PRQ1" s="30"/>
      <c r="PRR1" s="30"/>
      <c r="PRS1" s="30"/>
      <c r="PRT1" s="30"/>
      <c r="PRU1" s="30"/>
      <c r="PRV1" s="30"/>
      <c r="PRW1" s="30"/>
      <c r="PRX1" s="30"/>
      <c r="PRY1" s="30"/>
      <c r="PRZ1" s="30"/>
      <c r="PSA1" s="30"/>
      <c r="PSB1" s="30"/>
      <c r="PSC1" s="30"/>
      <c r="PSD1" s="30"/>
      <c r="PSE1" s="30"/>
      <c r="PSF1" s="30"/>
      <c r="PSG1" s="30"/>
      <c r="PSH1" s="30"/>
      <c r="PSI1" s="30"/>
      <c r="PSJ1" s="30"/>
      <c r="PSK1" s="30"/>
      <c r="PSL1" s="30"/>
      <c r="PSM1" s="30"/>
      <c r="PSN1" s="30"/>
      <c r="PSO1" s="30"/>
      <c r="PSP1" s="30"/>
      <c r="PSQ1" s="30"/>
      <c r="PSR1" s="30"/>
      <c r="PSS1" s="30"/>
      <c r="PST1" s="30"/>
      <c r="PSU1" s="30"/>
      <c r="PSV1" s="30"/>
      <c r="PSW1" s="30"/>
      <c r="PSX1" s="30"/>
      <c r="PSY1" s="30"/>
      <c r="PSZ1" s="30"/>
      <c r="PTA1" s="30"/>
      <c r="PTB1" s="30"/>
      <c r="PTC1" s="30"/>
      <c r="PTD1" s="30"/>
      <c r="PTE1" s="30"/>
      <c r="PTF1" s="30"/>
      <c r="PTG1" s="30"/>
      <c r="PTH1" s="30"/>
      <c r="PTI1" s="30"/>
      <c r="PTJ1" s="30"/>
      <c r="PTK1" s="30"/>
      <c r="PTL1" s="30"/>
      <c r="PTM1" s="30"/>
      <c r="PTN1" s="30"/>
      <c r="PTO1" s="30"/>
      <c r="PTP1" s="30"/>
      <c r="PTQ1" s="30"/>
      <c r="PTR1" s="30"/>
      <c r="PTS1" s="30"/>
      <c r="PTT1" s="30"/>
      <c r="PTU1" s="30"/>
      <c r="PTV1" s="30"/>
      <c r="PTW1" s="30"/>
      <c r="PTX1" s="30"/>
      <c r="PTY1" s="30"/>
      <c r="PTZ1" s="30"/>
      <c r="PUA1" s="30"/>
      <c r="PUB1" s="30"/>
      <c r="PUC1" s="30"/>
      <c r="PUD1" s="30"/>
      <c r="PUE1" s="30"/>
      <c r="PUF1" s="30"/>
      <c r="PUG1" s="30"/>
      <c r="PUH1" s="30"/>
      <c r="PUI1" s="30"/>
      <c r="PUJ1" s="30"/>
      <c r="PUK1" s="30"/>
      <c r="PUL1" s="30"/>
      <c r="PUM1" s="30"/>
      <c r="PUN1" s="30"/>
      <c r="PUO1" s="30"/>
      <c r="PUP1" s="30"/>
      <c r="PUQ1" s="30"/>
      <c r="PUR1" s="30"/>
      <c r="PUS1" s="30"/>
      <c r="PUT1" s="30"/>
      <c r="PUU1" s="30"/>
      <c r="PUV1" s="30"/>
      <c r="PUW1" s="30"/>
      <c r="PUX1" s="30"/>
      <c r="PUY1" s="30"/>
      <c r="PUZ1" s="30"/>
      <c r="PVA1" s="30"/>
      <c r="PVB1" s="30"/>
      <c r="PVC1" s="30"/>
      <c r="PVD1" s="30"/>
      <c r="PVE1" s="30"/>
      <c r="PVF1" s="30"/>
      <c r="PVG1" s="30"/>
      <c r="PVH1" s="30"/>
      <c r="PVI1" s="30"/>
      <c r="PVJ1" s="30"/>
      <c r="PVK1" s="30"/>
      <c r="PVL1" s="30"/>
      <c r="PVM1" s="30"/>
      <c r="PVN1" s="30"/>
      <c r="PVO1" s="30"/>
      <c r="PVP1" s="30"/>
      <c r="PVQ1" s="30"/>
      <c r="PVR1" s="30"/>
      <c r="PVS1" s="30"/>
      <c r="PVT1" s="30"/>
      <c r="PVU1" s="30"/>
      <c r="PVV1" s="30"/>
      <c r="PVW1" s="30"/>
      <c r="PVX1" s="30"/>
      <c r="PVY1" s="30"/>
      <c r="PVZ1" s="30"/>
      <c r="PWA1" s="30"/>
      <c r="PWB1" s="30"/>
      <c r="PWC1" s="30"/>
      <c r="PWD1" s="30"/>
      <c r="PWE1" s="30"/>
      <c r="PWF1" s="30"/>
      <c r="PWG1" s="30"/>
      <c r="PWH1" s="30"/>
      <c r="PWI1" s="30"/>
      <c r="PWJ1" s="30"/>
      <c r="PWK1" s="30"/>
      <c r="PWL1" s="30"/>
      <c r="PWM1" s="30"/>
      <c r="PWN1" s="30"/>
      <c r="PWO1" s="30"/>
      <c r="PWP1" s="30"/>
      <c r="PWQ1" s="30"/>
      <c r="PWR1" s="30"/>
      <c r="PWS1" s="30"/>
      <c r="PWT1" s="30"/>
      <c r="PWU1" s="30"/>
      <c r="PWV1" s="30"/>
      <c r="PWW1" s="30"/>
      <c r="PWX1" s="30"/>
      <c r="PWY1" s="30"/>
      <c r="PWZ1" s="30"/>
      <c r="PXA1" s="30"/>
      <c r="PXB1" s="30"/>
      <c r="PXC1" s="30"/>
      <c r="PXD1" s="30"/>
      <c r="PXE1" s="30"/>
      <c r="PXF1" s="30"/>
      <c r="PXG1" s="30"/>
      <c r="PXH1" s="30"/>
      <c r="PXI1" s="30"/>
      <c r="PXJ1" s="30"/>
      <c r="PXK1" s="30"/>
      <c r="PXL1" s="30"/>
      <c r="PXM1" s="30"/>
      <c r="PXN1" s="30"/>
      <c r="PXO1" s="30"/>
      <c r="PXP1" s="30"/>
      <c r="PXQ1" s="30"/>
      <c r="PXR1" s="30"/>
      <c r="PXS1" s="30"/>
      <c r="PXT1" s="30"/>
      <c r="PXU1" s="30"/>
      <c r="PXV1" s="30"/>
      <c r="PXW1" s="30"/>
      <c r="PXX1" s="30"/>
      <c r="PXY1" s="30"/>
      <c r="PXZ1" s="30"/>
      <c r="PYA1" s="30"/>
      <c r="PYB1" s="30"/>
      <c r="PYC1" s="30"/>
      <c r="PYD1" s="30"/>
      <c r="PYE1" s="30"/>
      <c r="PYF1" s="30"/>
      <c r="PYG1" s="30"/>
      <c r="PYH1" s="30"/>
      <c r="PYI1" s="30"/>
      <c r="PYJ1" s="30"/>
      <c r="PYK1" s="30"/>
      <c r="PYL1" s="30"/>
      <c r="PYM1" s="30"/>
      <c r="PYN1" s="30"/>
      <c r="PYO1" s="30"/>
      <c r="PYP1" s="30"/>
      <c r="PYQ1" s="30"/>
      <c r="PYR1" s="30"/>
      <c r="PYS1" s="30"/>
      <c r="PYT1" s="30"/>
      <c r="PYU1" s="30"/>
      <c r="PYV1" s="30"/>
      <c r="PYW1" s="30"/>
      <c r="PYX1" s="30"/>
      <c r="PYY1" s="30"/>
      <c r="PYZ1" s="30"/>
      <c r="PZA1" s="30"/>
      <c r="PZB1" s="30"/>
      <c r="PZC1" s="30"/>
      <c r="PZD1" s="30"/>
      <c r="PZE1" s="30"/>
      <c r="PZF1" s="30"/>
      <c r="PZG1" s="30"/>
      <c r="PZH1" s="30"/>
      <c r="PZI1" s="30"/>
      <c r="PZJ1" s="30"/>
      <c r="PZK1" s="30"/>
      <c r="PZL1" s="30"/>
      <c r="PZM1" s="30"/>
      <c r="PZN1" s="30"/>
      <c r="PZO1" s="30"/>
      <c r="PZP1" s="30"/>
      <c r="PZQ1" s="30"/>
      <c r="PZR1" s="30"/>
      <c r="PZS1" s="30"/>
      <c r="PZT1" s="30"/>
      <c r="PZU1" s="30"/>
      <c r="PZV1" s="30"/>
      <c r="PZW1" s="30"/>
      <c r="PZX1" s="30"/>
      <c r="PZY1" s="30"/>
      <c r="PZZ1" s="30"/>
      <c r="QAA1" s="30"/>
      <c r="QAB1" s="30"/>
      <c r="QAC1" s="30"/>
      <c r="QAD1" s="30"/>
      <c r="QAE1" s="30"/>
      <c r="QAF1" s="30"/>
      <c r="QAG1" s="30"/>
      <c r="QAH1" s="30"/>
      <c r="QAI1" s="30"/>
      <c r="QAJ1" s="30"/>
      <c r="QAK1" s="30"/>
      <c r="QAL1" s="30"/>
      <c r="QAM1" s="30"/>
      <c r="QAN1" s="30"/>
      <c r="QAO1" s="30"/>
      <c r="QAP1" s="30"/>
      <c r="QAQ1" s="30"/>
      <c r="QAR1" s="30"/>
      <c r="QAS1" s="30"/>
      <c r="QAT1" s="30"/>
      <c r="QAU1" s="30"/>
      <c r="QAV1" s="30"/>
      <c r="QAW1" s="30"/>
      <c r="QAX1" s="30"/>
      <c r="QAY1" s="30"/>
      <c r="QAZ1" s="30"/>
      <c r="QBA1" s="30"/>
      <c r="QBB1" s="30"/>
      <c r="QBC1" s="30"/>
      <c r="QBD1" s="30"/>
      <c r="QBE1" s="30"/>
      <c r="QBF1" s="30"/>
      <c r="QBG1" s="30"/>
      <c r="QBH1" s="30"/>
      <c r="QBI1" s="30"/>
      <c r="QBJ1" s="30"/>
      <c r="QBK1" s="30"/>
      <c r="QBL1" s="30"/>
      <c r="QBM1" s="30"/>
      <c r="QBN1" s="30"/>
      <c r="QBO1" s="30"/>
      <c r="QBP1" s="30"/>
      <c r="QBQ1" s="30"/>
      <c r="QBR1" s="30"/>
      <c r="QBS1" s="30"/>
      <c r="QBT1" s="30"/>
      <c r="QBU1" s="30"/>
      <c r="QBV1" s="30"/>
      <c r="QBW1" s="30"/>
      <c r="QBX1" s="30"/>
      <c r="QBY1" s="30"/>
      <c r="QBZ1" s="30"/>
      <c r="QCA1" s="30"/>
      <c r="QCB1" s="30"/>
      <c r="QCC1" s="30"/>
      <c r="QCD1" s="30"/>
      <c r="QCE1" s="30"/>
      <c r="QCF1" s="30"/>
      <c r="QCG1" s="30"/>
      <c r="QCH1" s="30"/>
      <c r="QCI1" s="30"/>
      <c r="QCJ1" s="30"/>
      <c r="QCK1" s="30"/>
      <c r="QCL1" s="30"/>
      <c r="QCM1" s="30"/>
      <c r="QCN1" s="30"/>
      <c r="QCO1" s="30"/>
      <c r="QCP1" s="30"/>
      <c r="QCQ1" s="30"/>
      <c r="QCR1" s="30"/>
      <c r="QCS1" s="30"/>
      <c r="QCT1" s="30"/>
      <c r="QCU1" s="30"/>
      <c r="QCV1" s="30"/>
      <c r="QCW1" s="30"/>
      <c r="QCX1" s="30"/>
      <c r="QCY1" s="30"/>
      <c r="QCZ1" s="30"/>
      <c r="QDA1" s="30"/>
      <c r="QDB1" s="30"/>
      <c r="QDC1" s="30"/>
      <c r="QDD1" s="30"/>
      <c r="QDE1" s="30"/>
      <c r="QDF1" s="30"/>
      <c r="QDG1" s="30"/>
      <c r="QDH1" s="30"/>
      <c r="QDI1" s="30"/>
      <c r="QDJ1" s="30"/>
      <c r="QDK1" s="30"/>
      <c r="QDL1" s="30"/>
      <c r="QDM1" s="30"/>
      <c r="QDN1" s="30"/>
      <c r="QDO1" s="30"/>
      <c r="QDP1" s="30"/>
      <c r="QDQ1" s="30"/>
      <c r="QDR1" s="30"/>
      <c r="QDS1" s="30"/>
      <c r="QDT1" s="30"/>
      <c r="QDU1" s="30"/>
      <c r="QDV1" s="30"/>
      <c r="QDW1" s="30"/>
      <c r="QDX1" s="30"/>
      <c r="QDY1" s="30"/>
      <c r="QDZ1" s="30"/>
      <c r="QEA1" s="30"/>
      <c r="QEB1" s="30"/>
      <c r="QEC1" s="30"/>
      <c r="QED1" s="30"/>
      <c r="QEE1" s="30"/>
      <c r="QEF1" s="30"/>
      <c r="QEG1" s="30"/>
      <c r="QEH1" s="30"/>
      <c r="QEI1" s="30"/>
      <c r="QEJ1" s="30"/>
      <c r="QEK1" s="30"/>
      <c r="QEL1" s="30"/>
      <c r="QEM1" s="30"/>
      <c r="QEN1" s="30"/>
      <c r="QEO1" s="30"/>
      <c r="QEP1" s="30"/>
      <c r="QEQ1" s="30"/>
      <c r="QER1" s="30"/>
      <c r="QES1" s="30"/>
      <c r="QET1" s="30"/>
      <c r="QEU1" s="30"/>
      <c r="QEV1" s="30"/>
      <c r="QEW1" s="30"/>
      <c r="QEX1" s="30"/>
      <c r="QEY1" s="30"/>
      <c r="QEZ1" s="30"/>
      <c r="QFA1" s="30"/>
      <c r="QFB1" s="30"/>
      <c r="QFC1" s="30"/>
      <c r="QFD1" s="30"/>
      <c r="QFE1" s="30"/>
      <c r="QFF1" s="30"/>
      <c r="QFG1" s="30"/>
      <c r="QFH1" s="30"/>
      <c r="QFI1" s="30"/>
      <c r="QFJ1" s="30"/>
      <c r="QFK1" s="30"/>
      <c r="QFL1" s="30"/>
      <c r="QFM1" s="30"/>
      <c r="QFN1" s="30"/>
      <c r="QFO1" s="30"/>
      <c r="QFP1" s="30"/>
      <c r="QFQ1" s="30"/>
      <c r="QFR1" s="30"/>
      <c r="QFS1" s="30"/>
      <c r="QFT1" s="30"/>
      <c r="QFU1" s="30"/>
      <c r="QFV1" s="30"/>
      <c r="QFW1" s="30"/>
      <c r="QFX1" s="30"/>
      <c r="QFY1" s="30"/>
      <c r="QFZ1" s="30"/>
      <c r="QGA1" s="30"/>
      <c r="QGB1" s="30"/>
      <c r="QGC1" s="30"/>
      <c r="QGD1" s="30"/>
      <c r="QGE1" s="30"/>
      <c r="QGF1" s="30"/>
      <c r="QGG1" s="30"/>
      <c r="QGH1" s="30"/>
      <c r="QGI1" s="30"/>
      <c r="QGJ1" s="30"/>
      <c r="QGK1" s="30"/>
      <c r="QGL1" s="30"/>
      <c r="QGM1" s="30"/>
      <c r="QGN1" s="30"/>
      <c r="QGO1" s="30"/>
      <c r="QGP1" s="30"/>
      <c r="QGQ1" s="30"/>
      <c r="QGR1" s="30"/>
      <c r="QGS1" s="30"/>
      <c r="QGT1" s="30"/>
      <c r="QGU1" s="30"/>
      <c r="QGV1" s="30"/>
      <c r="QGW1" s="30"/>
      <c r="QGX1" s="30"/>
      <c r="QGY1" s="30"/>
      <c r="QGZ1" s="30"/>
      <c r="QHA1" s="30"/>
      <c r="QHB1" s="30"/>
      <c r="QHC1" s="30"/>
      <c r="QHD1" s="30"/>
      <c r="QHE1" s="30"/>
      <c r="QHF1" s="30"/>
      <c r="QHG1" s="30"/>
      <c r="QHH1" s="30"/>
      <c r="QHI1" s="30"/>
      <c r="QHJ1" s="30"/>
      <c r="QHK1" s="30"/>
      <c r="QHL1" s="30"/>
      <c r="QHM1" s="30"/>
      <c r="QHN1" s="30"/>
      <c r="QHO1" s="30"/>
      <c r="QHP1" s="30"/>
      <c r="QHQ1" s="30"/>
      <c r="QHR1" s="30"/>
      <c r="QHS1" s="30"/>
      <c r="QHT1" s="30"/>
      <c r="QHU1" s="30"/>
      <c r="QHV1" s="30"/>
      <c r="QHW1" s="30"/>
      <c r="QHX1" s="30"/>
      <c r="QHY1" s="30"/>
      <c r="QHZ1" s="30"/>
      <c r="QIA1" s="30"/>
      <c r="QIB1" s="30"/>
      <c r="QIC1" s="30"/>
      <c r="QID1" s="30"/>
      <c r="QIE1" s="30"/>
      <c r="QIF1" s="30"/>
      <c r="QIG1" s="30"/>
      <c r="QIH1" s="30"/>
      <c r="QII1" s="30"/>
      <c r="QIJ1" s="30"/>
      <c r="QIK1" s="30"/>
      <c r="QIL1" s="30"/>
      <c r="QIM1" s="30"/>
      <c r="QIN1" s="30"/>
      <c r="QIO1" s="30"/>
      <c r="QIP1" s="30"/>
      <c r="QIQ1" s="30"/>
      <c r="QIR1" s="30"/>
      <c r="QIS1" s="30"/>
      <c r="QIT1" s="30"/>
      <c r="QIU1" s="30"/>
      <c r="QIV1" s="30"/>
      <c r="QIW1" s="30"/>
      <c r="QIX1" s="30"/>
      <c r="QIY1" s="30"/>
      <c r="QIZ1" s="30"/>
      <c r="QJA1" s="30"/>
      <c r="QJB1" s="30"/>
      <c r="QJC1" s="30"/>
      <c r="QJD1" s="30"/>
      <c r="QJE1" s="30"/>
      <c r="QJF1" s="30"/>
      <c r="QJG1" s="30"/>
      <c r="QJH1" s="30"/>
      <c r="QJI1" s="30"/>
      <c r="QJJ1" s="30"/>
      <c r="QJK1" s="30"/>
      <c r="QJL1" s="30"/>
      <c r="QJM1" s="30"/>
      <c r="QJN1" s="30"/>
      <c r="QJO1" s="30"/>
      <c r="QJP1" s="30"/>
      <c r="QJQ1" s="30"/>
      <c r="QJR1" s="30"/>
      <c r="QJS1" s="30"/>
      <c r="QJT1" s="30"/>
      <c r="QJU1" s="30"/>
      <c r="QJV1" s="30"/>
      <c r="QJW1" s="30"/>
      <c r="QJX1" s="30"/>
      <c r="QJY1" s="30"/>
      <c r="QJZ1" s="30"/>
      <c r="QKA1" s="30"/>
      <c r="QKB1" s="30"/>
      <c r="QKC1" s="30"/>
      <c r="QKD1" s="30"/>
      <c r="QKE1" s="30"/>
      <c r="QKF1" s="30"/>
      <c r="QKG1" s="30"/>
      <c r="QKH1" s="30"/>
      <c r="QKI1" s="30"/>
      <c r="QKJ1" s="30"/>
      <c r="QKK1" s="30"/>
      <c r="QKL1" s="30"/>
      <c r="QKM1" s="30"/>
      <c r="QKN1" s="30"/>
      <c r="QKO1" s="30"/>
      <c r="QKP1" s="30"/>
      <c r="QKQ1" s="30"/>
      <c r="QKR1" s="30"/>
      <c r="QKS1" s="30"/>
      <c r="QKT1" s="30"/>
      <c r="QKU1" s="30"/>
      <c r="QKV1" s="30"/>
      <c r="QKW1" s="30"/>
      <c r="QKX1" s="30"/>
      <c r="QKY1" s="30"/>
      <c r="QKZ1" s="30"/>
      <c r="QLA1" s="30"/>
      <c r="QLB1" s="30"/>
      <c r="QLC1" s="30"/>
      <c r="QLD1" s="30"/>
      <c r="QLE1" s="30"/>
      <c r="QLF1" s="30"/>
      <c r="QLG1" s="30"/>
      <c r="QLH1" s="30"/>
      <c r="QLI1" s="30"/>
      <c r="QLJ1" s="30"/>
      <c r="QLK1" s="30"/>
      <c r="QLL1" s="30"/>
      <c r="QLM1" s="30"/>
      <c r="QLN1" s="30"/>
      <c r="QLO1" s="30"/>
      <c r="QLP1" s="30"/>
      <c r="QLQ1" s="30"/>
      <c r="QLR1" s="30"/>
      <c r="QLS1" s="30"/>
      <c r="QLT1" s="30"/>
      <c r="QLU1" s="30"/>
      <c r="QLV1" s="30"/>
      <c r="QLW1" s="30"/>
      <c r="QLX1" s="30"/>
      <c r="QLY1" s="30"/>
      <c r="QLZ1" s="30"/>
      <c r="QMA1" s="30"/>
      <c r="QMB1" s="30"/>
      <c r="QMC1" s="30"/>
      <c r="QMD1" s="30"/>
      <c r="QME1" s="30"/>
      <c r="QMF1" s="30"/>
      <c r="QMG1" s="30"/>
      <c r="QMH1" s="30"/>
      <c r="QMI1" s="30"/>
      <c r="QMJ1" s="30"/>
      <c r="QMK1" s="30"/>
      <c r="QML1" s="30"/>
      <c r="QMM1" s="30"/>
      <c r="QMN1" s="30"/>
      <c r="QMO1" s="30"/>
      <c r="QMP1" s="30"/>
      <c r="QMQ1" s="30"/>
      <c r="QMR1" s="30"/>
      <c r="QMS1" s="30"/>
      <c r="QMT1" s="30"/>
      <c r="QMU1" s="30"/>
      <c r="QMV1" s="30"/>
      <c r="QMW1" s="30"/>
      <c r="QMX1" s="30"/>
      <c r="QMY1" s="30"/>
      <c r="QMZ1" s="30"/>
      <c r="QNA1" s="30"/>
      <c r="QNB1" s="30"/>
      <c r="QNC1" s="30"/>
      <c r="QND1" s="30"/>
      <c r="QNE1" s="30"/>
      <c r="QNF1" s="30"/>
      <c r="QNG1" s="30"/>
      <c r="QNH1" s="30"/>
      <c r="QNI1" s="30"/>
      <c r="QNJ1" s="30"/>
      <c r="QNK1" s="30"/>
      <c r="QNL1" s="30"/>
      <c r="QNM1" s="30"/>
      <c r="QNN1" s="30"/>
      <c r="QNO1" s="30"/>
      <c r="QNP1" s="30"/>
      <c r="QNQ1" s="30"/>
      <c r="QNR1" s="30"/>
      <c r="QNS1" s="30"/>
      <c r="QNT1" s="30"/>
      <c r="QNU1" s="30"/>
      <c r="QNV1" s="30"/>
      <c r="QNW1" s="30"/>
      <c r="QNX1" s="30"/>
      <c r="QNY1" s="30"/>
      <c r="QNZ1" s="30"/>
      <c r="QOA1" s="30"/>
      <c r="QOB1" s="30"/>
      <c r="QOC1" s="30"/>
      <c r="QOD1" s="30"/>
      <c r="QOE1" s="30"/>
      <c r="QOF1" s="30"/>
      <c r="QOG1" s="30"/>
      <c r="QOH1" s="30"/>
      <c r="QOI1" s="30"/>
      <c r="QOJ1" s="30"/>
      <c r="QOK1" s="30"/>
      <c r="QOL1" s="30"/>
      <c r="QOM1" s="30"/>
      <c r="QON1" s="30"/>
      <c r="QOO1" s="30"/>
      <c r="QOP1" s="30"/>
      <c r="QOQ1" s="30"/>
      <c r="QOR1" s="30"/>
      <c r="QOS1" s="30"/>
      <c r="QOT1" s="30"/>
      <c r="QOU1" s="30"/>
      <c r="QOV1" s="30"/>
      <c r="QOW1" s="30"/>
      <c r="QOX1" s="30"/>
      <c r="QOY1" s="30"/>
      <c r="QOZ1" s="30"/>
      <c r="QPA1" s="30"/>
      <c r="QPB1" s="30"/>
      <c r="QPC1" s="30"/>
      <c r="QPD1" s="30"/>
      <c r="QPE1" s="30"/>
      <c r="QPF1" s="30"/>
      <c r="QPG1" s="30"/>
      <c r="QPH1" s="30"/>
      <c r="QPI1" s="30"/>
      <c r="QPJ1" s="30"/>
      <c r="QPK1" s="30"/>
      <c r="QPL1" s="30"/>
      <c r="QPM1" s="30"/>
      <c r="QPN1" s="30"/>
      <c r="QPO1" s="30"/>
      <c r="QPP1" s="30"/>
      <c r="QPQ1" s="30"/>
      <c r="QPR1" s="30"/>
      <c r="QPS1" s="30"/>
      <c r="QPT1" s="30"/>
      <c r="QPU1" s="30"/>
      <c r="QPV1" s="30"/>
      <c r="QPW1" s="30"/>
      <c r="QPX1" s="30"/>
      <c r="QPY1" s="30"/>
      <c r="QPZ1" s="30"/>
      <c r="QQA1" s="30"/>
      <c r="QQB1" s="30"/>
      <c r="QQC1" s="30"/>
      <c r="QQD1" s="30"/>
      <c r="QQE1" s="30"/>
      <c r="QQF1" s="30"/>
      <c r="QQG1" s="30"/>
      <c r="QQH1" s="30"/>
      <c r="QQI1" s="30"/>
      <c r="QQJ1" s="30"/>
      <c r="QQK1" s="30"/>
      <c r="QQL1" s="30"/>
      <c r="QQM1" s="30"/>
      <c r="QQN1" s="30"/>
      <c r="QQO1" s="30"/>
      <c r="QQP1" s="30"/>
      <c r="QQQ1" s="30"/>
      <c r="QQR1" s="30"/>
      <c r="QQS1" s="30"/>
      <c r="QQT1" s="30"/>
      <c r="QQU1" s="30"/>
      <c r="QQV1" s="30"/>
      <c r="QQW1" s="30"/>
      <c r="QQX1" s="30"/>
      <c r="QQY1" s="30"/>
      <c r="QQZ1" s="30"/>
      <c r="QRA1" s="30"/>
      <c r="QRB1" s="30"/>
      <c r="QRC1" s="30"/>
      <c r="QRD1" s="30"/>
      <c r="QRE1" s="30"/>
      <c r="QRF1" s="30"/>
      <c r="QRG1" s="30"/>
      <c r="QRH1" s="30"/>
      <c r="QRI1" s="30"/>
      <c r="QRJ1" s="30"/>
      <c r="QRK1" s="30"/>
      <c r="QRL1" s="30"/>
      <c r="QRM1" s="30"/>
      <c r="QRN1" s="30"/>
      <c r="QRO1" s="30"/>
      <c r="QRP1" s="30"/>
      <c r="QRQ1" s="30"/>
      <c r="QRR1" s="30"/>
      <c r="QRS1" s="30"/>
      <c r="QRT1" s="30"/>
      <c r="QRU1" s="30"/>
      <c r="QRV1" s="30"/>
      <c r="QRW1" s="30"/>
      <c r="QRX1" s="30"/>
      <c r="QRY1" s="30"/>
      <c r="QRZ1" s="30"/>
      <c r="QSA1" s="30"/>
      <c r="QSB1" s="30"/>
      <c r="QSC1" s="30"/>
      <c r="QSD1" s="30"/>
      <c r="QSE1" s="30"/>
      <c r="QSF1" s="30"/>
      <c r="QSG1" s="30"/>
      <c r="QSH1" s="30"/>
      <c r="QSI1" s="30"/>
      <c r="QSJ1" s="30"/>
      <c r="QSK1" s="30"/>
      <c r="QSL1" s="30"/>
      <c r="QSM1" s="30"/>
      <c r="QSN1" s="30"/>
      <c r="QSO1" s="30"/>
      <c r="QSP1" s="30"/>
      <c r="QSQ1" s="30"/>
      <c r="QSR1" s="30"/>
      <c r="QSS1" s="30"/>
      <c r="QST1" s="30"/>
      <c r="QSU1" s="30"/>
      <c r="QSV1" s="30"/>
      <c r="QSW1" s="30"/>
      <c r="QSX1" s="30"/>
      <c r="QSY1" s="30"/>
      <c r="QSZ1" s="30"/>
      <c r="QTA1" s="30"/>
      <c r="QTB1" s="30"/>
      <c r="QTC1" s="30"/>
      <c r="QTD1" s="30"/>
      <c r="QTE1" s="30"/>
      <c r="QTF1" s="30"/>
      <c r="QTG1" s="30"/>
      <c r="QTH1" s="30"/>
      <c r="QTI1" s="30"/>
      <c r="QTJ1" s="30"/>
      <c r="QTK1" s="30"/>
      <c r="QTL1" s="30"/>
      <c r="QTM1" s="30"/>
      <c r="QTN1" s="30"/>
      <c r="QTO1" s="30"/>
      <c r="QTP1" s="30"/>
      <c r="QTQ1" s="30"/>
      <c r="QTR1" s="30"/>
      <c r="QTS1" s="30"/>
      <c r="QTT1" s="30"/>
      <c r="QTU1" s="30"/>
      <c r="QTV1" s="30"/>
      <c r="QTW1" s="30"/>
      <c r="QTX1" s="30"/>
      <c r="QTY1" s="30"/>
      <c r="QTZ1" s="30"/>
      <c r="QUA1" s="30"/>
      <c r="QUB1" s="30"/>
      <c r="QUC1" s="30"/>
      <c r="QUD1" s="30"/>
      <c r="QUE1" s="30"/>
      <c r="QUF1" s="30"/>
      <c r="QUG1" s="30"/>
      <c r="QUH1" s="30"/>
      <c r="QUI1" s="30"/>
      <c r="QUJ1" s="30"/>
      <c r="QUK1" s="30"/>
      <c r="QUL1" s="30"/>
      <c r="QUM1" s="30"/>
      <c r="QUN1" s="30"/>
      <c r="QUO1" s="30"/>
      <c r="QUP1" s="30"/>
      <c r="QUQ1" s="30"/>
      <c r="QUR1" s="30"/>
      <c r="QUS1" s="30"/>
      <c r="QUT1" s="30"/>
      <c r="QUU1" s="30"/>
      <c r="QUV1" s="30"/>
      <c r="QUW1" s="30"/>
      <c r="QUX1" s="30"/>
      <c r="QUY1" s="30"/>
      <c r="QUZ1" s="30"/>
      <c r="QVA1" s="30"/>
      <c r="QVB1" s="30"/>
      <c r="QVC1" s="30"/>
      <c r="QVD1" s="30"/>
      <c r="QVE1" s="30"/>
      <c r="QVF1" s="30"/>
      <c r="QVG1" s="30"/>
      <c r="QVH1" s="30"/>
      <c r="QVI1" s="30"/>
      <c r="QVJ1" s="30"/>
      <c r="QVK1" s="30"/>
      <c r="QVL1" s="30"/>
      <c r="QVM1" s="30"/>
      <c r="QVN1" s="30"/>
      <c r="QVO1" s="30"/>
      <c r="QVP1" s="30"/>
      <c r="QVQ1" s="30"/>
      <c r="QVR1" s="30"/>
      <c r="QVS1" s="30"/>
      <c r="QVT1" s="30"/>
      <c r="QVU1" s="30"/>
      <c r="QVV1" s="30"/>
      <c r="QVW1" s="30"/>
      <c r="QVX1" s="30"/>
      <c r="QVY1" s="30"/>
      <c r="QVZ1" s="30"/>
      <c r="QWA1" s="30"/>
      <c r="QWB1" s="30"/>
      <c r="QWC1" s="30"/>
      <c r="QWD1" s="30"/>
      <c r="QWE1" s="30"/>
      <c r="QWF1" s="30"/>
      <c r="QWG1" s="30"/>
      <c r="QWH1" s="30"/>
      <c r="QWI1" s="30"/>
      <c r="QWJ1" s="30"/>
      <c r="QWK1" s="30"/>
      <c r="QWL1" s="30"/>
      <c r="QWM1" s="30"/>
      <c r="QWN1" s="30"/>
      <c r="QWO1" s="30"/>
      <c r="QWP1" s="30"/>
      <c r="QWQ1" s="30"/>
      <c r="QWR1" s="30"/>
      <c r="QWS1" s="30"/>
      <c r="QWT1" s="30"/>
      <c r="QWU1" s="30"/>
      <c r="QWV1" s="30"/>
      <c r="QWW1" s="30"/>
      <c r="QWX1" s="30"/>
      <c r="QWY1" s="30"/>
      <c r="QWZ1" s="30"/>
      <c r="QXA1" s="30"/>
      <c r="QXB1" s="30"/>
      <c r="QXC1" s="30"/>
      <c r="QXD1" s="30"/>
      <c r="QXE1" s="30"/>
      <c r="QXF1" s="30"/>
      <c r="QXG1" s="30"/>
      <c r="QXH1" s="30"/>
      <c r="QXI1" s="30"/>
      <c r="QXJ1" s="30"/>
      <c r="QXK1" s="30"/>
      <c r="QXL1" s="30"/>
      <c r="QXM1" s="30"/>
      <c r="QXN1" s="30"/>
      <c r="QXO1" s="30"/>
      <c r="QXP1" s="30"/>
      <c r="QXQ1" s="30"/>
      <c r="QXR1" s="30"/>
      <c r="QXS1" s="30"/>
      <c r="QXT1" s="30"/>
      <c r="QXU1" s="30"/>
      <c r="QXV1" s="30"/>
      <c r="QXW1" s="30"/>
      <c r="QXX1" s="30"/>
      <c r="QXY1" s="30"/>
      <c r="QXZ1" s="30"/>
      <c r="QYA1" s="30"/>
      <c r="QYB1" s="30"/>
      <c r="QYC1" s="30"/>
      <c r="QYD1" s="30"/>
      <c r="QYE1" s="30"/>
      <c r="QYF1" s="30"/>
      <c r="QYG1" s="30"/>
      <c r="QYH1" s="30"/>
      <c r="QYI1" s="30"/>
      <c r="QYJ1" s="30"/>
      <c r="QYK1" s="30"/>
      <c r="QYL1" s="30"/>
      <c r="QYM1" s="30"/>
      <c r="QYN1" s="30"/>
      <c r="QYO1" s="30"/>
      <c r="QYP1" s="30"/>
      <c r="QYQ1" s="30"/>
      <c r="QYR1" s="30"/>
      <c r="QYS1" s="30"/>
      <c r="QYT1" s="30"/>
      <c r="QYU1" s="30"/>
      <c r="QYV1" s="30"/>
      <c r="QYW1" s="30"/>
      <c r="QYX1" s="30"/>
      <c r="QYY1" s="30"/>
      <c r="QYZ1" s="30"/>
      <c r="QZA1" s="30"/>
      <c r="QZB1" s="30"/>
      <c r="QZC1" s="30"/>
      <c r="QZD1" s="30"/>
      <c r="QZE1" s="30"/>
      <c r="QZF1" s="30"/>
      <c r="QZG1" s="30"/>
      <c r="QZH1" s="30"/>
      <c r="QZI1" s="30"/>
      <c r="QZJ1" s="30"/>
      <c r="QZK1" s="30"/>
      <c r="QZL1" s="30"/>
      <c r="QZM1" s="30"/>
      <c r="QZN1" s="30"/>
      <c r="QZO1" s="30"/>
      <c r="QZP1" s="30"/>
      <c r="QZQ1" s="30"/>
      <c r="QZR1" s="30"/>
      <c r="QZS1" s="30"/>
      <c r="QZT1" s="30"/>
      <c r="QZU1" s="30"/>
      <c r="QZV1" s="30"/>
      <c r="QZW1" s="30"/>
      <c r="QZX1" s="30"/>
      <c r="QZY1" s="30"/>
      <c r="QZZ1" s="30"/>
      <c r="RAA1" s="30"/>
      <c r="RAB1" s="30"/>
      <c r="RAC1" s="30"/>
      <c r="RAD1" s="30"/>
      <c r="RAE1" s="30"/>
      <c r="RAF1" s="30"/>
      <c r="RAG1" s="30"/>
      <c r="RAH1" s="30"/>
      <c r="RAI1" s="30"/>
      <c r="RAJ1" s="30"/>
      <c r="RAK1" s="30"/>
      <c r="RAL1" s="30"/>
      <c r="RAM1" s="30"/>
      <c r="RAN1" s="30"/>
      <c r="RAO1" s="30"/>
      <c r="RAP1" s="30"/>
      <c r="RAQ1" s="30"/>
      <c r="RAR1" s="30"/>
      <c r="RAS1" s="30"/>
      <c r="RAT1" s="30"/>
      <c r="RAU1" s="30"/>
      <c r="RAV1" s="30"/>
      <c r="RAW1" s="30"/>
      <c r="RAX1" s="30"/>
      <c r="RAY1" s="30"/>
      <c r="RAZ1" s="30"/>
      <c r="RBA1" s="30"/>
      <c r="RBB1" s="30"/>
      <c r="RBC1" s="30"/>
      <c r="RBD1" s="30"/>
      <c r="RBE1" s="30"/>
      <c r="RBF1" s="30"/>
      <c r="RBG1" s="30"/>
      <c r="RBH1" s="30"/>
      <c r="RBI1" s="30"/>
      <c r="RBJ1" s="30"/>
      <c r="RBK1" s="30"/>
      <c r="RBL1" s="30"/>
      <c r="RBM1" s="30"/>
      <c r="RBN1" s="30"/>
      <c r="RBO1" s="30"/>
      <c r="RBP1" s="30"/>
      <c r="RBQ1" s="30"/>
      <c r="RBR1" s="30"/>
      <c r="RBS1" s="30"/>
      <c r="RBT1" s="30"/>
      <c r="RBU1" s="30"/>
      <c r="RBV1" s="30"/>
      <c r="RBW1" s="30"/>
      <c r="RBX1" s="30"/>
      <c r="RBY1" s="30"/>
      <c r="RBZ1" s="30"/>
      <c r="RCA1" s="30"/>
      <c r="RCB1" s="30"/>
      <c r="RCC1" s="30"/>
      <c r="RCD1" s="30"/>
      <c r="RCE1" s="30"/>
      <c r="RCF1" s="30"/>
      <c r="RCG1" s="30"/>
      <c r="RCH1" s="30"/>
      <c r="RCI1" s="30"/>
      <c r="RCJ1" s="30"/>
      <c r="RCK1" s="30"/>
      <c r="RCL1" s="30"/>
      <c r="RCM1" s="30"/>
      <c r="RCN1" s="30"/>
      <c r="RCO1" s="30"/>
      <c r="RCP1" s="30"/>
      <c r="RCQ1" s="30"/>
      <c r="RCR1" s="30"/>
      <c r="RCS1" s="30"/>
      <c r="RCT1" s="30"/>
      <c r="RCU1" s="30"/>
      <c r="RCV1" s="30"/>
      <c r="RCW1" s="30"/>
      <c r="RCX1" s="30"/>
      <c r="RCY1" s="30"/>
      <c r="RCZ1" s="30"/>
      <c r="RDA1" s="30"/>
      <c r="RDB1" s="30"/>
      <c r="RDC1" s="30"/>
      <c r="RDD1" s="30"/>
      <c r="RDE1" s="30"/>
      <c r="RDF1" s="30"/>
      <c r="RDG1" s="30"/>
      <c r="RDH1" s="30"/>
      <c r="RDI1" s="30"/>
      <c r="RDJ1" s="30"/>
      <c r="RDK1" s="30"/>
      <c r="RDL1" s="30"/>
      <c r="RDM1" s="30"/>
      <c r="RDN1" s="30"/>
      <c r="RDO1" s="30"/>
      <c r="RDP1" s="30"/>
      <c r="RDQ1" s="30"/>
      <c r="RDR1" s="30"/>
      <c r="RDS1" s="30"/>
      <c r="RDT1" s="30"/>
      <c r="RDU1" s="30"/>
      <c r="RDV1" s="30"/>
      <c r="RDW1" s="30"/>
      <c r="RDX1" s="30"/>
      <c r="RDY1" s="30"/>
      <c r="RDZ1" s="30"/>
      <c r="REA1" s="30"/>
      <c r="REB1" s="30"/>
      <c r="REC1" s="30"/>
      <c r="RED1" s="30"/>
      <c r="REE1" s="30"/>
      <c r="REF1" s="30"/>
      <c r="REG1" s="30"/>
      <c r="REH1" s="30"/>
      <c r="REI1" s="30"/>
      <c r="REJ1" s="30"/>
      <c r="REK1" s="30"/>
      <c r="REL1" s="30"/>
      <c r="REM1" s="30"/>
      <c r="REN1" s="30"/>
      <c r="REO1" s="30"/>
      <c r="REP1" s="30"/>
      <c r="REQ1" s="30"/>
      <c r="RER1" s="30"/>
      <c r="RES1" s="30"/>
      <c r="RET1" s="30"/>
      <c r="REU1" s="30"/>
      <c r="REV1" s="30"/>
      <c r="REW1" s="30"/>
      <c r="REX1" s="30"/>
      <c r="REY1" s="30"/>
      <c r="REZ1" s="30"/>
      <c r="RFA1" s="30"/>
      <c r="RFB1" s="30"/>
      <c r="RFC1" s="30"/>
      <c r="RFD1" s="30"/>
      <c r="RFE1" s="30"/>
      <c r="RFF1" s="30"/>
      <c r="RFG1" s="30"/>
      <c r="RFH1" s="30"/>
      <c r="RFI1" s="30"/>
      <c r="RFJ1" s="30"/>
      <c r="RFK1" s="30"/>
      <c r="RFL1" s="30"/>
      <c r="RFM1" s="30"/>
      <c r="RFN1" s="30"/>
      <c r="RFO1" s="30"/>
      <c r="RFP1" s="30"/>
      <c r="RFQ1" s="30"/>
      <c r="RFR1" s="30"/>
      <c r="RFS1" s="30"/>
      <c r="RFT1" s="30"/>
      <c r="RFU1" s="30"/>
      <c r="RFV1" s="30"/>
      <c r="RFW1" s="30"/>
      <c r="RFX1" s="30"/>
      <c r="RFY1" s="30"/>
      <c r="RFZ1" s="30"/>
      <c r="RGA1" s="30"/>
      <c r="RGB1" s="30"/>
      <c r="RGC1" s="30"/>
      <c r="RGD1" s="30"/>
      <c r="RGE1" s="30"/>
      <c r="RGF1" s="30"/>
      <c r="RGG1" s="30"/>
      <c r="RGH1" s="30"/>
      <c r="RGI1" s="30"/>
      <c r="RGJ1" s="30"/>
      <c r="RGK1" s="30"/>
      <c r="RGL1" s="30"/>
      <c r="RGM1" s="30"/>
      <c r="RGN1" s="30"/>
      <c r="RGO1" s="30"/>
      <c r="RGP1" s="30"/>
      <c r="RGQ1" s="30"/>
      <c r="RGR1" s="30"/>
      <c r="RGS1" s="30"/>
      <c r="RGT1" s="30"/>
      <c r="RGU1" s="30"/>
      <c r="RGV1" s="30"/>
      <c r="RGW1" s="30"/>
      <c r="RGX1" s="30"/>
      <c r="RGY1" s="30"/>
      <c r="RGZ1" s="30"/>
      <c r="RHA1" s="30"/>
      <c r="RHB1" s="30"/>
      <c r="RHC1" s="30"/>
      <c r="RHD1" s="30"/>
      <c r="RHE1" s="30"/>
      <c r="RHF1" s="30"/>
      <c r="RHG1" s="30"/>
      <c r="RHH1" s="30"/>
      <c r="RHI1" s="30"/>
      <c r="RHJ1" s="30"/>
      <c r="RHK1" s="30"/>
      <c r="RHL1" s="30"/>
      <c r="RHM1" s="30"/>
      <c r="RHN1" s="30"/>
      <c r="RHO1" s="30"/>
      <c r="RHP1" s="30"/>
      <c r="RHQ1" s="30"/>
      <c r="RHR1" s="30"/>
      <c r="RHS1" s="30"/>
      <c r="RHT1" s="30"/>
      <c r="RHU1" s="30"/>
      <c r="RHV1" s="30"/>
      <c r="RHW1" s="30"/>
      <c r="RHX1" s="30"/>
      <c r="RHY1" s="30"/>
      <c r="RHZ1" s="30"/>
      <c r="RIA1" s="30"/>
      <c r="RIB1" s="30"/>
      <c r="RIC1" s="30"/>
      <c r="RID1" s="30"/>
      <c r="RIE1" s="30"/>
      <c r="RIF1" s="30"/>
      <c r="RIG1" s="30"/>
      <c r="RIH1" s="30"/>
      <c r="RII1" s="30"/>
      <c r="RIJ1" s="30"/>
      <c r="RIK1" s="30"/>
      <c r="RIL1" s="30"/>
      <c r="RIM1" s="30"/>
      <c r="RIN1" s="30"/>
      <c r="RIO1" s="30"/>
      <c r="RIP1" s="30"/>
      <c r="RIQ1" s="30"/>
      <c r="RIR1" s="30"/>
      <c r="RIS1" s="30"/>
      <c r="RIT1" s="30"/>
      <c r="RIU1" s="30"/>
      <c r="RIV1" s="30"/>
      <c r="RIW1" s="30"/>
      <c r="RIX1" s="30"/>
      <c r="RIY1" s="30"/>
      <c r="RIZ1" s="30"/>
      <c r="RJA1" s="30"/>
      <c r="RJB1" s="30"/>
      <c r="RJC1" s="30"/>
      <c r="RJD1" s="30"/>
      <c r="RJE1" s="30"/>
      <c r="RJF1" s="30"/>
      <c r="RJG1" s="30"/>
      <c r="RJH1" s="30"/>
      <c r="RJI1" s="30"/>
      <c r="RJJ1" s="30"/>
      <c r="RJK1" s="30"/>
      <c r="RJL1" s="30"/>
      <c r="RJM1" s="30"/>
      <c r="RJN1" s="30"/>
      <c r="RJO1" s="30"/>
      <c r="RJP1" s="30"/>
      <c r="RJQ1" s="30"/>
      <c r="RJR1" s="30"/>
      <c r="RJS1" s="30"/>
      <c r="RJT1" s="30"/>
      <c r="RJU1" s="30"/>
      <c r="RJV1" s="30"/>
      <c r="RJW1" s="30"/>
      <c r="RJX1" s="30"/>
      <c r="RJY1" s="30"/>
      <c r="RJZ1" s="30"/>
      <c r="RKA1" s="30"/>
      <c r="RKB1" s="30"/>
      <c r="RKC1" s="30"/>
      <c r="RKD1" s="30"/>
      <c r="RKE1" s="30"/>
      <c r="RKF1" s="30"/>
      <c r="RKG1" s="30"/>
      <c r="RKH1" s="30"/>
      <c r="RKI1" s="30"/>
      <c r="RKJ1" s="30"/>
      <c r="RKK1" s="30"/>
      <c r="RKL1" s="30"/>
      <c r="RKM1" s="30"/>
      <c r="RKN1" s="30"/>
      <c r="RKO1" s="30"/>
      <c r="RKP1" s="30"/>
      <c r="RKQ1" s="30"/>
      <c r="RKR1" s="30"/>
      <c r="RKS1" s="30"/>
      <c r="RKT1" s="30"/>
      <c r="RKU1" s="30"/>
      <c r="RKV1" s="30"/>
      <c r="RKW1" s="30"/>
      <c r="RKX1" s="30"/>
      <c r="RKY1" s="30"/>
      <c r="RKZ1" s="30"/>
      <c r="RLA1" s="30"/>
      <c r="RLB1" s="30"/>
      <c r="RLC1" s="30"/>
      <c r="RLD1" s="30"/>
      <c r="RLE1" s="30"/>
      <c r="RLF1" s="30"/>
      <c r="RLG1" s="30"/>
      <c r="RLH1" s="30"/>
      <c r="RLI1" s="30"/>
      <c r="RLJ1" s="30"/>
      <c r="RLK1" s="30"/>
      <c r="RLL1" s="30"/>
      <c r="RLM1" s="30"/>
      <c r="RLN1" s="30"/>
      <c r="RLO1" s="30"/>
      <c r="RLP1" s="30"/>
      <c r="RLQ1" s="30"/>
      <c r="RLR1" s="30"/>
      <c r="RLS1" s="30"/>
      <c r="RLT1" s="30"/>
      <c r="RLU1" s="30"/>
      <c r="RLV1" s="30"/>
      <c r="RLW1" s="30"/>
      <c r="RLX1" s="30"/>
      <c r="RLY1" s="30"/>
      <c r="RLZ1" s="30"/>
      <c r="RMA1" s="30"/>
      <c r="RMB1" s="30"/>
      <c r="RMC1" s="30"/>
      <c r="RMD1" s="30"/>
      <c r="RME1" s="30"/>
      <c r="RMF1" s="30"/>
      <c r="RMG1" s="30"/>
      <c r="RMH1" s="30"/>
      <c r="RMI1" s="30"/>
      <c r="RMJ1" s="30"/>
      <c r="RMK1" s="30"/>
      <c r="RML1" s="30"/>
      <c r="RMM1" s="30"/>
      <c r="RMN1" s="30"/>
      <c r="RMO1" s="30"/>
      <c r="RMP1" s="30"/>
      <c r="RMQ1" s="30"/>
      <c r="RMR1" s="30"/>
      <c r="RMS1" s="30"/>
      <c r="RMT1" s="30"/>
      <c r="RMU1" s="30"/>
      <c r="RMV1" s="30"/>
      <c r="RMW1" s="30"/>
      <c r="RMX1" s="30"/>
      <c r="RMY1" s="30"/>
      <c r="RMZ1" s="30"/>
      <c r="RNA1" s="30"/>
      <c r="RNB1" s="30"/>
      <c r="RNC1" s="30"/>
      <c r="RND1" s="30"/>
      <c r="RNE1" s="30"/>
      <c r="RNF1" s="30"/>
      <c r="RNG1" s="30"/>
      <c r="RNH1" s="30"/>
      <c r="RNI1" s="30"/>
      <c r="RNJ1" s="30"/>
      <c r="RNK1" s="30"/>
      <c r="RNL1" s="30"/>
      <c r="RNM1" s="30"/>
      <c r="RNN1" s="30"/>
      <c r="RNO1" s="30"/>
      <c r="RNP1" s="30"/>
      <c r="RNQ1" s="30"/>
      <c r="RNR1" s="30"/>
      <c r="RNS1" s="30"/>
      <c r="RNT1" s="30"/>
      <c r="RNU1" s="30"/>
      <c r="RNV1" s="30"/>
      <c r="RNW1" s="30"/>
      <c r="RNX1" s="30"/>
      <c r="RNY1" s="30"/>
      <c r="RNZ1" s="30"/>
      <c r="ROA1" s="30"/>
      <c r="ROB1" s="30"/>
      <c r="ROC1" s="30"/>
      <c r="ROD1" s="30"/>
      <c r="ROE1" s="30"/>
      <c r="ROF1" s="30"/>
      <c r="ROG1" s="30"/>
      <c r="ROH1" s="30"/>
      <c r="ROI1" s="30"/>
      <c r="ROJ1" s="30"/>
      <c r="ROK1" s="30"/>
      <c r="ROL1" s="30"/>
      <c r="ROM1" s="30"/>
      <c r="RON1" s="30"/>
      <c r="ROO1" s="30"/>
      <c r="ROP1" s="30"/>
      <c r="ROQ1" s="30"/>
      <c r="ROR1" s="30"/>
      <c r="ROS1" s="30"/>
      <c r="ROT1" s="30"/>
      <c r="ROU1" s="30"/>
      <c r="ROV1" s="30"/>
      <c r="ROW1" s="30"/>
      <c r="ROX1" s="30"/>
      <c r="ROY1" s="30"/>
      <c r="ROZ1" s="30"/>
      <c r="RPA1" s="30"/>
      <c r="RPB1" s="30"/>
      <c r="RPC1" s="30"/>
      <c r="RPD1" s="30"/>
      <c r="RPE1" s="30"/>
      <c r="RPF1" s="30"/>
      <c r="RPG1" s="30"/>
      <c r="RPH1" s="30"/>
      <c r="RPI1" s="30"/>
      <c r="RPJ1" s="30"/>
      <c r="RPK1" s="30"/>
      <c r="RPL1" s="30"/>
      <c r="RPM1" s="30"/>
      <c r="RPN1" s="30"/>
      <c r="RPO1" s="30"/>
      <c r="RPP1" s="30"/>
      <c r="RPQ1" s="30"/>
      <c r="RPR1" s="30"/>
      <c r="RPS1" s="30"/>
      <c r="RPT1" s="30"/>
      <c r="RPU1" s="30"/>
      <c r="RPV1" s="30"/>
      <c r="RPW1" s="30"/>
      <c r="RPX1" s="30"/>
      <c r="RPY1" s="30"/>
      <c r="RPZ1" s="30"/>
      <c r="RQA1" s="30"/>
      <c r="RQB1" s="30"/>
      <c r="RQC1" s="30"/>
      <c r="RQD1" s="30"/>
      <c r="RQE1" s="30"/>
      <c r="RQF1" s="30"/>
      <c r="RQG1" s="30"/>
      <c r="RQH1" s="30"/>
      <c r="RQI1" s="30"/>
      <c r="RQJ1" s="30"/>
      <c r="RQK1" s="30"/>
      <c r="RQL1" s="30"/>
      <c r="RQM1" s="30"/>
      <c r="RQN1" s="30"/>
      <c r="RQO1" s="30"/>
      <c r="RQP1" s="30"/>
      <c r="RQQ1" s="30"/>
      <c r="RQR1" s="30"/>
      <c r="RQS1" s="30"/>
      <c r="RQT1" s="30"/>
      <c r="RQU1" s="30"/>
      <c r="RQV1" s="30"/>
      <c r="RQW1" s="30"/>
      <c r="RQX1" s="30"/>
      <c r="RQY1" s="30"/>
      <c r="RQZ1" s="30"/>
      <c r="RRA1" s="30"/>
      <c r="RRB1" s="30"/>
      <c r="RRC1" s="30"/>
      <c r="RRD1" s="30"/>
      <c r="RRE1" s="30"/>
      <c r="RRF1" s="30"/>
      <c r="RRG1" s="30"/>
      <c r="RRH1" s="30"/>
      <c r="RRI1" s="30"/>
      <c r="RRJ1" s="30"/>
      <c r="RRK1" s="30"/>
      <c r="RRL1" s="30"/>
      <c r="RRM1" s="30"/>
      <c r="RRN1" s="30"/>
      <c r="RRO1" s="30"/>
      <c r="RRP1" s="30"/>
      <c r="RRQ1" s="30"/>
      <c r="RRR1" s="30"/>
      <c r="RRS1" s="30"/>
      <c r="RRT1" s="30"/>
      <c r="RRU1" s="30"/>
      <c r="RRV1" s="30"/>
      <c r="RRW1" s="30"/>
      <c r="RRX1" s="30"/>
      <c r="RRY1" s="30"/>
      <c r="RRZ1" s="30"/>
      <c r="RSA1" s="30"/>
      <c r="RSB1" s="30"/>
      <c r="RSC1" s="30"/>
      <c r="RSD1" s="30"/>
      <c r="RSE1" s="30"/>
      <c r="RSF1" s="30"/>
      <c r="RSG1" s="30"/>
      <c r="RSH1" s="30"/>
      <c r="RSI1" s="30"/>
      <c r="RSJ1" s="30"/>
      <c r="RSK1" s="30"/>
      <c r="RSL1" s="30"/>
      <c r="RSM1" s="30"/>
      <c r="RSN1" s="30"/>
      <c r="RSO1" s="30"/>
      <c r="RSP1" s="30"/>
      <c r="RSQ1" s="30"/>
      <c r="RSR1" s="30"/>
      <c r="RSS1" s="30"/>
      <c r="RST1" s="30"/>
      <c r="RSU1" s="30"/>
      <c r="RSV1" s="30"/>
      <c r="RSW1" s="30"/>
      <c r="RSX1" s="30"/>
      <c r="RSY1" s="30"/>
      <c r="RSZ1" s="30"/>
      <c r="RTA1" s="30"/>
      <c r="RTB1" s="30"/>
      <c r="RTC1" s="30"/>
      <c r="RTD1" s="30"/>
      <c r="RTE1" s="30"/>
      <c r="RTF1" s="30"/>
      <c r="RTG1" s="30"/>
      <c r="RTH1" s="30"/>
      <c r="RTI1" s="30"/>
      <c r="RTJ1" s="30"/>
      <c r="RTK1" s="30"/>
      <c r="RTL1" s="30"/>
      <c r="RTM1" s="30"/>
      <c r="RTN1" s="30"/>
      <c r="RTO1" s="30"/>
      <c r="RTP1" s="30"/>
      <c r="RTQ1" s="30"/>
      <c r="RTR1" s="30"/>
      <c r="RTS1" s="30"/>
      <c r="RTT1" s="30"/>
      <c r="RTU1" s="30"/>
      <c r="RTV1" s="30"/>
      <c r="RTW1" s="30"/>
      <c r="RTX1" s="30"/>
      <c r="RTY1" s="30"/>
      <c r="RTZ1" s="30"/>
      <c r="RUA1" s="30"/>
      <c r="RUB1" s="30"/>
      <c r="RUC1" s="30"/>
      <c r="RUD1" s="30"/>
      <c r="RUE1" s="30"/>
      <c r="RUF1" s="30"/>
      <c r="RUG1" s="30"/>
      <c r="RUH1" s="30"/>
      <c r="RUI1" s="30"/>
      <c r="RUJ1" s="30"/>
      <c r="RUK1" s="30"/>
      <c r="RUL1" s="30"/>
      <c r="RUM1" s="30"/>
      <c r="RUN1" s="30"/>
      <c r="RUO1" s="30"/>
      <c r="RUP1" s="30"/>
      <c r="RUQ1" s="30"/>
      <c r="RUR1" s="30"/>
      <c r="RUS1" s="30"/>
      <c r="RUT1" s="30"/>
      <c r="RUU1" s="30"/>
      <c r="RUV1" s="30"/>
      <c r="RUW1" s="30"/>
      <c r="RUX1" s="30"/>
      <c r="RUY1" s="30"/>
      <c r="RUZ1" s="30"/>
      <c r="RVA1" s="30"/>
      <c r="RVB1" s="30"/>
      <c r="RVC1" s="30"/>
      <c r="RVD1" s="30"/>
      <c r="RVE1" s="30"/>
      <c r="RVF1" s="30"/>
      <c r="RVG1" s="30"/>
      <c r="RVH1" s="30"/>
      <c r="RVI1" s="30"/>
      <c r="RVJ1" s="30"/>
      <c r="RVK1" s="30"/>
      <c r="RVL1" s="30"/>
      <c r="RVM1" s="30"/>
      <c r="RVN1" s="30"/>
      <c r="RVO1" s="30"/>
      <c r="RVP1" s="30"/>
      <c r="RVQ1" s="30"/>
      <c r="RVR1" s="30"/>
      <c r="RVS1" s="30"/>
      <c r="RVT1" s="30"/>
      <c r="RVU1" s="30"/>
      <c r="RVV1" s="30"/>
      <c r="RVW1" s="30"/>
      <c r="RVX1" s="30"/>
      <c r="RVY1" s="30"/>
      <c r="RVZ1" s="30"/>
      <c r="RWA1" s="30"/>
      <c r="RWB1" s="30"/>
      <c r="RWC1" s="30"/>
      <c r="RWD1" s="30"/>
      <c r="RWE1" s="30"/>
      <c r="RWF1" s="30"/>
      <c r="RWG1" s="30"/>
      <c r="RWH1" s="30"/>
      <c r="RWI1" s="30"/>
      <c r="RWJ1" s="30"/>
      <c r="RWK1" s="30"/>
      <c r="RWL1" s="30"/>
      <c r="RWM1" s="30"/>
      <c r="RWN1" s="30"/>
      <c r="RWO1" s="30"/>
      <c r="RWP1" s="30"/>
      <c r="RWQ1" s="30"/>
      <c r="RWR1" s="30"/>
      <c r="RWS1" s="30"/>
      <c r="RWT1" s="30"/>
      <c r="RWU1" s="30"/>
      <c r="RWV1" s="30"/>
      <c r="RWW1" s="30"/>
      <c r="RWX1" s="30"/>
      <c r="RWY1" s="30"/>
      <c r="RWZ1" s="30"/>
      <c r="RXA1" s="30"/>
      <c r="RXB1" s="30"/>
      <c r="RXC1" s="30"/>
      <c r="RXD1" s="30"/>
      <c r="RXE1" s="30"/>
      <c r="RXF1" s="30"/>
      <c r="RXG1" s="30"/>
      <c r="RXH1" s="30"/>
      <c r="RXI1" s="30"/>
      <c r="RXJ1" s="30"/>
      <c r="RXK1" s="30"/>
      <c r="RXL1" s="30"/>
      <c r="RXM1" s="30"/>
      <c r="RXN1" s="30"/>
      <c r="RXO1" s="30"/>
      <c r="RXP1" s="30"/>
      <c r="RXQ1" s="30"/>
      <c r="RXR1" s="30"/>
      <c r="RXS1" s="30"/>
      <c r="RXT1" s="30"/>
      <c r="RXU1" s="30"/>
      <c r="RXV1" s="30"/>
      <c r="RXW1" s="30"/>
      <c r="RXX1" s="30"/>
      <c r="RXY1" s="30"/>
      <c r="RXZ1" s="30"/>
      <c r="RYA1" s="30"/>
      <c r="RYB1" s="30"/>
      <c r="RYC1" s="30"/>
      <c r="RYD1" s="30"/>
      <c r="RYE1" s="30"/>
      <c r="RYF1" s="30"/>
      <c r="RYG1" s="30"/>
      <c r="RYH1" s="30"/>
      <c r="RYI1" s="30"/>
      <c r="RYJ1" s="30"/>
      <c r="RYK1" s="30"/>
      <c r="RYL1" s="30"/>
      <c r="RYM1" s="30"/>
      <c r="RYN1" s="30"/>
      <c r="RYO1" s="30"/>
      <c r="RYP1" s="30"/>
      <c r="RYQ1" s="30"/>
      <c r="RYR1" s="30"/>
      <c r="RYS1" s="30"/>
      <c r="RYT1" s="30"/>
      <c r="RYU1" s="30"/>
      <c r="RYV1" s="30"/>
      <c r="RYW1" s="30"/>
      <c r="RYX1" s="30"/>
      <c r="RYY1" s="30"/>
      <c r="RYZ1" s="30"/>
      <c r="RZA1" s="30"/>
      <c r="RZB1" s="30"/>
      <c r="RZC1" s="30"/>
      <c r="RZD1" s="30"/>
      <c r="RZE1" s="30"/>
      <c r="RZF1" s="30"/>
      <c r="RZG1" s="30"/>
      <c r="RZH1" s="30"/>
      <c r="RZI1" s="30"/>
      <c r="RZJ1" s="30"/>
      <c r="RZK1" s="30"/>
      <c r="RZL1" s="30"/>
      <c r="RZM1" s="30"/>
      <c r="RZN1" s="30"/>
      <c r="RZO1" s="30"/>
      <c r="RZP1" s="30"/>
      <c r="RZQ1" s="30"/>
      <c r="RZR1" s="30"/>
      <c r="RZS1" s="30"/>
      <c r="RZT1" s="30"/>
      <c r="RZU1" s="30"/>
      <c r="RZV1" s="30"/>
      <c r="RZW1" s="30"/>
      <c r="RZX1" s="30"/>
      <c r="RZY1" s="30"/>
      <c r="RZZ1" s="30"/>
      <c r="SAA1" s="30"/>
      <c r="SAB1" s="30"/>
      <c r="SAC1" s="30"/>
      <c r="SAD1" s="30"/>
      <c r="SAE1" s="30"/>
      <c r="SAF1" s="30"/>
      <c r="SAG1" s="30"/>
      <c r="SAH1" s="30"/>
      <c r="SAI1" s="30"/>
      <c r="SAJ1" s="30"/>
      <c r="SAK1" s="30"/>
      <c r="SAL1" s="30"/>
      <c r="SAM1" s="30"/>
      <c r="SAN1" s="30"/>
      <c r="SAO1" s="30"/>
      <c r="SAP1" s="30"/>
      <c r="SAQ1" s="30"/>
      <c r="SAR1" s="30"/>
      <c r="SAS1" s="30"/>
      <c r="SAT1" s="30"/>
      <c r="SAU1" s="30"/>
      <c r="SAV1" s="30"/>
      <c r="SAW1" s="30"/>
      <c r="SAX1" s="30"/>
      <c r="SAY1" s="30"/>
      <c r="SAZ1" s="30"/>
      <c r="SBA1" s="30"/>
      <c r="SBB1" s="30"/>
      <c r="SBC1" s="30"/>
      <c r="SBD1" s="30"/>
      <c r="SBE1" s="30"/>
      <c r="SBF1" s="30"/>
      <c r="SBG1" s="30"/>
      <c r="SBH1" s="30"/>
      <c r="SBI1" s="30"/>
      <c r="SBJ1" s="30"/>
      <c r="SBK1" s="30"/>
      <c r="SBL1" s="30"/>
      <c r="SBM1" s="30"/>
      <c r="SBN1" s="30"/>
      <c r="SBO1" s="30"/>
      <c r="SBP1" s="30"/>
      <c r="SBQ1" s="30"/>
      <c r="SBR1" s="30"/>
      <c r="SBS1" s="30"/>
      <c r="SBT1" s="30"/>
      <c r="SBU1" s="30"/>
      <c r="SBV1" s="30"/>
      <c r="SBW1" s="30"/>
      <c r="SBX1" s="30"/>
      <c r="SBY1" s="30"/>
      <c r="SBZ1" s="30"/>
      <c r="SCA1" s="30"/>
      <c r="SCB1" s="30"/>
      <c r="SCC1" s="30"/>
      <c r="SCD1" s="30"/>
      <c r="SCE1" s="30"/>
      <c r="SCF1" s="30"/>
      <c r="SCG1" s="30"/>
      <c r="SCH1" s="30"/>
      <c r="SCI1" s="30"/>
      <c r="SCJ1" s="30"/>
      <c r="SCK1" s="30"/>
      <c r="SCL1" s="30"/>
      <c r="SCM1" s="30"/>
      <c r="SCN1" s="30"/>
      <c r="SCO1" s="30"/>
      <c r="SCP1" s="30"/>
      <c r="SCQ1" s="30"/>
      <c r="SCR1" s="30"/>
      <c r="SCS1" s="30"/>
      <c r="SCT1" s="30"/>
      <c r="SCU1" s="30"/>
      <c r="SCV1" s="30"/>
      <c r="SCW1" s="30"/>
      <c r="SCX1" s="30"/>
      <c r="SCY1" s="30"/>
      <c r="SCZ1" s="30"/>
      <c r="SDA1" s="30"/>
      <c r="SDB1" s="30"/>
      <c r="SDC1" s="30"/>
      <c r="SDD1" s="30"/>
      <c r="SDE1" s="30"/>
      <c r="SDF1" s="30"/>
      <c r="SDG1" s="30"/>
      <c r="SDH1" s="30"/>
      <c r="SDI1" s="30"/>
      <c r="SDJ1" s="30"/>
      <c r="SDK1" s="30"/>
      <c r="SDL1" s="30"/>
      <c r="SDM1" s="30"/>
      <c r="SDN1" s="30"/>
      <c r="SDO1" s="30"/>
      <c r="SDP1" s="30"/>
      <c r="SDQ1" s="30"/>
      <c r="SDR1" s="30"/>
      <c r="SDS1" s="30"/>
      <c r="SDT1" s="30"/>
      <c r="SDU1" s="30"/>
      <c r="SDV1" s="30"/>
      <c r="SDW1" s="30"/>
      <c r="SDX1" s="30"/>
      <c r="SDY1" s="30"/>
      <c r="SDZ1" s="30"/>
      <c r="SEA1" s="30"/>
      <c r="SEB1" s="30"/>
      <c r="SEC1" s="30"/>
      <c r="SED1" s="30"/>
      <c r="SEE1" s="30"/>
      <c r="SEF1" s="30"/>
      <c r="SEG1" s="30"/>
      <c r="SEH1" s="30"/>
      <c r="SEI1" s="30"/>
      <c r="SEJ1" s="30"/>
      <c r="SEK1" s="30"/>
      <c r="SEL1" s="30"/>
      <c r="SEM1" s="30"/>
      <c r="SEN1" s="30"/>
      <c r="SEO1" s="30"/>
      <c r="SEP1" s="30"/>
      <c r="SEQ1" s="30"/>
      <c r="SER1" s="30"/>
      <c r="SES1" s="30"/>
      <c r="SET1" s="30"/>
      <c r="SEU1" s="30"/>
      <c r="SEV1" s="30"/>
      <c r="SEW1" s="30"/>
      <c r="SEX1" s="30"/>
      <c r="SEY1" s="30"/>
      <c r="SEZ1" s="30"/>
      <c r="SFA1" s="30"/>
      <c r="SFB1" s="30"/>
      <c r="SFC1" s="30"/>
      <c r="SFD1" s="30"/>
      <c r="SFE1" s="30"/>
      <c r="SFF1" s="30"/>
      <c r="SFG1" s="30"/>
      <c r="SFH1" s="30"/>
      <c r="SFI1" s="30"/>
      <c r="SFJ1" s="30"/>
      <c r="SFK1" s="30"/>
      <c r="SFL1" s="30"/>
      <c r="SFM1" s="30"/>
      <c r="SFN1" s="30"/>
      <c r="SFO1" s="30"/>
      <c r="SFP1" s="30"/>
      <c r="SFQ1" s="30"/>
      <c r="SFR1" s="30"/>
      <c r="SFS1" s="30"/>
      <c r="SFT1" s="30"/>
      <c r="SFU1" s="30"/>
      <c r="SFV1" s="30"/>
      <c r="SFW1" s="30"/>
      <c r="SFX1" s="30"/>
      <c r="SFY1" s="30"/>
      <c r="SFZ1" s="30"/>
      <c r="SGA1" s="30"/>
      <c r="SGB1" s="30"/>
      <c r="SGC1" s="30"/>
      <c r="SGD1" s="30"/>
      <c r="SGE1" s="30"/>
      <c r="SGF1" s="30"/>
      <c r="SGG1" s="30"/>
      <c r="SGH1" s="30"/>
      <c r="SGI1" s="30"/>
      <c r="SGJ1" s="30"/>
      <c r="SGK1" s="30"/>
      <c r="SGL1" s="30"/>
      <c r="SGM1" s="30"/>
      <c r="SGN1" s="30"/>
      <c r="SGO1" s="30"/>
      <c r="SGP1" s="30"/>
      <c r="SGQ1" s="30"/>
      <c r="SGR1" s="30"/>
      <c r="SGS1" s="30"/>
      <c r="SGT1" s="30"/>
      <c r="SGU1" s="30"/>
      <c r="SGV1" s="30"/>
      <c r="SGW1" s="30"/>
      <c r="SGX1" s="30"/>
      <c r="SGY1" s="30"/>
      <c r="SGZ1" s="30"/>
      <c r="SHA1" s="30"/>
      <c r="SHB1" s="30"/>
      <c r="SHC1" s="30"/>
      <c r="SHD1" s="30"/>
      <c r="SHE1" s="30"/>
      <c r="SHF1" s="30"/>
      <c r="SHG1" s="30"/>
      <c r="SHH1" s="30"/>
      <c r="SHI1" s="30"/>
      <c r="SHJ1" s="30"/>
      <c r="SHK1" s="30"/>
      <c r="SHL1" s="30"/>
      <c r="SHM1" s="30"/>
      <c r="SHN1" s="30"/>
      <c r="SHO1" s="30"/>
      <c r="SHP1" s="30"/>
      <c r="SHQ1" s="30"/>
      <c r="SHR1" s="30"/>
      <c r="SHS1" s="30"/>
      <c r="SHT1" s="30"/>
      <c r="SHU1" s="30"/>
      <c r="SHV1" s="30"/>
      <c r="SHW1" s="30"/>
      <c r="SHX1" s="30"/>
      <c r="SHY1" s="30"/>
      <c r="SHZ1" s="30"/>
      <c r="SIA1" s="30"/>
      <c r="SIB1" s="30"/>
      <c r="SIC1" s="30"/>
      <c r="SID1" s="30"/>
      <c r="SIE1" s="30"/>
      <c r="SIF1" s="30"/>
      <c r="SIG1" s="30"/>
      <c r="SIH1" s="30"/>
      <c r="SII1" s="30"/>
      <c r="SIJ1" s="30"/>
      <c r="SIK1" s="30"/>
      <c r="SIL1" s="30"/>
      <c r="SIM1" s="30"/>
      <c r="SIN1" s="30"/>
      <c r="SIO1" s="30"/>
      <c r="SIP1" s="30"/>
      <c r="SIQ1" s="30"/>
      <c r="SIR1" s="30"/>
      <c r="SIS1" s="30"/>
      <c r="SIT1" s="30"/>
      <c r="SIU1" s="30"/>
      <c r="SIV1" s="30"/>
      <c r="SIW1" s="30"/>
      <c r="SIX1" s="30"/>
      <c r="SIY1" s="30"/>
      <c r="SIZ1" s="30"/>
      <c r="SJA1" s="30"/>
      <c r="SJB1" s="30"/>
      <c r="SJC1" s="30"/>
      <c r="SJD1" s="30"/>
      <c r="SJE1" s="30"/>
      <c r="SJF1" s="30"/>
      <c r="SJG1" s="30"/>
      <c r="SJH1" s="30"/>
      <c r="SJI1" s="30"/>
      <c r="SJJ1" s="30"/>
      <c r="SJK1" s="30"/>
      <c r="SJL1" s="30"/>
      <c r="SJM1" s="30"/>
      <c r="SJN1" s="30"/>
      <c r="SJO1" s="30"/>
      <c r="SJP1" s="30"/>
      <c r="SJQ1" s="30"/>
      <c r="SJR1" s="30"/>
      <c r="SJS1" s="30"/>
      <c r="SJT1" s="30"/>
      <c r="SJU1" s="30"/>
      <c r="SJV1" s="30"/>
      <c r="SJW1" s="30"/>
      <c r="SJX1" s="30"/>
      <c r="SJY1" s="30"/>
      <c r="SJZ1" s="30"/>
      <c r="SKA1" s="30"/>
      <c r="SKB1" s="30"/>
      <c r="SKC1" s="30"/>
      <c r="SKD1" s="30"/>
      <c r="SKE1" s="30"/>
      <c r="SKF1" s="30"/>
      <c r="SKG1" s="30"/>
      <c r="SKH1" s="30"/>
      <c r="SKI1" s="30"/>
      <c r="SKJ1" s="30"/>
      <c r="SKK1" s="30"/>
      <c r="SKL1" s="30"/>
      <c r="SKM1" s="30"/>
      <c r="SKN1" s="30"/>
      <c r="SKO1" s="30"/>
      <c r="SKP1" s="30"/>
      <c r="SKQ1" s="30"/>
      <c r="SKR1" s="30"/>
      <c r="SKS1" s="30"/>
      <c r="SKT1" s="30"/>
      <c r="SKU1" s="30"/>
      <c r="SKV1" s="30"/>
      <c r="SKW1" s="30"/>
      <c r="SKX1" s="30"/>
      <c r="SKY1" s="30"/>
      <c r="SKZ1" s="30"/>
      <c r="SLA1" s="30"/>
      <c r="SLB1" s="30"/>
      <c r="SLC1" s="30"/>
      <c r="SLD1" s="30"/>
      <c r="SLE1" s="30"/>
      <c r="SLF1" s="30"/>
      <c r="SLG1" s="30"/>
      <c r="SLH1" s="30"/>
      <c r="SLI1" s="30"/>
      <c r="SLJ1" s="30"/>
      <c r="SLK1" s="30"/>
      <c r="SLL1" s="30"/>
      <c r="SLM1" s="30"/>
      <c r="SLN1" s="30"/>
      <c r="SLO1" s="30"/>
      <c r="SLP1" s="30"/>
      <c r="SLQ1" s="30"/>
      <c r="SLR1" s="30"/>
      <c r="SLS1" s="30"/>
      <c r="SLT1" s="30"/>
      <c r="SLU1" s="30"/>
      <c r="SLV1" s="30"/>
      <c r="SLW1" s="30"/>
      <c r="SLX1" s="30"/>
      <c r="SLY1" s="30"/>
      <c r="SLZ1" s="30"/>
      <c r="SMA1" s="30"/>
      <c r="SMB1" s="30"/>
      <c r="SMC1" s="30"/>
      <c r="SMD1" s="30"/>
      <c r="SME1" s="30"/>
      <c r="SMF1" s="30"/>
      <c r="SMG1" s="30"/>
      <c r="SMH1" s="30"/>
      <c r="SMI1" s="30"/>
      <c r="SMJ1" s="30"/>
      <c r="SMK1" s="30"/>
      <c r="SML1" s="30"/>
      <c r="SMM1" s="30"/>
      <c r="SMN1" s="30"/>
      <c r="SMO1" s="30"/>
      <c r="SMP1" s="30"/>
      <c r="SMQ1" s="30"/>
      <c r="SMR1" s="30"/>
      <c r="SMS1" s="30"/>
      <c r="SMT1" s="30"/>
      <c r="SMU1" s="30"/>
      <c r="SMV1" s="30"/>
      <c r="SMW1" s="30"/>
      <c r="SMX1" s="30"/>
      <c r="SMY1" s="30"/>
      <c r="SMZ1" s="30"/>
      <c r="SNA1" s="30"/>
      <c r="SNB1" s="30"/>
      <c r="SNC1" s="30"/>
      <c r="SND1" s="30"/>
      <c r="SNE1" s="30"/>
      <c r="SNF1" s="30"/>
      <c r="SNG1" s="30"/>
      <c r="SNH1" s="30"/>
      <c r="SNI1" s="30"/>
      <c r="SNJ1" s="30"/>
      <c r="SNK1" s="30"/>
      <c r="SNL1" s="30"/>
      <c r="SNM1" s="30"/>
      <c r="SNN1" s="30"/>
      <c r="SNO1" s="30"/>
      <c r="SNP1" s="30"/>
      <c r="SNQ1" s="30"/>
      <c r="SNR1" s="30"/>
      <c r="SNS1" s="30"/>
      <c r="SNT1" s="30"/>
      <c r="SNU1" s="30"/>
      <c r="SNV1" s="30"/>
      <c r="SNW1" s="30"/>
      <c r="SNX1" s="30"/>
      <c r="SNY1" s="30"/>
      <c r="SNZ1" s="30"/>
      <c r="SOA1" s="30"/>
      <c r="SOB1" s="30"/>
      <c r="SOC1" s="30"/>
      <c r="SOD1" s="30"/>
      <c r="SOE1" s="30"/>
      <c r="SOF1" s="30"/>
      <c r="SOG1" s="30"/>
      <c r="SOH1" s="30"/>
      <c r="SOI1" s="30"/>
      <c r="SOJ1" s="30"/>
      <c r="SOK1" s="30"/>
      <c r="SOL1" s="30"/>
      <c r="SOM1" s="30"/>
      <c r="SON1" s="30"/>
      <c r="SOO1" s="30"/>
      <c r="SOP1" s="30"/>
      <c r="SOQ1" s="30"/>
      <c r="SOR1" s="30"/>
      <c r="SOS1" s="30"/>
      <c r="SOT1" s="30"/>
      <c r="SOU1" s="30"/>
      <c r="SOV1" s="30"/>
      <c r="SOW1" s="30"/>
      <c r="SOX1" s="30"/>
      <c r="SOY1" s="30"/>
      <c r="SOZ1" s="30"/>
      <c r="SPA1" s="30"/>
      <c r="SPB1" s="30"/>
      <c r="SPC1" s="30"/>
      <c r="SPD1" s="30"/>
      <c r="SPE1" s="30"/>
      <c r="SPF1" s="30"/>
      <c r="SPG1" s="30"/>
      <c r="SPH1" s="30"/>
      <c r="SPI1" s="30"/>
      <c r="SPJ1" s="30"/>
      <c r="SPK1" s="30"/>
      <c r="SPL1" s="30"/>
      <c r="SPM1" s="30"/>
      <c r="SPN1" s="30"/>
      <c r="SPO1" s="30"/>
      <c r="SPP1" s="30"/>
      <c r="SPQ1" s="30"/>
      <c r="SPR1" s="30"/>
      <c r="SPS1" s="30"/>
      <c r="SPT1" s="30"/>
      <c r="SPU1" s="30"/>
      <c r="SPV1" s="30"/>
      <c r="SPW1" s="30"/>
      <c r="SPX1" s="30"/>
      <c r="SPY1" s="30"/>
      <c r="SPZ1" s="30"/>
      <c r="SQA1" s="30"/>
      <c r="SQB1" s="30"/>
      <c r="SQC1" s="30"/>
      <c r="SQD1" s="30"/>
      <c r="SQE1" s="30"/>
      <c r="SQF1" s="30"/>
      <c r="SQG1" s="30"/>
      <c r="SQH1" s="30"/>
      <c r="SQI1" s="30"/>
      <c r="SQJ1" s="30"/>
      <c r="SQK1" s="30"/>
      <c r="SQL1" s="30"/>
      <c r="SQM1" s="30"/>
      <c r="SQN1" s="30"/>
      <c r="SQO1" s="30"/>
      <c r="SQP1" s="30"/>
      <c r="SQQ1" s="30"/>
      <c r="SQR1" s="30"/>
      <c r="SQS1" s="30"/>
      <c r="SQT1" s="30"/>
      <c r="SQU1" s="30"/>
      <c r="SQV1" s="30"/>
      <c r="SQW1" s="30"/>
      <c r="SQX1" s="30"/>
      <c r="SQY1" s="30"/>
      <c r="SQZ1" s="30"/>
      <c r="SRA1" s="30"/>
      <c r="SRB1" s="30"/>
      <c r="SRC1" s="30"/>
      <c r="SRD1" s="30"/>
      <c r="SRE1" s="30"/>
      <c r="SRF1" s="30"/>
      <c r="SRG1" s="30"/>
      <c r="SRH1" s="30"/>
      <c r="SRI1" s="30"/>
      <c r="SRJ1" s="30"/>
      <c r="SRK1" s="30"/>
      <c r="SRL1" s="30"/>
      <c r="SRM1" s="30"/>
      <c r="SRN1" s="30"/>
      <c r="SRO1" s="30"/>
      <c r="SRP1" s="30"/>
      <c r="SRQ1" s="30"/>
      <c r="SRR1" s="30"/>
      <c r="SRS1" s="30"/>
      <c r="SRT1" s="30"/>
      <c r="SRU1" s="30"/>
      <c r="SRV1" s="30"/>
      <c r="SRW1" s="30"/>
      <c r="SRX1" s="30"/>
      <c r="SRY1" s="30"/>
      <c r="SRZ1" s="30"/>
      <c r="SSA1" s="30"/>
      <c r="SSB1" s="30"/>
      <c r="SSC1" s="30"/>
      <c r="SSD1" s="30"/>
      <c r="SSE1" s="30"/>
      <c r="SSF1" s="30"/>
      <c r="SSG1" s="30"/>
      <c r="SSH1" s="30"/>
      <c r="SSI1" s="30"/>
      <c r="SSJ1" s="30"/>
      <c r="SSK1" s="30"/>
      <c r="SSL1" s="30"/>
      <c r="SSM1" s="30"/>
      <c r="SSN1" s="30"/>
      <c r="SSO1" s="30"/>
      <c r="SSP1" s="30"/>
      <c r="SSQ1" s="30"/>
      <c r="SSR1" s="30"/>
      <c r="SSS1" s="30"/>
      <c r="SST1" s="30"/>
      <c r="SSU1" s="30"/>
      <c r="SSV1" s="30"/>
      <c r="SSW1" s="30"/>
      <c r="SSX1" s="30"/>
      <c r="SSY1" s="30"/>
      <c r="SSZ1" s="30"/>
      <c r="STA1" s="30"/>
      <c r="STB1" s="30"/>
      <c r="STC1" s="30"/>
      <c r="STD1" s="30"/>
      <c r="STE1" s="30"/>
      <c r="STF1" s="30"/>
      <c r="STG1" s="30"/>
      <c r="STH1" s="30"/>
      <c r="STI1" s="30"/>
      <c r="STJ1" s="30"/>
      <c r="STK1" s="30"/>
      <c r="STL1" s="30"/>
      <c r="STM1" s="30"/>
      <c r="STN1" s="30"/>
      <c r="STO1" s="30"/>
      <c r="STP1" s="30"/>
      <c r="STQ1" s="30"/>
      <c r="STR1" s="30"/>
      <c r="STS1" s="30"/>
      <c r="STT1" s="30"/>
      <c r="STU1" s="30"/>
      <c r="STV1" s="30"/>
      <c r="STW1" s="30"/>
      <c r="STX1" s="30"/>
      <c r="STY1" s="30"/>
      <c r="STZ1" s="30"/>
      <c r="SUA1" s="30"/>
      <c r="SUB1" s="30"/>
      <c r="SUC1" s="30"/>
      <c r="SUD1" s="30"/>
      <c r="SUE1" s="30"/>
      <c r="SUF1" s="30"/>
      <c r="SUG1" s="30"/>
      <c r="SUH1" s="30"/>
      <c r="SUI1" s="30"/>
      <c r="SUJ1" s="30"/>
      <c r="SUK1" s="30"/>
      <c r="SUL1" s="30"/>
      <c r="SUM1" s="30"/>
      <c r="SUN1" s="30"/>
      <c r="SUO1" s="30"/>
      <c r="SUP1" s="30"/>
      <c r="SUQ1" s="30"/>
      <c r="SUR1" s="30"/>
      <c r="SUS1" s="30"/>
      <c r="SUT1" s="30"/>
      <c r="SUU1" s="30"/>
      <c r="SUV1" s="30"/>
      <c r="SUW1" s="30"/>
      <c r="SUX1" s="30"/>
      <c r="SUY1" s="30"/>
      <c r="SUZ1" s="30"/>
      <c r="SVA1" s="30"/>
      <c r="SVB1" s="30"/>
      <c r="SVC1" s="30"/>
      <c r="SVD1" s="30"/>
      <c r="SVE1" s="30"/>
      <c r="SVF1" s="30"/>
      <c r="SVG1" s="30"/>
      <c r="SVH1" s="30"/>
      <c r="SVI1" s="30"/>
      <c r="SVJ1" s="30"/>
      <c r="SVK1" s="30"/>
      <c r="SVL1" s="30"/>
      <c r="SVM1" s="30"/>
      <c r="SVN1" s="30"/>
      <c r="SVO1" s="30"/>
      <c r="SVP1" s="30"/>
      <c r="SVQ1" s="30"/>
      <c r="SVR1" s="30"/>
      <c r="SVS1" s="30"/>
      <c r="SVT1" s="30"/>
      <c r="SVU1" s="30"/>
      <c r="SVV1" s="30"/>
      <c r="SVW1" s="30"/>
      <c r="SVX1" s="30"/>
      <c r="SVY1" s="30"/>
      <c r="SVZ1" s="30"/>
      <c r="SWA1" s="30"/>
      <c r="SWB1" s="30"/>
      <c r="SWC1" s="30"/>
      <c r="SWD1" s="30"/>
      <c r="SWE1" s="30"/>
      <c r="SWF1" s="30"/>
      <c r="SWG1" s="30"/>
      <c r="SWH1" s="30"/>
      <c r="SWI1" s="30"/>
      <c r="SWJ1" s="30"/>
      <c r="SWK1" s="30"/>
      <c r="SWL1" s="30"/>
      <c r="SWM1" s="30"/>
      <c r="SWN1" s="30"/>
      <c r="SWO1" s="30"/>
      <c r="SWP1" s="30"/>
      <c r="SWQ1" s="30"/>
      <c r="SWR1" s="30"/>
      <c r="SWS1" s="30"/>
      <c r="SWT1" s="30"/>
      <c r="SWU1" s="30"/>
      <c r="SWV1" s="30"/>
      <c r="SWW1" s="30"/>
      <c r="SWX1" s="30"/>
      <c r="SWY1" s="30"/>
      <c r="SWZ1" s="30"/>
      <c r="SXA1" s="30"/>
      <c r="SXB1" s="30"/>
      <c r="SXC1" s="30"/>
      <c r="SXD1" s="30"/>
      <c r="SXE1" s="30"/>
      <c r="SXF1" s="30"/>
      <c r="SXG1" s="30"/>
      <c r="SXH1" s="30"/>
      <c r="SXI1" s="30"/>
      <c r="SXJ1" s="30"/>
      <c r="SXK1" s="30"/>
      <c r="SXL1" s="30"/>
      <c r="SXM1" s="30"/>
      <c r="SXN1" s="30"/>
      <c r="SXO1" s="30"/>
      <c r="SXP1" s="30"/>
      <c r="SXQ1" s="30"/>
      <c r="SXR1" s="30"/>
      <c r="SXS1" s="30"/>
      <c r="SXT1" s="30"/>
      <c r="SXU1" s="30"/>
      <c r="SXV1" s="30"/>
      <c r="SXW1" s="30"/>
      <c r="SXX1" s="30"/>
      <c r="SXY1" s="30"/>
      <c r="SXZ1" s="30"/>
      <c r="SYA1" s="30"/>
      <c r="SYB1" s="30"/>
      <c r="SYC1" s="30"/>
      <c r="SYD1" s="30"/>
      <c r="SYE1" s="30"/>
      <c r="SYF1" s="30"/>
      <c r="SYG1" s="30"/>
      <c r="SYH1" s="30"/>
      <c r="SYI1" s="30"/>
      <c r="SYJ1" s="30"/>
      <c r="SYK1" s="30"/>
      <c r="SYL1" s="30"/>
      <c r="SYM1" s="30"/>
      <c r="SYN1" s="30"/>
      <c r="SYO1" s="30"/>
      <c r="SYP1" s="30"/>
      <c r="SYQ1" s="30"/>
      <c r="SYR1" s="30"/>
      <c r="SYS1" s="30"/>
      <c r="SYT1" s="30"/>
      <c r="SYU1" s="30"/>
      <c r="SYV1" s="30"/>
      <c r="SYW1" s="30"/>
      <c r="SYX1" s="30"/>
      <c r="SYY1" s="30"/>
      <c r="SYZ1" s="30"/>
      <c r="SZA1" s="30"/>
      <c r="SZB1" s="30"/>
      <c r="SZC1" s="30"/>
      <c r="SZD1" s="30"/>
      <c r="SZE1" s="30"/>
      <c r="SZF1" s="30"/>
      <c r="SZG1" s="30"/>
      <c r="SZH1" s="30"/>
      <c r="SZI1" s="30"/>
      <c r="SZJ1" s="30"/>
      <c r="SZK1" s="30"/>
      <c r="SZL1" s="30"/>
      <c r="SZM1" s="30"/>
      <c r="SZN1" s="30"/>
      <c r="SZO1" s="30"/>
      <c r="SZP1" s="30"/>
      <c r="SZQ1" s="30"/>
      <c r="SZR1" s="30"/>
      <c r="SZS1" s="30"/>
      <c r="SZT1" s="30"/>
      <c r="SZU1" s="30"/>
      <c r="SZV1" s="30"/>
      <c r="SZW1" s="30"/>
      <c r="SZX1" s="30"/>
      <c r="SZY1" s="30"/>
      <c r="SZZ1" s="30"/>
      <c r="TAA1" s="30"/>
      <c r="TAB1" s="30"/>
      <c r="TAC1" s="30"/>
      <c r="TAD1" s="30"/>
      <c r="TAE1" s="30"/>
      <c r="TAF1" s="30"/>
      <c r="TAG1" s="30"/>
      <c r="TAH1" s="30"/>
      <c r="TAI1" s="30"/>
      <c r="TAJ1" s="30"/>
      <c r="TAK1" s="30"/>
      <c r="TAL1" s="30"/>
      <c r="TAM1" s="30"/>
      <c r="TAN1" s="30"/>
      <c r="TAO1" s="30"/>
      <c r="TAP1" s="30"/>
      <c r="TAQ1" s="30"/>
      <c r="TAR1" s="30"/>
      <c r="TAS1" s="30"/>
      <c r="TAT1" s="30"/>
      <c r="TAU1" s="30"/>
      <c r="TAV1" s="30"/>
      <c r="TAW1" s="30"/>
      <c r="TAX1" s="30"/>
      <c r="TAY1" s="30"/>
      <c r="TAZ1" s="30"/>
      <c r="TBA1" s="30"/>
      <c r="TBB1" s="30"/>
      <c r="TBC1" s="30"/>
      <c r="TBD1" s="30"/>
      <c r="TBE1" s="30"/>
      <c r="TBF1" s="30"/>
      <c r="TBG1" s="30"/>
      <c r="TBH1" s="30"/>
      <c r="TBI1" s="30"/>
      <c r="TBJ1" s="30"/>
      <c r="TBK1" s="30"/>
      <c r="TBL1" s="30"/>
      <c r="TBM1" s="30"/>
      <c r="TBN1" s="30"/>
      <c r="TBO1" s="30"/>
      <c r="TBP1" s="30"/>
      <c r="TBQ1" s="30"/>
      <c r="TBR1" s="30"/>
      <c r="TBS1" s="30"/>
      <c r="TBT1" s="30"/>
      <c r="TBU1" s="30"/>
      <c r="TBV1" s="30"/>
      <c r="TBW1" s="30"/>
      <c r="TBX1" s="30"/>
      <c r="TBY1" s="30"/>
      <c r="TBZ1" s="30"/>
      <c r="TCA1" s="30"/>
      <c r="TCB1" s="30"/>
      <c r="TCC1" s="30"/>
      <c r="TCD1" s="30"/>
      <c r="TCE1" s="30"/>
      <c r="TCF1" s="30"/>
      <c r="TCG1" s="30"/>
      <c r="TCH1" s="30"/>
      <c r="TCI1" s="30"/>
      <c r="TCJ1" s="30"/>
      <c r="TCK1" s="30"/>
      <c r="TCL1" s="30"/>
      <c r="TCM1" s="30"/>
      <c r="TCN1" s="30"/>
      <c r="TCO1" s="30"/>
      <c r="TCP1" s="30"/>
      <c r="TCQ1" s="30"/>
      <c r="TCR1" s="30"/>
      <c r="TCS1" s="30"/>
      <c r="TCT1" s="30"/>
      <c r="TCU1" s="30"/>
      <c r="TCV1" s="30"/>
      <c r="TCW1" s="30"/>
      <c r="TCX1" s="30"/>
      <c r="TCY1" s="30"/>
      <c r="TCZ1" s="30"/>
      <c r="TDA1" s="30"/>
      <c r="TDB1" s="30"/>
      <c r="TDC1" s="30"/>
      <c r="TDD1" s="30"/>
      <c r="TDE1" s="30"/>
      <c r="TDF1" s="30"/>
      <c r="TDG1" s="30"/>
      <c r="TDH1" s="30"/>
      <c r="TDI1" s="30"/>
      <c r="TDJ1" s="30"/>
      <c r="TDK1" s="30"/>
      <c r="TDL1" s="30"/>
      <c r="TDM1" s="30"/>
      <c r="TDN1" s="30"/>
      <c r="TDO1" s="30"/>
      <c r="TDP1" s="30"/>
      <c r="TDQ1" s="30"/>
      <c r="TDR1" s="30"/>
      <c r="TDS1" s="30"/>
      <c r="TDT1" s="30"/>
      <c r="TDU1" s="30"/>
      <c r="TDV1" s="30"/>
      <c r="TDW1" s="30"/>
      <c r="TDX1" s="30"/>
      <c r="TDY1" s="30"/>
      <c r="TDZ1" s="30"/>
      <c r="TEA1" s="30"/>
      <c r="TEB1" s="30"/>
      <c r="TEC1" s="30"/>
      <c r="TED1" s="30"/>
      <c r="TEE1" s="30"/>
      <c r="TEF1" s="30"/>
      <c r="TEG1" s="30"/>
      <c r="TEH1" s="30"/>
      <c r="TEI1" s="30"/>
      <c r="TEJ1" s="30"/>
      <c r="TEK1" s="30"/>
      <c r="TEL1" s="30"/>
      <c r="TEM1" s="30"/>
      <c r="TEN1" s="30"/>
      <c r="TEO1" s="30"/>
      <c r="TEP1" s="30"/>
      <c r="TEQ1" s="30"/>
      <c r="TER1" s="30"/>
      <c r="TES1" s="30"/>
      <c r="TET1" s="30"/>
      <c r="TEU1" s="30"/>
      <c r="TEV1" s="30"/>
      <c r="TEW1" s="30"/>
      <c r="TEX1" s="30"/>
      <c r="TEY1" s="30"/>
      <c r="TEZ1" s="30"/>
      <c r="TFA1" s="30"/>
      <c r="TFB1" s="30"/>
      <c r="TFC1" s="30"/>
      <c r="TFD1" s="30"/>
      <c r="TFE1" s="30"/>
      <c r="TFF1" s="30"/>
      <c r="TFG1" s="30"/>
      <c r="TFH1" s="30"/>
      <c r="TFI1" s="30"/>
      <c r="TFJ1" s="30"/>
      <c r="TFK1" s="30"/>
      <c r="TFL1" s="30"/>
      <c r="TFM1" s="30"/>
      <c r="TFN1" s="30"/>
      <c r="TFO1" s="30"/>
      <c r="TFP1" s="30"/>
      <c r="TFQ1" s="30"/>
      <c r="TFR1" s="30"/>
      <c r="TFS1" s="30"/>
      <c r="TFT1" s="30"/>
      <c r="TFU1" s="30"/>
      <c r="TFV1" s="30"/>
      <c r="TFW1" s="30"/>
      <c r="TFX1" s="30"/>
      <c r="TFY1" s="30"/>
      <c r="TFZ1" s="30"/>
      <c r="TGA1" s="30"/>
      <c r="TGB1" s="30"/>
      <c r="TGC1" s="30"/>
      <c r="TGD1" s="30"/>
      <c r="TGE1" s="30"/>
      <c r="TGF1" s="30"/>
      <c r="TGG1" s="30"/>
      <c r="TGH1" s="30"/>
      <c r="TGI1" s="30"/>
      <c r="TGJ1" s="30"/>
      <c r="TGK1" s="30"/>
      <c r="TGL1" s="30"/>
      <c r="TGM1" s="30"/>
      <c r="TGN1" s="30"/>
      <c r="TGO1" s="30"/>
      <c r="TGP1" s="30"/>
      <c r="TGQ1" s="30"/>
      <c r="TGR1" s="30"/>
      <c r="TGS1" s="30"/>
      <c r="TGT1" s="30"/>
      <c r="TGU1" s="30"/>
      <c r="TGV1" s="30"/>
      <c r="TGW1" s="30"/>
      <c r="TGX1" s="30"/>
      <c r="TGY1" s="30"/>
      <c r="TGZ1" s="30"/>
      <c r="THA1" s="30"/>
      <c r="THB1" s="30"/>
      <c r="THC1" s="30"/>
      <c r="THD1" s="30"/>
      <c r="THE1" s="30"/>
      <c r="THF1" s="30"/>
      <c r="THG1" s="30"/>
      <c r="THH1" s="30"/>
      <c r="THI1" s="30"/>
      <c r="THJ1" s="30"/>
      <c r="THK1" s="30"/>
      <c r="THL1" s="30"/>
      <c r="THM1" s="30"/>
      <c r="THN1" s="30"/>
      <c r="THO1" s="30"/>
      <c r="THP1" s="30"/>
      <c r="THQ1" s="30"/>
      <c r="THR1" s="30"/>
      <c r="THS1" s="30"/>
      <c r="THT1" s="30"/>
      <c r="THU1" s="30"/>
      <c r="THV1" s="30"/>
      <c r="THW1" s="30"/>
      <c r="THX1" s="30"/>
      <c r="THY1" s="30"/>
      <c r="THZ1" s="30"/>
      <c r="TIA1" s="30"/>
      <c r="TIB1" s="30"/>
      <c r="TIC1" s="30"/>
      <c r="TID1" s="30"/>
      <c r="TIE1" s="30"/>
      <c r="TIF1" s="30"/>
      <c r="TIG1" s="30"/>
      <c r="TIH1" s="30"/>
      <c r="TII1" s="30"/>
      <c r="TIJ1" s="30"/>
      <c r="TIK1" s="30"/>
      <c r="TIL1" s="30"/>
      <c r="TIM1" s="30"/>
      <c r="TIN1" s="30"/>
      <c r="TIO1" s="30"/>
      <c r="TIP1" s="30"/>
      <c r="TIQ1" s="30"/>
      <c r="TIR1" s="30"/>
      <c r="TIS1" s="30"/>
      <c r="TIT1" s="30"/>
      <c r="TIU1" s="30"/>
      <c r="TIV1" s="30"/>
      <c r="TIW1" s="30"/>
      <c r="TIX1" s="30"/>
      <c r="TIY1" s="30"/>
      <c r="TIZ1" s="30"/>
      <c r="TJA1" s="30"/>
      <c r="TJB1" s="30"/>
      <c r="TJC1" s="30"/>
      <c r="TJD1" s="30"/>
      <c r="TJE1" s="30"/>
      <c r="TJF1" s="30"/>
      <c r="TJG1" s="30"/>
      <c r="TJH1" s="30"/>
      <c r="TJI1" s="30"/>
      <c r="TJJ1" s="30"/>
      <c r="TJK1" s="30"/>
      <c r="TJL1" s="30"/>
      <c r="TJM1" s="30"/>
      <c r="TJN1" s="30"/>
      <c r="TJO1" s="30"/>
      <c r="TJP1" s="30"/>
      <c r="TJQ1" s="30"/>
      <c r="TJR1" s="30"/>
      <c r="TJS1" s="30"/>
      <c r="TJT1" s="30"/>
      <c r="TJU1" s="30"/>
      <c r="TJV1" s="30"/>
      <c r="TJW1" s="30"/>
      <c r="TJX1" s="30"/>
      <c r="TJY1" s="30"/>
      <c r="TJZ1" s="30"/>
      <c r="TKA1" s="30"/>
      <c r="TKB1" s="30"/>
      <c r="TKC1" s="30"/>
      <c r="TKD1" s="30"/>
      <c r="TKE1" s="30"/>
      <c r="TKF1" s="30"/>
      <c r="TKG1" s="30"/>
      <c r="TKH1" s="30"/>
      <c r="TKI1" s="30"/>
      <c r="TKJ1" s="30"/>
      <c r="TKK1" s="30"/>
      <c r="TKL1" s="30"/>
      <c r="TKM1" s="30"/>
      <c r="TKN1" s="30"/>
      <c r="TKO1" s="30"/>
      <c r="TKP1" s="30"/>
      <c r="TKQ1" s="30"/>
      <c r="TKR1" s="30"/>
      <c r="TKS1" s="30"/>
      <c r="TKT1" s="30"/>
      <c r="TKU1" s="30"/>
      <c r="TKV1" s="30"/>
      <c r="TKW1" s="30"/>
      <c r="TKX1" s="30"/>
      <c r="TKY1" s="30"/>
      <c r="TKZ1" s="30"/>
      <c r="TLA1" s="30"/>
      <c r="TLB1" s="30"/>
      <c r="TLC1" s="30"/>
      <c r="TLD1" s="30"/>
      <c r="TLE1" s="30"/>
      <c r="TLF1" s="30"/>
      <c r="TLG1" s="30"/>
      <c r="TLH1" s="30"/>
      <c r="TLI1" s="30"/>
      <c r="TLJ1" s="30"/>
      <c r="TLK1" s="30"/>
      <c r="TLL1" s="30"/>
      <c r="TLM1" s="30"/>
      <c r="TLN1" s="30"/>
      <c r="TLO1" s="30"/>
      <c r="TLP1" s="30"/>
      <c r="TLQ1" s="30"/>
      <c r="TLR1" s="30"/>
      <c r="TLS1" s="30"/>
      <c r="TLT1" s="30"/>
      <c r="TLU1" s="30"/>
      <c r="TLV1" s="30"/>
      <c r="TLW1" s="30"/>
      <c r="TLX1" s="30"/>
      <c r="TLY1" s="30"/>
      <c r="TLZ1" s="30"/>
      <c r="TMA1" s="30"/>
      <c r="TMB1" s="30"/>
      <c r="TMC1" s="30"/>
      <c r="TMD1" s="30"/>
      <c r="TME1" s="30"/>
      <c r="TMF1" s="30"/>
      <c r="TMG1" s="30"/>
      <c r="TMH1" s="30"/>
      <c r="TMI1" s="30"/>
      <c r="TMJ1" s="30"/>
      <c r="TMK1" s="30"/>
      <c r="TML1" s="30"/>
      <c r="TMM1" s="30"/>
      <c r="TMN1" s="30"/>
      <c r="TMO1" s="30"/>
      <c r="TMP1" s="30"/>
      <c r="TMQ1" s="30"/>
      <c r="TMR1" s="30"/>
      <c r="TMS1" s="30"/>
      <c r="TMT1" s="30"/>
      <c r="TMU1" s="30"/>
      <c r="TMV1" s="30"/>
      <c r="TMW1" s="30"/>
      <c r="TMX1" s="30"/>
      <c r="TMY1" s="30"/>
      <c r="TMZ1" s="30"/>
      <c r="TNA1" s="30"/>
      <c r="TNB1" s="30"/>
      <c r="TNC1" s="30"/>
      <c r="TND1" s="30"/>
      <c r="TNE1" s="30"/>
      <c r="TNF1" s="30"/>
      <c r="TNG1" s="30"/>
      <c r="TNH1" s="30"/>
      <c r="TNI1" s="30"/>
      <c r="TNJ1" s="30"/>
      <c r="TNK1" s="30"/>
      <c r="TNL1" s="30"/>
      <c r="TNM1" s="30"/>
      <c r="TNN1" s="30"/>
      <c r="TNO1" s="30"/>
      <c r="TNP1" s="30"/>
      <c r="TNQ1" s="30"/>
      <c r="TNR1" s="30"/>
      <c r="TNS1" s="30"/>
      <c r="TNT1" s="30"/>
      <c r="TNU1" s="30"/>
      <c r="TNV1" s="30"/>
      <c r="TNW1" s="30"/>
      <c r="TNX1" s="30"/>
      <c r="TNY1" s="30"/>
      <c r="TNZ1" s="30"/>
      <c r="TOA1" s="30"/>
      <c r="TOB1" s="30"/>
      <c r="TOC1" s="30"/>
      <c r="TOD1" s="30"/>
      <c r="TOE1" s="30"/>
      <c r="TOF1" s="30"/>
      <c r="TOG1" s="30"/>
      <c r="TOH1" s="30"/>
      <c r="TOI1" s="30"/>
      <c r="TOJ1" s="30"/>
      <c r="TOK1" s="30"/>
      <c r="TOL1" s="30"/>
      <c r="TOM1" s="30"/>
      <c r="TON1" s="30"/>
      <c r="TOO1" s="30"/>
      <c r="TOP1" s="30"/>
      <c r="TOQ1" s="30"/>
      <c r="TOR1" s="30"/>
      <c r="TOS1" s="30"/>
      <c r="TOT1" s="30"/>
      <c r="TOU1" s="30"/>
      <c r="TOV1" s="30"/>
      <c r="TOW1" s="30"/>
      <c r="TOX1" s="30"/>
      <c r="TOY1" s="30"/>
      <c r="TOZ1" s="30"/>
      <c r="TPA1" s="30"/>
      <c r="TPB1" s="30"/>
      <c r="TPC1" s="30"/>
      <c r="TPD1" s="30"/>
      <c r="TPE1" s="30"/>
      <c r="TPF1" s="30"/>
      <c r="TPG1" s="30"/>
      <c r="TPH1" s="30"/>
      <c r="TPI1" s="30"/>
      <c r="TPJ1" s="30"/>
      <c r="TPK1" s="30"/>
      <c r="TPL1" s="30"/>
      <c r="TPM1" s="30"/>
      <c r="TPN1" s="30"/>
      <c r="TPO1" s="30"/>
      <c r="TPP1" s="30"/>
      <c r="TPQ1" s="30"/>
      <c r="TPR1" s="30"/>
      <c r="TPS1" s="30"/>
      <c r="TPT1" s="30"/>
      <c r="TPU1" s="30"/>
      <c r="TPV1" s="30"/>
      <c r="TPW1" s="30"/>
      <c r="TPX1" s="30"/>
      <c r="TPY1" s="30"/>
      <c r="TPZ1" s="30"/>
      <c r="TQA1" s="30"/>
      <c r="TQB1" s="30"/>
      <c r="TQC1" s="30"/>
      <c r="TQD1" s="30"/>
      <c r="TQE1" s="30"/>
      <c r="TQF1" s="30"/>
      <c r="TQG1" s="30"/>
      <c r="TQH1" s="30"/>
      <c r="TQI1" s="30"/>
      <c r="TQJ1" s="30"/>
      <c r="TQK1" s="30"/>
      <c r="TQL1" s="30"/>
      <c r="TQM1" s="30"/>
      <c r="TQN1" s="30"/>
      <c r="TQO1" s="30"/>
      <c r="TQP1" s="30"/>
      <c r="TQQ1" s="30"/>
      <c r="TQR1" s="30"/>
      <c r="TQS1" s="30"/>
      <c r="TQT1" s="30"/>
      <c r="TQU1" s="30"/>
      <c r="TQV1" s="30"/>
      <c r="TQW1" s="30"/>
      <c r="TQX1" s="30"/>
      <c r="TQY1" s="30"/>
      <c r="TQZ1" s="30"/>
      <c r="TRA1" s="30"/>
      <c r="TRB1" s="30"/>
      <c r="TRC1" s="30"/>
      <c r="TRD1" s="30"/>
      <c r="TRE1" s="30"/>
      <c r="TRF1" s="30"/>
      <c r="TRG1" s="30"/>
      <c r="TRH1" s="30"/>
      <c r="TRI1" s="30"/>
      <c r="TRJ1" s="30"/>
      <c r="TRK1" s="30"/>
      <c r="TRL1" s="30"/>
      <c r="TRM1" s="30"/>
      <c r="TRN1" s="30"/>
      <c r="TRO1" s="30"/>
      <c r="TRP1" s="30"/>
      <c r="TRQ1" s="30"/>
      <c r="TRR1" s="30"/>
      <c r="TRS1" s="30"/>
      <c r="TRT1" s="30"/>
      <c r="TRU1" s="30"/>
      <c r="TRV1" s="30"/>
      <c r="TRW1" s="30"/>
      <c r="TRX1" s="30"/>
      <c r="TRY1" s="30"/>
      <c r="TRZ1" s="30"/>
      <c r="TSA1" s="30"/>
      <c r="TSB1" s="30"/>
      <c r="TSC1" s="30"/>
      <c r="TSD1" s="30"/>
      <c r="TSE1" s="30"/>
      <c r="TSF1" s="30"/>
      <c r="TSG1" s="30"/>
      <c r="TSH1" s="30"/>
      <c r="TSI1" s="30"/>
      <c r="TSJ1" s="30"/>
      <c r="TSK1" s="30"/>
      <c r="TSL1" s="30"/>
      <c r="TSM1" s="30"/>
      <c r="TSN1" s="30"/>
      <c r="TSO1" s="30"/>
      <c r="TSP1" s="30"/>
      <c r="TSQ1" s="30"/>
      <c r="TSR1" s="30"/>
      <c r="TSS1" s="30"/>
      <c r="TST1" s="30"/>
      <c r="TSU1" s="30"/>
      <c r="TSV1" s="30"/>
      <c r="TSW1" s="30"/>
      <c r="TSX1" s="30"/>
      <c r="TSY1" s="30"/>
      <c r="TSZ1" s="30"/>
      <c r="TTA1" s="30"/>
      <c r="TTB1" s="30"/>
      <c r="TTC1" s="30"/>
      <c r="TTD1" s="30"/>
      <c r="TTE1" s="30"/>
      <c r="TTF1" s="30"/>
      <c r="TTG1" s="30"/>
      <c r="TTH1" s="30"/>
      <c r="TTI1" s="30"/>
      <c r="TTJ1" s="30"/>
      <c r="TTK1" s="30"/>
      <c r="TTL1" s="30"/>
      <c r="TTM1" s="30"/>
      <c r="TTN1" s="30"/>
      <c r="TTO1" s="30"/>
      <c r="TTP1" s="30"/>
      <c r="TTQ1" s="30"/>
      <c r="TTR1" s="30"/>
      <c r="TTS1" s="30"/>
      <c r="TTT1" s="30"/>
      <c r="TTU1" s="30"/>
      <c r="TTV1" s="30"/>
      <c r="TTW1" s="30"/>
      <c r="TTX1" s="30"/>
      <c r="TTY1" s="30"/>
      <c r="TTZ1" s="30"/>
      <c r="TUA1" s="30"/>
      <c r="TUB1" s="30"/>
      <c r="TUC1" s="30"/>
      <c r="TUD1" s="30"/>
      <c r="TUE1" s="30"/>
      <c r="TUF1" s="30"/>
      <c r="TUG1" s="30"/>
      <c r="TUH1" s="30"/>
      <c r="TUI1" s="30"/>
      <c r="TUJ1" s="30"/>
      <c r="TUK1" s="30"/>
      <c r="TUL1" s="30"/>
      <c r="TUM1" s="30"/>
      <c r="TUN1" s="30"/>
      <c r="TUO1" s="30"/>
      <c r="TUP1" s="30"/>
      <c r="TUQ1" s="30"/>
      <c r="TUR1" s="30"/>
      <c r="TUS1" s="30"/>
      <c r="TUT1" s="30"/>
      <c r="TUU1" s="30"/>
      <c r="TUV1" s="30"/>
      <c r="TUW1" s="30"/>
      <c r="TUX1" s="30"/>
      <c r="TUY1" s="30"/>
      <c r="TUZ1" s="30"/>
      <c r="TVA1" s="30"/>
      <c r="TVB1" s="30"/>
      <c r="TVC1" s="30"/>
      <c r="TVD1" s="30"/>
      <c r="TVE1" s="30"/>
      <c r="TVF1" s="30"/>
      <c r="TVG1" s="30"/>
      <c r="TVH1" s="30"/>
      <c r="TVI1" s="30"/>
      <c r="TVJ1" s="30"/>
      <c r="TVK1" s="30"/>
      <c r="TVL1" s="30"/>
      <c r="TVM1" s="30"/>
      <c r="TVN1" s="30"/>
      <c r="TVO1" s="30"/>
      <c r="TVP1" s="30"/>
      <c r="TVQ1" s="30"/>
      <c r="TVR1" s="30"/>
      <c r="TVS1" s="30"/>
      <c r="TVT1" s="30"/>
      <c r="TVU1" s="30"/>
      <c r="TVV1" s="30"/>
      <c r="TVW1" s="30"/>
      <c r="TVX1" s="30"/>
      <c r="TVY1" s="30"/>
      <c r="TVZ1" s="30"/>
      <c r="TWA1" s="30"/>
      <c r="TWB1" s="30"/>
      <c r="TWC1" s="30"/>
      <c r="TWD1" s="30"/>
      <c r="TWE1" s="30"/>
      <c r="TWF1" s="30"/>
      <c r="TWG1" s="30"/>
      <c r="TWH1" s="30"/>
      <c r="TWI1" s="30"/>
      <c r="TWJ1" s="30"/>
      <c r="TWK1" s="30"/>
      <c r="TWL1" s="30"/>
      <c r="TWM1" s="30"/>
      <c r="TWN1" s="30"/>
      <c r="TWO1" s="30"/>
      <c r="TWP1" s="30"/>
      <c r="TWQ1" s="30"/>
      <c r="TWR1" s="30"/>
      <c r="TWS1" s="30"/>
      <c r="TWT1" s="30"/>
      <c r="TWU1" s="30"/>
      <c r="TWV1" s="30"/>
      <c r="TWW1" s="30"/>
      <c r="TWX1" s="30"/>
      <c r="TWY1" s="30"/>
      <c r="TWZ1" s="30"/>
      <c r="TXA1" s="30"/>
      <c r="TXB1" s="30"/>
      <c r="TXC1" s="30"/>
      <c r="TXD1" s="30"/>
      <c r="TXE1" s="30"/>
      <c r="TXF1" s="30"/>
      <c r="TXG1" s="30"/>
      <c r="TXH1" s="30"/>
      <c r="TXI1" s="30"/>
      <c r="TXJ1" s="30"/>
      <c r="TXK1" s="30"/>
      <c r="TXL1" s="30"/>
      <c r="TXM1" s="30"/>
      <c r="TXN1" s="30"/>
      <c r="TXO1" s="30"/>
      <c r="TXP1" s="30"/>
      <c r="TXQ1" s="30"/>
      <c r="TXR1" s="30"/>
      <c r="TXS1" s="30"/>
      <c r="TXT1" s="30"/>
      <c r="TXU1" s="30"/>
      <c r="TXV1" s="30"/>
      <c r="TXW1" s="30"/>
      <c r="TXX1" s="30"/>
      <c r="TXY1" s="30"/>
      <c r="TXZ1" s="30"/>
      <c r="TYA1" s="30"/>
      <c r="TYB1" s="30"/>
      <c r="TYC1" s="30"/>
      <c r="TYD1" s="30"/>
      <c r="TYE1" s="30"/>
      <c r="TYF1" s="30"/>
      <c r="TYG1" s="30"/>
      <c r="TYH1" s="30"/>
      <c r="TYI1" s="30"/>
      <c r="TYJ1" s="30"/>
      <c r="TYK1" s="30"/>
      <c r="TYL1" s="30"/>
      <c r="TYM1" s="30"/>
      <c r="TYN1" s="30"/>
      <c r="TYO1" s="30"/>
      <c r="TYP1" s="30"/>
      <c r="TYQ1" s="30"/>
      <c r="TYR1" s="30"/>
      <c r="TYS1" s="30"/>
      <c r="TYT1" s="30"/>
      <c r="TYU1" s="30"/>
      <c r="TYV1" s="30"/>
      <c r="TYW1" s="30"/>
      <c r="TYX1" s="30"/>
      <c r="TYY1" s="30"/>
      <c r="TYZ1" s="30"/>
      <c r="TZA1" s="30"/>
      <c r="TZB1" s="30"/>
      <c r="TZC1" s="30"/>
      <c r="TZD1" s="30"/>
      <c r="TZE1" s="30"/>
      <c r="TZF1" s="30"/>
      <c r="TZG1" s="30"/>
      <c r="TZH1" s="30"/>
      <c r="TZI1" s="30"/>
      <c r="TZJ1" s="30"/>
      <c r="TZK1" s="30"/>
      <c r="TZL1" s="30"/>
      <c r="TZM1" s="30"/>
      <c r="TZN1" s="30"/>
      <c r="TZO1" s="30"/>
      <c r="TZP1" s="30"/>
      <c r="TZQ1" s="30"/>
      <c r="TZR1" s="30"/>
      <c r="TZS1" s="30"/>
      <c r="TZT1" s="30"/>
      <c r="TZU1" s="30"/>
      <c r="TZV1" s="30"/>
      <c r="TZW1" s="30"/>
      <c r="TZX1" s="30"/>
      <c r="TZY1" s="30"/>
      <c r="TZZ1" s="30"/>
      <c r="UAA1" s="30"/>
      <c r="UAB1" s="30"/>
      <c r="UAC1" s="30"/>
      <c r="UAD1" s="30"/>
      <c r="UAE1" s="30"/>
      <c r="UAF1" s="30"/>
      <c r="UAG1" s="30"/>
      <c r="UAH1" s="30"/>
      <c r="UAI1" s="30"/>
      <c r="UAJ1" s="30"/>
      <c r="UAK1" s="30"/>
      <c r="UAL1" s="30"/>
      <c r="UAM1" s="30"/>
      <c r="UAN1" s="30"/>
      <c r="UAO1" s="30"/>
      <c r="UAP1" s="30"/>
      <c r="UAQ1" s="30"/>
      <c r="UAR1" s="30"/>
      <c r="UAS1" s="30"/>
      <c r="UAT1" s="30"/>
      <c r="UAU1" s="30"/>
      <c r="UAV1" s="30"/>
      <c r="UAW1" s="30"/>
      <c r="UAX1" s="30"/>
      <c r="UAY1" s="30"/>
      <c r="UAZ1" s="30"/>
      <c r="UBA1" s="30"/>
      <c r="UBB1" s="30"/>
      <c r="UBC1" s="30"/>
      <c r="UBD1" s="30"/>
      <c r="UBE1" s="30"/>
      <c r="UBF1" s="30"/>
      <c r="UBG1" s="30"/>
      <c r="UBH1" s="30"/>
      <c r="UBI1" s="30"/>
      <c r="UBJ1" s="30"/>
      <c r="UBK1" s="30"/>
      <c r="UBL1" s="30"/>
      <c r="UBM1" s="30"/>
      <c r="UBN1" s="30"/>
      <c r="UBO1" s="30"/>
      <c r="UBP1" s="30"/>
      <c r="UBQ1" s="30"/>
      <c r="UBR1" s="30"/>
      <c r="UBS1" s="30"/>
      <c r="UBT1" s="30"/>
      <c r="UBU1" s="30"/>
      <c r="UBV1" s="30"/>
      <c r="UBW1" s="30"/>
      <c r="UBX1" s="30"/>
      <c r="UBY1" s="30"/>
      <c r="UBZ1" s="30"/>
      <c r="UCA1" s="30"/>
      <c r="UCB1" s="30"/>
      <c r="UCC1" s="30"/>
      <c r="UCD1" s="30"/>
      <c r="UCE1" s="30"/>
      <c r="UCF1" s="30"/>
      <c r="UCG1" s="30"/>
      <c r="UCH1" s="30"/>
      <c r="UCI1" s="30"/>
      <c r="UCJ1" s="30"/>
      <c r="UCK1" s="30"/>
      <c r="UCL1" s="30"/>
      <c r="UCM1" s="30"/>
      <c r="UCN1" s="30"/>
      <c r="UCO1" s="30"/>
      <c r="UCP1" s="30"/>
      <c r="UCQ1" s="30"/>
      <c r="UCR1" s="30"/>
      <c r="UCS1" s="30"/>
      <c r="UCT1" s="30"/>
      <c r="UCU1" s="30"/>
      <c r="UCV1" s="30"/>
      <c r="UCW1" s="30"/>
      <c r="UCX1" s="30"/>
      <c r="UCY1" s="30"/>
      <c r="UCZ1" s="30"/>
      <c r="UDA1" s="30"/>
      <c r="UDB1" s="30"/>
      <c r="UDC1" s="30"/>
      <c r="UDD1" s="30"/>
      <c r="UDE1" s="30"/>
      <c r="UDF1" s="30"/>
      <c r="UDG1" s="30"/>
      <c r="UDH1" s="30"/>
      <c r="UDI1" s="30"/>
      <c r="UDJ1" s="30"/>
      <c r="UDK1" s="30"/>
      <c r="UDL1" s="30"/>
      <c r="UDM1" s="30"/>
      <c r="UDN1" s="30"/>
      <c r="UDO1" s="30"/>
      <c r="UDP1" s="30"/>
      <c r="UDQ1" s="30"/>
      <c r="UDR1" s="30"/>
      <c r="UDS1" s="30"/>
      <c r="UDT1" s="30"/>
      <c r="UDU1" s="30"/>
      <c r="UDV1" s="30"/>
      <c r="UDW1" s="30"/>
      <c r="UDX1" s="30"/>
      <c r="UDY1" s="30"/>
      <c r="UDZ1" s="30"/>
      <c r="UEA1" s="30"/>
      <c r="UEB1" s="30"/>
      <c r="UEC1" s="30"/>
      <c r="UED1" s="30"/>
      <c r="UEE1" s="30"/>
      <c r="UEF1" s="30"/>
      <c r="UEG1" s="30"/>
      <c r="UEH1" s="30"/>
      <c r="UEI1" s="30"/>
      <c r="UEJ1" s="30"/>
      <c r="UEK1" s="30"/>
      <c r="UEL1" s="30"/>
      <c r="UEM1" s="30"/>
      <c r="UEN1" s="30"/>
      <c r="UEO1" s="30"/>
      <c r="UEP1" s="30"/>
      <c r="UEQ1" s="30"/>
      <c r="UER1" s="30"/>
      <c r="UES1" s="30"/>
      <c r="UET1" s="30"/>
      <c r="UEU1" s="30"/>
      <c r="UEV1" s="30"/>
      <c r="UEW1" s="30"/>
      <c r="UEX1" s="30"/>
      <c r="UEY1" s="30"/>
      <c r="UEZ1" s="30"/>
      <c r="UFA1" s="30"/>
      <c r="UFB1" s="30"/>
      <c r="UFC1" s="30"/>
      <c r="UFD1" s="30"/>
      <c r="UFE1" s="30"/>
      <c r="UFF1" s="30"/>
      <c r="UFG1" s="30"/>
      <c r="UFH1" s="30"/>
      <c r="UFI1" s="30"/>
      <c r="UFJ1" s="30"/>
      <c r="UFK1" s="30"/>
      <c r="UFL1" s="30"/>
      <c r="UFM1" s="30"/>
      <c r="UFN1" s="30"/>
      <c r="UFO1" s="30"/>
      <c r="UFP1" s="30"/>
      <c r="UFQ1" s="30"/>
      <c r="UFR1" s="30"/>
      <c r="UFS1" s="30"/>
      <c r="UFT1" s="30"/>
      <c r="UFU1" s="30"/>
      <c r="UFV1" s="30"/>
      <c r="UFW1" s="30"/>
      <c r="UFX1" s="30"/>
      <c r="UFY1" s="30"/>
      <c r="UFZ1" s="30"/>
      <c r="UGA1" s="30"/>
      <c r="UGB1" s="30"/>
      <c r="UGC1" s="30"/>
      <c r="UGD1" s="30"/>
      <c r="UGE1" s="30"/>
      <c r="UGF1" s="30"/>
      <c r="UGG1" s="30"/>
      <c r="UGH1" s="30"/>
      <c r="UGI1" s="30"/>
      <c r="UGJ1" s="30"/>
      <c r="UGK1" s="30"/>
      <c r="UGL1" s="30"/>
      <c r="UGM1" s="30"/>
      <c r="UGN1" s="30"/>
      <c r="UGO1" s="30"/>
      <c r="UGP1" s="30"/>
      <c r="UGQ1" s="30"/>
      <c r="UGR1" s="30"/>
      <c r="UGS1" s="30"/>
      <c r="UGT1" s="30"/>
      <c r="UGU1" s="30"/>
      <c r="UGV1" s="30"/>
      <c r="UGW1" s="30"/>
      <c r="UGX1" s="30"/>
      <c r="UGY1" s="30"/>
      <c r="UGZ1" s="30"/>
      <c r="UHA1" s="30"/>
      <c r="UHB1" s="30"/>
      <c r="UHC1" s="30"/>
      <c r="UHD1" s="30"/>
      <c r="UHE1" s="30"/>
      <c r="UHF1" s="30"/>
      <c r="UHG1" s="30"/>
      <c r="UHH1" s="30"/>
      <c r="UHI1" s="30"/>
      <c r="UHJ1" s="30"/>
      <c r="UHK1" s="30"/>
      <c r="UHL1" s="30"/>
      <c r="UHM1" s="30"/>
      <c r="UHN1" s="30"/>
      <c r="UHO1" s="30"/>
      <c r="UHP1" s="30"/>
      <c r="UHQ1" s="30"/>
      <c r="UHR1" s="30"/>
      <c r="UHS1" s="30"/>
      <c r="UHT1" s="30"/>
      <c r="UHU1" s="30"/>
      <c r="UHV1" s="30"/>
      <c r="UHW1" s="30"/>
      <c r="UHX1" s="30"/>
      <c r="UHY1" s="30"/>
      <c r="UHZ1" s="30"/>
      <c r="UIA1" s="30"/>
      <c r="UIB1" s="30"/>
      <c r="UIC1" s="30"/>
      <c r="UID1" s="30"/>
      <c r="UIE1" s="30"/>
      <c r="UIF1" s="30"/>
      <c r="UIG1" s="30"/>
      <c r="UIH1" s="30"/>
      <c r="UII1" s="30"/>
      <c r="UIJ1" s="30"/>
      <c r="UIK1" s="30"/>
      <c r="UIL1" s="30"/>
      <c r="UIM1" s="30"/>
      <c r="UIN1" s="30"/>
      <c r="UIO1" s="30"/>
      <c r="UIP1" s="30"/>
      <c r="UIQ1" s="30"/>
      <c r="UIR1" s="30"/>
      <c r="UIS1" s="30"/>
      <c r="UIT1" s="30"/>
      <c r="UIU1" s="30"/>
      <c r="UIV1" s="30"/>
      <c r="UIW1" s="30"/>
      <c r="UIX1" s="30"/>
      <c r="UIY1" s="30"/>
      <c r="UIZ1" s="30"/>
      <c r="UJA1" s="30"/>
      <c r="UJB1" s="30"/>
      <c r="UJC1" s="30"/>
      <c r="UJD1" s="30"/>
      <c r="UJE1" s="30"/>
      <c r="UJF1" s="30"/>
      <c r="UJG1" s="30"/>
      <c r="UJH1" s="30"/>
      <c r="UJI1" s="30"/>
      <c r="UJJ1" s="30"/>
      <c r="UJK1" s="30"/>
      <c r="UJL1" s="30"/>
      <c r="UJM1" s="30"/>
      <c r="UJN1" s="30"/>
      <c r="UJO1" s="30"/>
      <c r="UJP1" s="30"/>
      <c r="UJQ1" s="30"/>
      <c r="UJR1" s="30"/>
      <c r="UJS1" s="30"/>
      <c r="UJT1" s="30"/>
      <c r="UJU1" s="30"/>
      <c r="UJV1" s="30"/>
      <c r="UJW1" s="30"/>
      <c r="UJX1" s="30"/>
      <c r="UJY1" s="30"/>
      <c r="UJZ1" s="30"/>
      <c r="UKA1" s="30"/>
      <c r="UKB1" s="30"/>
      <c r="UKC1" s="30"/>
      <c r="UKD1" s="30"/>
      <c r="UKE1" s="30"/>
      <c r="UKF1" s="30"/>
      <c r="UKG1" s="30"/>
      <c r="UKH1" s="30"/>
      <c r="UKI1" s="30"/>
      <c r="UKJ1" s="30"/>
      <c r="UKK1" s="30"/>
      <c r="UKL1" s="30"/>
      <c r="UKM1" s="30"/>
      <c r="UKN1" s="30"/>
      <c r="UKO1" s="30"/>
      <c r="UKP1" s="30"/>
      <c r="UKQ1" s="30"/>
      <c r="UKR1" s="30"/>
      <c r="UKS1" s="30"/>
      <c r="UKT1" s="30"/>
      <c r="UKU1" s="30"/>
      <c r="UKV1" s="30"/>
      <c r="UKW1" s="30"/>
      <c r="UKX1" s="30"/>
      <c r="UKY1" s="30"/>
      <c r="UKZ1" s="30"/>
      <c r="ULA1" s="30"/>
      <c r="ULB1" s="30"/>
      <c r="ULC1" s="30"/>
      <c r="ULD1" s="30"/>
      <c r="ULE1" s="30"/>
      <c r="ULF1" s="30"/>
      <c r="ULG1" s="30"/>
      <c r="ULH1" s="30"/>
      <c r="ULI1" s="30"/>
      <c r="ULJ1" s="30"/>
      <c r="ULK1" s="30"/>
      <c r="ULL1" s="30"/>
      <c r="ULM1" s="30"/>
      <c r="ULN1" s="30"/>
      <c r="ULO1" s="30"/>
      <c r="ULP1" s="30"/>
      <c r="ULQ1" s="30"/>
      <c r="ULR1" s="30"/>
      <c r="ULS1" s="30"/>
      <c r="ULT1" s="30"/>
      <c r="ULU1" s="30"/>
      <c r="ULV1" s="30"/>
      <c r="ULW1" s="30"/>
      <c r="ULX1" s="30"/>
      <c r="ULY1" s="30"/>
      <c r="ULZ1" s="30"/>
      <c r="UMA1" s="30"/>
      <c r="UMB1" s="30"/>
      <c r="UMC1" s="30"/>
      <c r="UMD1" s="30"/>
      <c r="UME1" s="30"/>
      <c r="UMF1" s="30"/>
      <c r="UMG1" s="30"/>
      <c r="UMH1" s="30"/>
      <c r="UMI1" s="30"/>
      <c r="UMJ1" s="30"/>
      <c r="UMK1" s="30"/>
      <c r="UML1" s="30"/>
      <c r="UMM1" s="30"/>
      <c r="UMN1" s="30"/>
      <c r="UMO1" s="30"/>
      <c r="UMP1" s="30"/>
      <c r="UMQ1" s="30"/>
      <c r="UMR1" s="30"/>
      <c r="UMS1" s="30"/>
      <c r="UMT1" s="30"/>
      <c r="UMU1" s="30"/>
      <c r="UMV1" s="30"/>
      <c r="UMW1" s="30"/>
      <c r="UMX1" s="30"/>
      <c r="UMY1" s="30"/>
      <c r="UMZ1" s="30"/>
      <c r="UNA1" s="30"/>
      <c r="UNB1" s="30"/>
      <c r="UNC1" s="30"/>
      <c r="UND1" s="30"/>
      <c r="UNE1" s="30"/>
      <c r="UNF1" s="30"/>
      <c r="UNG1" s="30"/>
      <c r="UNH1" s="30"/>
      <c r="UNI1" s="30"/>
      <c r="UNJ1" s="30"/>
      <c r="UNK1" s="30"/>
      <c r="UNL1" s="30"/>
      <c r="UNM1" s="30"/>
      <c r="UNN1" s="30"/>
      <c r="UNO1" s="30"/>
      <c r="UNP1" s="30"/>
      <c r="UNQ1" s="30"/>
      <c r="UNR1" s="30"/>
      <c r="UNS1" s="30"/>
      <c r="UNT1" s="30"/>
      <c r="UNU1" s="30"/>
      <c r="UNV1" s="30"/>
      <c r="UNW1" s="30"/>
      <c r="UNX1" s="30"/>
      <c r="UNY1" s="30"/>
      <c r="UNZ1" s="30"/>
      <c r="UOA1" s="30"/>
      <c r="UOB1" s="30"/>
      <c r="UOC1" s="30"/>
      <c r="UOD1" s="30"/>
      <c r="UOE1" s="30"/>
      <c r="UOF1" s="30"/>
      <c r="UOG1" s="30"/>
      <c r="UOH1" s="30"/>
      <c r="UOI1" s="30"/>
      <c r="UOJ1" s="30"/>
      <c r="UOK1" s="30"/>
      <c r="UOL1" s="30"/>
      <c r="UOM1" s="30"/>
      <c r="UON1" s="30"/>
      <c r="UOO1" s="30"/>
      <c r="UOP1" s="30"/>
      <c r="UOQ1" s="30"/>
      <c r="UOR1" s="30"/>
      <c r="UOS1" s="30"/>
      <c r="UOT1" s="30"/>
      <c r="UOU1" s="30"/>
      <c r="UOV1" s="30"/>
      <c r="UOW1" s="30"/>
      <c r="UOX1" s="30"/>
      <c r="UOY1" s="30"/>
      <c r="UOZ1" s="30"/>
      <c r="UPA1" s="30"/>
      <c r="UPB1" s="30"/>
      <c r="UPC1" s="30"/>
      <c r="UPD1" s="30"/>
      <c r="UPE1" s="30"/>
      <c r="UPF1" s="30"/>
      <c r="UPG1" s="30"/>
      <c r="UPH1" s="30"/>
      <c r="UPI1" s="30"/>
      <c r="UPJ1" s="30"/>
      <c r="UPK1" s="30"/>
      <c r="UPL1" s="30"/>
      <c r="UPM1" s="30"/>
      <c r="UPN1" s="30"/>
      <c r="UPO1" s="30"/>
      <c r="UPP1" s="30"/>
      <c r="UPQ1" s="30"/>
      <c r="UPR1" s="30"/>
      <c r="UPS1" s="30"/>
      <c r="UPT1" s="30"/>
      <c r="UPU1" s="30"/>
      <c r="UPV1" s="30"/>
      <c r="UPW1" s="30"/>
      <c r="UPX1" s="30"/>
      <c r="UPY1" s="30"/>
      <c r="UPZ1" s="30"/>
      <c r="UQA1" s="30"/>
      <c r="UQB1" s="30"/>
      <c r="UQC1" s="30"/>
      <c r="UQD1" s="30"/>
      <c r="UQE1" s="30"/>
      <c r="UQF1" s="30"/>
      <c r="UQG1" s="30"/>
      <c r="UQH1" s="30"/>
      <c r="UQI1" s="30"/>
      <c r="UQJ1" s="30"/>
      <c r="UQK1" s="30"/>
      <c r="UQL1" s="30"/>
      <c r="UQM1" s="30"/>
      <c r="UQN1" s="30"/>
      <c r="UQO1" s="30"/>
      <c r="UQP1" s="30"/>
      <c r="UQQ1" s="30"/>
      <c r="UQR1" s="30"/>
      <c r="UQS1" s="30"/>
      <c r="UQT1" s="30"/>
      <c r="UQU1" s="30"/>
      <c r="UQV1" s="30"/>
      <c r="UQW1" s="30"/>
      <c r="UQX1" s="30"/>
      <c r="UQY1" s="30"/>
      <c r="UQZ1" s="30"/>
      <c r="URA1" s="30"/>
      <c r="URB1" s="30"/>
      <c r="URC1" s="30"/>
      <c r="URD1" s="30"/>
      <c r="URE1" s="30"/>
      <c r="URF1" s="30"/>
      <c r="URG1" s="30"/>
      <c r="URH1" s="30"/>
      <c r="URI1" s="30"/>
      <c r="URJ1" s="30"/>
      <c r="URK1" s="30"/>
      <c r="URL1" s="30"/>
      <c r="URM1" s="30"/>
      <c r="URN1" s="30"/>
      <c r="URO1" s="30"/>
      <c r="URP1" s="30"/>
      <c r="URQ1" s="30"/>
      <c r="URR1" s="30"/>
      <c r="URS1" s="30"/>
      <c r="URT1" s="30"/>
      <c r="URU1" s="30"/>
      <c r="URV1" s="30"/>
      <c r="URW1" s="30"/>
      <c r="URX1" s="30"/>
      <c r="URY1" s="30"/>
      <c r="URZ1" s="30"/>
      <c r="USA1" s="30"/>
      <c r="USB1" s="30"/>
      <c r="USC1" s="30"/>
      <c r="USD1" s="30"/>
      <c r="USE1" s="30"/>
      <c r="USF1" s="30"/>
      <c r="USG1" s="30"/>
      <c r="USH1" s="30"/>
      <c r="USI1" s="30"/>
      <c r="USJ1" s="30"/>
      <c r="USK1" s="30"/>
      <c r="USL1" s="30"/>
      <c r="USM1" s="30"/>
      <c r="USN1" s="30"/>
      <c r="USO1" s="30"/>
      <c r="USP1" s="30"/>
      <c r="USQ1" s="30"/>
      <c r="USR1" s="30"/>
      <c r="USS1" s="30"/>
      <c r="UST1" s="30"/>
      <c r="USU1" s="30"/>
      <c r="USV1" s="30"/>
      <c r="USW1" s="30"/>
      <c r="USX1" s="30"/>
      <c r="USY1" s="30"/>
      <c r="USZ1" s="30"/>
      <c r="UTA1" s="30"/>
      <c r="UTB1" s="30"/>
      <c r="UTC1" s="30"/>
      <c r="UTD1" s="30"/>
      <c r="UTE1" s="30"/>
      <c r="UTF1" s="30"/>
      <c r="UTG1" s="30"/>
      <c r="UTH1" s="30"/>
      <c r="UTI1" s="30"/>
      <c r="UTJ1" s="30"/>
      <c r="UTK1" s="30"/>
      <c r="UTL1" s="30"/>
      <c r="UTM1" s="30"/>
      <c r="UTN1" s="30"/>
      <c r="UTO1" s="30"/>
      <c r="UTP1" s="30"/>
      <c r="UTQ1" s="30"/>
      <c r="UTR1" s="30"/>
      <c r="UTS1" s="30"/>
      <c r="UTT1" s="30"/>
      <c r="UTU1" s="30"/>
      <c r="UTV1" s="30"/>
      <c r="UTW1" s="30"/>
      <c r="UTX1" s="30"/>
      <c r="UTY1" s="30"/>
      <c r="UTZ1" s="30"/>
      <c r="UUA1" s="30"/>
      <c r="UUB1" s="30"/>
      <c r="UUC1" s="30"/>
      <c r="UUD1" s="30"/>
      <c r="UUE1" s="30"/>
      <c r="UUF1" s="30"/>
      <c r="UUG1" s="30"/>
      <c r="UUH1" s="30"/>
      <c r="UUI1" s="30"/>
      <c r="UUJ1" s="30"/>
      <c r="UUK1" s="30"/>
      <c r="UUL1" s="30"/>
      <c r="UUM1" s="30"/>
      <c r="UUN1" s="30"/>
      <c r="UUO1" s="30"/>
      <c r="UUP1" s="30"/>
      <c r="UUQ1" s="30"/>
      <c r="UUR1" s="30"/>
      <c r="UUS1" s="30"/>
      <c r="UUT1" s="30"/>
      <c r="UUU1" s="30"/>
      <c r="UUV1" s="30"/>
      <c r="UUW1" s="30"/>
      <c r="UUX1" s="30"/>
      <c r="UUY1" s="30"/>
      <c r="UUZ1" s="30"/>
      <c r="UVA1" s="30"/>
      <c r="UVB1" s="30"/>
      <c r="UVC1" s="30"/>
      <c r="UVD1" s="30"/>
      <c r="UVE1" s="30"/>
      <c r="UVF1" s="30"/>
      <c r="UVG1" s="30"/>
      <c r="UVH1" s="30"/>
      <c r="UVI1" s="30"/>
      <c r="UVJ1" s="30"/>
      <c r="UVK1" s="30"/>
      <c r="UVL1" s="30"/>
      <c r="UVM1" s="30"/>
      <c r="UVN1" s="30"/>
      <c r="UVO1" s="30"/>
      <c r="UVP1" s="30"/>
      <c r="UVQ1" s="30"/>
      <c r="UVR1" s="30"/>
      <c r="UVS1" s="30"/>
      <c r="UVT1" s="30"/>
      <c r="UVU1" s="30"/>
      <c r="UVV1" s="30"/>
      <c r="UVW1" s="30"/>
      <c r="UVX1" s="30"/>
      <c r="UVY1" s="30"/>
      <c r="UVZ1" s="30"/>
      <c r="UWA1" s="30"/>
      <c r="UWB1" s="30"/>
      <c r="UWC1" s="30"/>
      <c r="UWD1" s="30"/>
      <c r="UWE1" s="30"/>
      <c r="UWF1" s="30"/>
      <c r="UWG1" s="30"/>
      <c r="UWH1" s="30"/>
      <c r="UWI1" s="30"/>
      <c r="UWJ1" s="30"/>
      <c r="UWK1" s="30"/>
      <c r="UWL1" s="30"/>
      <c r="UWM1" s="30"/>
      <c r="UWN1" s="30"/>
      <c r="UWO1" s="30"/>
      <c r="UWP1" s="30"/>
      <c r="UWQ1" s="30"/>
      <c r="UWR1" s="30"/>
      <c r="UWS1" s="30"/>
      <c r="UWT1" s="30"/>
      <c r="UWU1" s="30"/>
      <c r="UWV1" s="30"/>
      <c r="UWW1" s="30"/>
      <c r="UWX1" s="30"/>
      <c r="UWY1" s="30"/>
      <c r="UWZ1" s="30"/>
      <c r="UXA1" s="30"/>
      <c r="UXB1" s="30"/>
      <c r="UXC1" s="30"/>
      <c r="UXD1" s="30"/>
      <c r="UXE1" s="30"/>
      <c r="UXF1" s="30"/>
      <c r="UXG1" s="30"/>
      <c r="UXH1" s="30"/>
      <c r="UXI1" s="30"/>
      <c r="UXJ1" s="30"/>
      <c r="UXK1" s="30"/>
      <c r="UXL1" s="30"/>
      <c r="UXM1" s="30"/>
      <c r="UXN1" s="30"/>
      <c r="UXO1" s="30"/>
      <c r="UXP1" s="30"/>
      <c r="UXQ1" s="30"/>
      <c r="UXR1" s="30"/>
      <c r="UXS1" s="30"/>
      <c r="UXT1" s="30"/>
      <c r="UXU1" s="30"/>
      <c r="UXV1" s="30"/>
      <c r="UXW1" s="30"/>
      <c r="UXX1" s="30"/>
      <c r="UXY1" s="30"/>
      <c r="UXZ1" s="30"/>
      <c r="UYA1" s="30"/>
      <c r="UYB1" s="30"/>
      <c r="UYC1" s="30"/>
      <c r="UYD1" s="30"/>
      <c r="UYE1" s="30"/>
      <c r="UYF1" s="30"/>
      <c r="UYG1" s="30"/>
      <c r="UYH1" s="30"/>
      <c r="UYI1" s="30"/>
      <c r="UYJ1" s="30"/>
      <c r="UYK1" s="30"/>
      <c r="UYL1" s="30"/>
      <c r="UYM1" s="30"/>
      <c r="UYN1" s="30"/>
      <c r="UYO1" s="30"/>
      <c r="UYP1" s="30"/>
      <c r="UYQ1" s="30"/>
      <c r="UYR1" s="30"/>
      <c r="UYS1" s="30"/>
      <c r="UYT1" s="30"/>
      <c r="UYU1" s="30"/>
      <c r="UYV1" s="30"/>
      <c r="UYW1" s="30"/>
      <c r="UYX1" s="30"/>
      <c r="UYY1" s="30"/>
      <c r="UYZ1" s="30"/>
      <c r="UZA1" s="30"/>
      <c r="UZB1" s="30"/>
      <c r="UZC1" s="30"/>
      <c r="UZD1" s="30"/>
      <c r="UZE1" s="30"/>
      <c r="UZF1" s="30"/>
      <c r="UZG1" s="30"/>
      <c r="UZH1" s="30"/>
      <c r="UZI1" s="30"/>
      <c r="UZJ1" s="30"/>
      <c r="UZK1" s="30"/>
      <c r="UZL1" s="30"/>
      <c r="UZM1" s="30"/>
      <c r="UZN1" s="30"/>
      <c r="UZO1" s="30"/>
      <c r="UZP1" s="30"/>
      <c r="UZQ1" s="30"/>
      <c r="UZR1" s="30"/>
      <c r="UZS1" s="30"/>
      <c r="UZT1" s="30"/>
      <c r="UZU1" s="30"/>
      <c r="UZV1" s="30"/>
      <c r="UZW1" s="30"/>
      <c r="UZX1" s="30"/>
      <c r="UZY1" s="30"/>
      <c r="UZZ1" s="30"/>
      <c r="VAA1" s="30"/>
      <c r="VAB1" s="30"/>
      <c r="VAC1" s="30"/>
      <c r="VAD1" s="30"/>
      <c r="VAE1" s="30"/>
      <c r="VAF1" s="30"/>
      <c r="VAG1" s="30"/>
      <c r="VAH1" s="30"/>
      <c r="VAI1" s="30"/>
      <c r="VAJ1" s="30"/>
      <c r="VAK1" s="30"/>
      <c r="VAL1" s="30"/>
      <c r="VAM1" s="30"/>
      <c r="VAN1" s="30"/>
      <c r="VAO1" s="30"/>
      <c r="VAP1" s="30"/>
      <c r="VAQ1" s="30"/>
      <c r="VAR1" s="30"/>
      <c r="VAS1" s="30"/>
      <c r="VAT1" s="30"/>
      <c r="VAU1" s="30"/>
      <c r="VAV1" s="30"/>
      <c r="VAW1" s="30"/>
      <c r="VAX1" s="30"/>
      <c r="VAY1" s="30"/>
      <c r="VAZ1" s="30"/>
      <c r="VBA1" s="30"/>
      <c r="VBB1" s="30"/>
      <c r="VBC1" s="30"/>
      <c r="VBD1" s="30"/>
      <c r="VBE1" s="30"/>
      <c r="VBF1" s="30"/>
      <c r="VBG1" s="30"/>
      <c r="VBH1" s="30"/>
      <c r="VBI1" s="30"/>
      <c r="VBJ1" s="30"/>
      <c r="VBK1" s="30"/>
      <c r="VBL1" s="30"/>
      <c r="VBM1" s="30"/>
      <c r="VBN1" s="30"/>
      <c r="VBO1" s="30"/>
      <c r="VBP1" s="30"/>
      <c r="VBQ1" s="30"/>
      <c r="VBR1" s="30"/>
      <c r="VBS1" s="30"/>
      <c r="VBT1" s="30"/>
      <c r="VBU1" s="30"/>
      <c r="VBV1" s="30"/>
      <c r="VBW1" s="30"/>
      <c r="VBX1" s="30"/>
      <c r="VBY1" s="30"/>
      <c r="VBZ1" s="30"/>
      <c r="VCA1" s="30"/>
      <c r="VCB1" s="30"/>
      <c r="VCC1" s="30"/>
      <c r="VCD1" s="30"/>
      <c r="VCE1" s="30"/>
      <c r="VCF1" s="30"/>
      <c r="VCG1" s="30"/>
      <c r="VCH1" s="30"/>
      <c r="VCI1" s="30"/>
      <c r="VCJ1" s="30"/>
      <c r="VCK1" s="30"/>
      <c r="VCL1" s="30"/>
      <c r="VCM1" s="30"/>
      <c r="VCN1" s="30"/>
      <c r="VCO1" s="30"/>
      <c r="VCP1" s="30"/>
      <c r="VCQ1" s="30"/>
      <c r="VCR1" s="30"/>
      <c r="VCS1" s="30"/>
      <c r="VCT1" s="30"/>
      <c r="VCU1" s="30"/>
      <c r="VCV1" s="30"/>
      <c r="VCW1" s="30"/>
      <c r="VCX1" s="30"/>
      <c r="VCY1" s="30"/>
      <c r="VCZ1" s="30"/>
      <c r="VDA1" s="30"/>
      <c r="VDB1" s="30"/>
      <c r="VDC1" s="30"/>
      <c r="VDD1" s="30"/>
      <c r="VDE1" s="30"/>
      <c r="VDF1" s="30"/>
      <c r="VDG1" s="30"/>
      <c r="VDH1" s="30"/>
      <c r="VDI1" s="30"/>
      <c r="VDJ1" s="30"/>
      <c r="VDK1" s="30"/>
      <c r="VDL1" s="30"/>
      <c r="VDM1" s="30"/>
      <c r="VDN1" s="30"/>
      <c r="VDO1" s="30"/>
      <c r="VDP1" s="30"/>
      <c r="VDQ1" s="30"/>
      <c r="VDR1" s="30"/>
      <c r="VDS1" s="30"/>
      <c r="VDT1" s="30"/>
      <c r="VDU1" s="30"/>
      <c r="VDV1" s="30"/>
      <c r="VDW1" s="30"/>
      <c r="VDX1" s="30"/>
      <c r="VDY1" s="30"/>
      <c r="VDZ1" s="30"/>
      <c r="VEA1" s="30"/>
      <c r="VEB1" s="30"/>
      <c r="VEC1" s="30"/>
      <c r="VED1" s="30"/>
      <c r="VEE1" s="30"/>
      <c r="VEF1" s="30"/>
      <c r="VEG1" s="30"/>
      <c r="VEH1" s="30"/>
      <c r="VEI1" s="30"/>
      <c r="VEJ1" s="30"/>
      <c r="VEK1" s="30"/>
      <c r="VEL1" s="30"/>
      <c r="VEM1" s="30"/>
      <c r="VEN1" s="30"/>
      <c r="VEO1" s="30"/>
      <c r="VEP1" s="30"/>
      <c r="VEQ1" s="30"/>
      <c r="VER1" s="30"/>
      <c r="VES1" s="30"/>
      <c r="VET1" s="30"/>
      <c r="VEU1" s="30"/>
      <c r="VEV1" s="30"/>
      <c r="VEW1" s="30"/>
      <c r="VEX1" s="30"/>
      <c r="VEY1" s="30"/>
      <c r="VEZ1" s="30"/>
      <c r="VFA1" s="30"/>
      <c r="VFB1" s="30"/>
      <c r="VFC1" s="30"/>
      <c r="VFD1" s="30"/>
      <c r="VFE1" s="30"/>
      <c r="VFF1" s="30"/>
      <c r="VFG1" s="30"/>
      <c r="VFH1" s="30"/>
      <c r="VFI1" s="30"/>
      <c r="VFJ1" s="30"/>
      <c r="VFK1" s="30"/>
      <c r="VFL1" s="30"/>
      <c r="VFM1" s="30"/>
      <c r="VFN1" s="30"/>
      <c r="VFO1" s="30"/>
      <c r="VFP1" s="30"/>
      <c r="VFQ1" s="30"/>
      <c r="VFR1" s="30"/>
      <c r="VFS1" s="30"/>
      <c r="VFT1" s="30"/>
      <c r="VFU1" s="30"/>
      <c r="VFV1" s="30"/>
      <c r="VFW1" s="30"/>
      <c r="VFX1" s="30"/>
      <c r="VFY1" s="30"/>
      <c r="VFZ1" s="30"/>
      <c r="VGA1" s="30"/>
      <c r="VGB1" s="30"/>
      <c r="VGC1" s="30"/>
      <c r="VGD1" s="30"/>
      <c r="VGE1" s="30"/>
      <c r="VGF1" s="30"/>
      <c r="VGG1" s="30"/>
      <c r="VGH1" s="30"/>
      <c r="VGI1" s="30"/>
      <c r="VGJ1" s="30"/>
      <c r="VGK1" s="30"/>
      <c r="VGL1" s="30"/>
      <c r="VGM1" s="30"/>
      <c r="VGN1" s="30"/>
      <c r="VGO1" s="30"/>
      <c r="VGP1" s="30"/>
      <c r="VGQ1" s="30"/>
      <c r="VGR1" s="30"/>
      <c r="VGS1" s="30"/>
      <c r="VGT1" s="30"/>
      <c r="VGU1" s="30"/>
      <c r="VGV1" s="30"/>
      <c r="VGW1" s="30"/>
      <c r="VGX1" s="30"/>
      <c r="VGY1" s="30"/>
      <c r="VGZ1" s="30"/>
      <c r="VHA1" s="30"/>
      <c r="VHB1" s="30"/>
      <c r="VHC1" s="30"/>
      <c r="VHD1" s="30"/>
      <c r="VHE1" s="30"/>
      <c r="VHF1" s="30"/>
      <c r="VHG1" s="30"/>
      <c r="VHH1" s="30"/>
      <c r="VHI1" s="30"/>
      <c r="VHJ1" s="30"/>
      <c r="VHK1" s="30"/>
      <c r="VHL1" s="30"/>
      <c r="VHM1" s="30"/>
      <c r="VHN1" s="30"/>
      <c r="VHO1" s="30"/>
      <c r="VHP1" s="30"/>
      <c r="VHQ1" s="30"/>
      <c r="VHR1" s="30"/>
      <c r="VHS1" s="30"/>
      <c r="VHT1" s="30"/>
      <c r="VHU1" s="30"/>
      <c r="VHV1" s="30"/>
      <c r="VHW1" s="30"/>
      <c r="VHX1" s="30"/>
      <c r="VHY1" s="30"/>
      <c r="VHZ1" s="30"/>
      <c r="VIA1" s="30"/>
      <c r="VIB1" s="30"/>
      <c r="VIC1" s="30"/>
      <c r="VID1" s="30"/>
      <c r="VIE1" s="30"/>
      <c r="VIF1" s="30"/>
      <c r="VIG1" s="30"/>
      <c r="VIH1" s="30"/>
      <c r="VII1" s="30"/>
      <c r="VIJ1" s="30"/>
      <c r="VIK1" s="30"/>
      <c r="VIL1" s="30"/>
      <c r="VIM1" s="30"/>
      <c r="VIN1" s="30"/>
      <c r="VIO1" s="30"/>
      <c r="VIP1" s="30"/>
      <c r="VIQ1" s="30"/>
      <c r="VIR1" s="30"/>
      <c r="VIS1" s="30"/>
      <c r="VIT1" s="30"/>
      <c r="VIU1" s="30"/>
      <c r="VIV1" s="30"/>
      <c r="VIW1" s="30"/>
      <c r="VIX1" s="30"/>
      <c r="VIY1" s="30"/>
      <c r="VIZ1" s="30"/>
      <c r="VJA1" s="30"/>
      <c r="VJB1" s="30"/>
      <c r="VJC1" s="30"/>
      <c r="VJD1" s="30"/>
      <c r="VJE1" s="30"/>
      <c r="VJF1" s="30"/>
      <c r="VJG1" s="30"/>
      <c r="VJH1" s="30"/>
      <c r="VJI1" s="30"/>
      <c r="VJJ1" s="30"/>
      <c r="VJK1" s="30"/>
      <c r="VJL1" s="30"/>
      <c r="VJM1" s="30"/>
      <c r="VJN1" s="30"/>
      <c r="VJO1" s="30"/>
      <c r="VJP1" s="30"/>
      <c r="VJQ1" s="30"/>
      <c r="VJR1" s="30"/>
      <c r="VJS1" s="30"/>
      <c r="VJT1" s="30"/>
      <c r="VJU1" s="30"/>
      <c r="VJV1" s="30"/>
      <c r="VJW1" s="30"/>
      <c r="VJX1" s="30"/>
      <c r="VJY1" s="30"/>
      <c r="VJZ1" s="30"/>
      <c r="VKA1" s="30"/>
      <c r="VKB1" s="30"/>
      <c r="VKC1" s="30"/>
      <c r="VKD1" s="30"/>
      <c r="VKE1" s="30"/>
      <c r="VKF1" s="30"/>
      <c r="VKG1" s="30"/>
      <c r="VKH1" s="30"/>
      <c r="VKI1" s="30"/>
      <c r="VKJ1" s="30"/>
      <c r="VKK1" s="30"/>
      <c r="VKL1" s="30"/>
      <c r="VKM1" s="30"/>
      <c r="VKN1" s="30"/>
      <c r="VKO1" s="30"/>
      <c r="VKP1" s="30"/>
      <c r="VKQ1" s="30"/>
      <c r="VKR1" s="30"/>
      <c r="VKS1" s="30"/>
      <c r="VKT1" s="30"/>
      <c r="VKU1" s="30"/>
      <c r="VKV1" s="30"/>
      <c r="VKW1" s="30"/>
      <c r="VKX1" s="30"/>
      <c r="VKY1" s="30"/>
      <c r="VKZ1" s="30"/>
      <c r="VLA1" s="30"/>
      <c r="VLB1" s="30"/>
      <c r="VLC1" s="30"/>
      <c r="VLD1" s="30"/>
      <c r="VLE1" s="30"/>
      <c r="VLF1" s="30"/>
      <c r="VLG1" s="30"/>
      <c r="VLH1" s="30"/>
      <c r="VLI1" s="30"/>
      <c r="VLJ1" s="30"/>
      <c r="VLK1" s="30"/>
      <c r="VLL1" s="30"/>
      <c r="VLM1" s="30"/>
      <c r="VLN1" s="30"/>
      <c r="VLO1" s="30"/>
      <c r="VLP1" s="30"/>
      <c r="VLQ1" s="30"/>
      <c r="VLR1" s="30"/>
      <c r="VLS1" s="30"/>
      <c r="VLT1" s="30"/>
      <c r="VLU1" s="30"/>
      <c r="VLV1" s="30"/>
      <c r="VLW1" s="30"/>
      <c r="VLX1" s="30"/>
      <c r="VLY1" s="30"/>
      <c r="VLZ1" s="30"/>
      <c r="VMA1" s="30"/>
      <c r="VMB1" s="30"/>
      <c r="VMC1" s="30"/>
      <c r="VMD1" s="30"/>
      <c r="VME1" s="30"/>
      <c r="VMF1" s="30"/>
      <c r="VMG1" s="30"/>
      <c r="VMH1" s="30"/>
      <c r="VMI1" s="30"/>
      <c r="VMJ1" s="30"/>
      <c r="VMK1" s="30"/>
      <c r="VML1" s="30"/>
      <c r="VMM1" s="30"/>
      <c r="VMN1" s="30"/>
      <c r="VMO1" s="30"/>
      <c r="VMP1" s="30"/>
      <c r="VMQ1" s="30"/>
      <c r="VMR1" s="30"/>
      <c r="VMS1" s="30"/>
      <c r="VMT1" s="30"/>
      <c r="VMU1" s="30"/>
      <c r="VMV1" s="30"/>
      <c r="VMW1" s="30"/>
      <c r="VMX1" s="30"/>
      <c r="VMY1" s="30"/>
      <c r="VMZ1" s="30"/>
      <c r="VNA1" s="30"/>
      <c r="VNB1" s="30"/>
      <c r="VNC1" s="30"/>
      <c r="VND1" s="30"/>
      <c r="VNE1" s="30"/>
      <c r="VNF1" s="30"/>
      <c r="VNG1" s="30"/>
      <c r="VNH1" s="30"/>
      <c r="VNI1" s="30"/>
      <c r="VNJ1" s="30"/>
      <c r="VNK1" s="30"/>
      <c r="VNL1" s="30"/>
      <c r="VNM1" s="30"/>
      <c r="VNN1" s="30"/>
      <c r="VNO1" s="30"/>
      <c r="VNP1" s="30"/>
      <c r="VNQ1" s="30"/>
      <c r="VNR1" s="30"/>
      <c r="VNS1" s="30"/>
      <c r="VNT1" s="30"/>
      <c r="VNU1" s="30"/>
      <c r="VNV1" s="30"/>
      <c r="VNW1" s="30"/>
      <c r="VNX1" s="30"/>
      <c r="VNY1" s="30"/>
      <c r="VNZ1" s="30"/>
      <c r="VOA1" s="30"/>
      <c r="VOB1" s="30"/>
      <c r="VOC1" s="30"/>
      <c r="VOD1" s="30"/>
      <c r="VOE1" s="30"/>
      <c r="VOF1" s="30"/>
      <c r="VOG1" s="30"/>
      <c r="VOH1" s="30"/>
      <c r="VOI1" s="30"/>
      <c r="VOJ1" s="30"/>
      <c r="VOK1" s="30"/>
      <c r="VOL1" s="30"/>
      <c r="VOM1" s="30"/>
      <c r="VON1" s="30"/>
      <c r="VOO1" s="30"/>
      <c r="VOP1" s="30"/>
      <c r="VOQ1" s="30"/>
      <c r="VOR1" s="30"/>
      <c r="VOS1" s="30"/>
      <c r="VOT1" s="30"/>
      <c r="VOU1" s="30"/>
      <c r="VOV1" s="30"/>
      <c r="VOW1" s="30"/>
      <c r="VOX1" s="30"/>
      <c r="VOY1" s="30"/>
      <c r="VOZ1" s="30"/>
      <c r="VPA1" s="30"/>
      <c r="VPB1" s="30"/>
      <c r="VPC1" s="30"/>
      <c r="VPD1" s="30"/>
      <c r="VPE1" s="30"/>
      <c r="VPF1" s="30"/>
      <c r="VPG1" s="30"/>
      <c r="VPH1" s="30"/>
      <c r="VPI1" s="30"/>
      <c r="VPJ1" s="30"/>
      <c r="VPK1" s="30"/>
      <c r="VPL1" s="30"/>
      <c r="VPM1" s="30"/>
      <c r="VPN1" s="30"/>
      <c r="VPO1" s="30"/>
      <c r="VPP1" s="30"/>
      <c r="VPQ1" s="30"/>
      <c r="VPR1" s="30"/>
      <c r="VPS1" s="30"/>
      <c r="VPT1" s="30"/>
      <c r="VPU1" s="30"/>
      <c r="VPV1" s="30"/>
      <c r="VPW1" s="30"/>
      <c r="VPX1" s="30"/>
      <c r="VPY1" s="30"/>
      <c r="VPZ1" s="30"/>
      <c r="VQA1" s="30"/>
      <c r="VQB1" s="30"/>
      <c r="VQC1" s="30"/>
      <c r="VQD1" s="30"/>
      <c r="VQE1" s="30"/>
      <c r="VQF1" s="30"/>
      <c r="VQG1" s="30"/>
      <c r="VQH1" s="30"/>
      <c r="VQI1" s="30"/>
      <c r="VQJ1" s="30"/>
      <c r="VQK1" s="30"/>
      <c r="VQL1" s="30"/>
      <c r="VQM1" s="30"/>
      <c r="VQN1" s="30"/>
      <c r="VQO1" s="30"/>
      <c r="VQP1" s="30"/>
      <c r="VQQ1" s="30"/>
      <c r="VQR1" s="30"/>
      <c r="VQS1" s="30"/>
      <c r="VQT1" s="30"/>
      <c r="VQU1" s="30"/>
      <c r="VQV1" s="30"/>
      <c r="VQW1" s="30"/>
      <c r="VQX1" s="30"/>
      <c r="VQY1" s="30"/>
      <c r="VQZ1" s="30"/>
      <c r="VRA1" s="30"/>
      <c r="VRB1" s="30"/>
      <c r="VRC1" s="30"/>
      <c r="VRD1" s="30"/>
      <c r="VRE1" s="30"/>
      <c r="VRF1" s="30"/>
      <c r="VRG1" s="30"/>
      <c r="VRH1" s="30"/>
      <c r="VRI1" s="30"/>
      <c r="VRJ1" s="30"/>
      <c r="VRK1" s="30"/>
      <c r="VRL1" s="30"/>
      <c r="VRM1" s="30"/>
      <c r="VRN1" s="30"/>
      <c r="VRO1" s="30"/>
      <c r="VRP1" s="30"/>
      <c r="VRQ1" s="30"/>
      <c r="VRR1" s="30"/>
      <c r="VRS1" s="30"/>
      <c r="VRT1" s="30"/>
      <c r="VRU1" s="30"/>
      <c r="VRV1" s="30"/>
      <c r="VRW1" s="30"/>
      <c r="VRX1" s="30"/>
      <c r="VRY1" s="30"/>
      <c r="VRZ1" s="30"/>
      <c r="VSA1" s="30"/>
      <c r="VSB1" s="30"/>
      <c r="VSC1" s="30"/>
      <c r="VSD1" s="30"/>
      <c r="VSE1" s="30"/>
      <c r="VSF1" s="30"/>
      <c r="VSG1" s="30"/>
      <c r="VSH1" s="30"/>
      <c r="VSI1" s="30"/>
      <c r="VSJ1" s="30"/>
      <c r="VSK1" s="30"/>
      <c r="VSL1" s="30"/>
      <c r="VSM1" s="30"/>
      <c r="VSN1" s="30"/>
      <c r="VSO1" s="30"/>
      <c r="VSP1" s="30"/>
      <c r="VSQ1" s="30"/>
      <c r="VSR1" s="30"/>
      <c r="VSS1" s="30"/>
      <c r="VST1" s="30"/>
      <c r="VSU1" s="30"/>
      <c r="VSV1" s="30"/>
      <c r="VSW1" s="30"/>
      <c r="VSX1" s="30"/>
      <c r="VSY1" s="30"/>
      <c r="VSZ1" s="30"/>
      <c r="VTA1" s="30"/>
      <c r="VTB1" s="30"/>
      <c r="VTC1" s="30"/>
      <c r="VTD1" s="30"/>
      <c r="VTE1" s="30"/>
      <c r="VTF1" s="30"/>
      <c r="VTG1" s="30"/>
      <c r="VTH1" s="30"/>
      <c r="VTI1" s="30"/>
      <c r="VTJ1" s="30"/>
      <c r="VTK1" s="30"/>
      <c r="VTL1" s="30"/>
      <c r="VTM1" s="30"/>
      <c r="VTN1" s="30"/>
      <c r="VTO1" s="30"/>
      <c r="VTP1" s="30"/>
      <c r="VTQ1" s="30"/>
      <c r="VTR1" s="30"/>
      <c r="VTS1" s="30"/>
      <c r="VTT1" s="30"/>
      <c r="VTU1" s="30"/>
      <c r="VTV1" s="30"/>
      <c r="VTW1" s="30"/>
      <c r="VTX1" s="30"/>
      <c r="VTY1" s="30"/>
      <c r="VTZ1" s="30"/>
      <c r="VUA1" s="30"/>
      <c r="VUB1" s="30"/>
      <c r="VUC1" s="30"/>
      <c r="VUD1" s="30"/>
      <c r="VUE1" s="30"/>
      <c r="VUF1" s="30"/>
      <c r="VUG1" s="30"/>
      <c r="VUH1" s="30"/>
      <c r="VUI1" s="30"/>
      <c r="VUJ1" s="30"/>
      <c r="VUK1" s="30"/>
      <c r="VUL1" s="30"/>
      <c r="VUM1" s="30"/>
      <c r="VUN1" s="30"/>
      <c r="VUO1" s="30"/>
      <c r="VUP1" s="30"/>
      <c r="VUQ1" s="30"/>
      <c r="VUR1" s="30"/>
      <c r="VUS1" s="30"/>
      <c r="VUT1" s="30"/>
      <c r="VUU1" s="30"/>
      <c r="VUV1" s="30"/>
      <c r="VUW1" s="30"/>
      <c r="VUX1" s="30"/>
      <c r="VUY1" s="30"/>
      <c r="VUZ1" s="30"/>
      <c r="VVA1" s="30"/>
      <c r="VVB1" s="30"/>
      <c r="VVC1" s="30"/>
      <c r="VVD1" s="30"/>
      <c r="VVE1" s="30"/>
      <c r="VVF1" s="30"/>
      <c r="VVG1" s="30"/>
      <c r="VVH1" s="30"/>
      <c r="VVI1" s="30"/>
      <c r="VVJ1" s="30"/>
      <c r="VVK1" s="30"/>
      <c r="VVL1" s="30"/>
      <c r="VVM1" s="30"/>
      <c r="VVN1" s="30"/>
      <c r="VVO1" s="30"/>
      <c r="VVP1" s="30"/>
      <c r="VVQ1" s="30"/>
      <c r="VVR1" s="30"/>
      <c r="VVS1" s="30"/>
      <c r="VVT1" s="30"/>
      <c r="VVU1" s="30"/>
      <c r="VVV1" s="30"/>
      <c r="VVW1" s="30"/>
      <c r="VVX1" s="30"/>
      <c r="VVY1" s="30"/>
      <c r="VVZ1" s="30"/>
      <c r="VWA1" s="30"/>
      <c r="VWB1" s="30"/>
      <c r="VWC1" s="30"/>
      <c r="VWD1" s="30"/>
      <c r="VWE1" s="30"/>
      <c r="VWF1" s="30"/>
      <c r="VWG1" s="30"/>
      <c r="VWH1" s="30"/>
      <c r="VWI1" s="30"/>
      <c r="VWJ1" s="30"/>
      <c r="VWK1" s="30"/>
      <c r="VWL1" s="30"/>
      <c r="VWM1" s="30"/>
      <c r="VWN1" s="30"/>
      <c r="VWO1" s="30"/>
      <c r="VWP1" s="30"/>
      <c r="VWQ1" s="30"/>
      <c r="VWR1" s="30"/>
      <c r="VWS1" s="30"/>
      <c r="VWT1" s="30"/>
      <c r="VWU1" s="30"/>
      <c r="VWV1" s="30"/>
      <c r="VWW1" s="30"/>
      <c r="VWX1" s="30"/>
      <c r="VWY1" s="30"/>
      <c r="VWZ1" s="30"/>
      <c r="VXA1" s="30"/>
      <c r="VXB1" s="30"/>
      <c r="VXC1" s="30"/>
      <c r="VXD1" s="30"/>
      <c r="VXE1" s="30"/>
      <c r="VXF1" s="30"/>
      <c r="VXG1" s="30"/>
      <c r="VXH1" s="30"/>
      <c r="VXI1" s="30"/>
      <c r="VXJ1" s="30"/>
      <c r="VXK1" s="30"/>
      <c r="VXL1" s="30"/>
      <c r="VXM1" s="30"/>
      <c r="VXN1" s="30"/>
      <c r="VXO1" s="30"/>
      <c r="VXP1" s="30"/>
      <c r="VXQ1" s="30"/>
      <c r="VXR1" s="30"/>
      <c r="VXS1" s="30"/>
      <c r="VXT1" s="30"/>
      <c r="VXU1" s="30"/>
      <c r="VXV1" s="30"/>
      <c r="VXW1" s="30"/>
      <c r="VXX1" s="30"/>
      <c r="VXY1" s="30"/>
      <c r="VXZ1" s="30"/>
      <c r="VYA1" s="30"/>
      <c r="VYB1" s="30"/>
      <c r="VYC1" s="30"/>
      <c r="VYD1" s="30"/>
      <c r="VYE1" s="30"/>
      <c r="VYF1" s="30"/>
      <c r="VYG1" s="30"/>
      <c r="VYH1" s="30"/>
      <c r="VYI1" s="30"/>
      <c r="VYJ1" s="30"/>
      <c r="VYK1" s="30"/>
      <c r="VYL1" s="30"/>
      <c r="VYM1" s="30"/>
      <c r="VYN1" s="30"/>
      <c r="VYO1" s="30"/>
      <c r="VYP1" s="30"/>
      <c r="VYQ1" s="30"/>
      <c r="VYR1" s="30"/>
      <c r="VYS1" s="30"/>
      <c r="VYT1" s="30"/>
      <c r="VYU1" s="30"/>
      <c r="VYV1" s="30"/>
      <c r="VYW1" s="30"/>
      <c r="VYX1" s="30"/>
      <c r="VYY1" s="30"/>
      <c r="VYZ1" s="30"/>
      <c r="VZA1" s="30"/>
      <c r="VZB1" s="30"/>
      <c r="VZC1" s="30"/>
      <c r="VZD1" s="30"/>
      <c r="VZE1" s="30"/>
      <c r="VZF1" s="30"/>
      <c r="VZG1" s="30"/>
      <c r="VZH1" s="30"/>
      <c r="VZI1" s="30"/>
      <c r="VZJ1" s="30"/>
      <c r="VZK1" s="30"/>
      <c r="VZL1" s="30"/>
      <c r="VZM1" s="30"/>
      <c r="VZN1" s="30"/>
      <c r="VZO1" s="30"/>
      <c r="VZP1" s="30"/>
      <c r="VZQ1" s="30"/>
      <c r="VZR1" s="30"/>
      <c r="VZS1" s="30"/>
      <c r="VZT1" s="30"/>
      <c r="VZU1" s="30"/>
      <c r="VZV1" s="30"/>
      <c r="VZW1" s="30"/>
      <c r="VZX1" s="30"/>
      <c r="VZY1" s="30"/>
      <c r="VZZ1" s="30"/>
      <c r="WAA1" s="30"/>
      <c r="WAB1" s="30"/>
      <c r="WAC1" s="30"/>
      <c r="WAD1" s="30"/>
      <c r="WAE1" s="30"/>
      <c r="WAF1" s="30"/>
      <c r="WAG1" s="30"/>
      <c r="WAH1" s="30"/>
      <c r="WAI1" s="30"/>
      <c r="WAJ1" s="30"/>
      <c r="WAK1" s="30"/>
      <c r="WAL1" s="30"/>
      <c r="WAM1" s="30"/>
      <c r="WAN1" s="30"/>
      <c r="WAO1" s="30"/>
      <c r="WAP1" s="30"/>
      <c r="WAQ1" s="30"/>
      <c r="WAR1" s="30"/>
      <c r="WAS1" s="30"/>
      <c r="WAT1" s="30"/>
      <c r="WAU1" s="30"/>
      <c r="WAV1" s="30"/>
      <c r="WAW1" s="30"/>
      <c r="WAX1" s="30"/>
      <c r="WAY1" s="30"/>
      <c r="WAZ1" s="30"/>
      <c r="WBA1" s="30"/>
      <c r="WBB1" s="30"/>
      <c r="WBC1" s="30"/>
      <c r="WBD1" s="30"/>
      <c r="WBE1" s="30"/>
      <c r="WBF1" s="30"/>
      <c r="WBG1" s="30"/>
      <c r="WBH1" s="30"/>
      <c r="WBI1" s="30"/>
      <c r="WBJ1" s="30"/>
      <c r="WBK1" s="30"/>
      <c r="WBL1" s="30"/>
      <c r="WBM1" s="30"/>
      <c r="WBN1" s="30"/>
      <c r="WBO1" s="30"/>
      <c r="WBP1" s="30"/>
      <c r="WBQ1" s="30"/>
      <c r="WBR1" s="30"/>
      <c r="WBS1" s="30"/>
      <c r="WBT1" s="30"/>
      <c r="WBU1" s="30"/>
      <c r="WBV1" s="30"/>
      <c r="WBW1" s="30"/>
      <c r="WBX1" s="30"/>
      <c r="WBY1" s="30"/>
      <c r="WBZ1" s="30"/>
      <c r="WCA1" s="30"/>
      <c r="WCB1" s="30"/>
      <c r="WCC1" s="30"/>
      <c r="WCD1" s="30"/>
      <c r="WCE1" s="30"/>
      <c r="WCF1" s="30"/>
      <c r="WCG1" s="30"/>
      <c r="WCH1" s="30"/>
      <c r="WCI1" s="30"/>
      <c r="WCJ1" s="30"/>
      <c r="WCK1" s="30"/>
      <c r="WCL1" s="30"/>
      <c r="WCM1" s="30"/>
      <c r="WCN1" s="30"/>
      <c r="WCO1" s="30"/>
      <c r="WCP1" s="30"/>
      <c r="WCQ1" s="30"/>
      <c r="WCR1" s="30"/>
      <c r="WCS1" s="30"/>
      <c r="WCT1" s="30"/>
      <c r="WCU1" s="30"/>
      <c r="WCV1" s="30"/>
      <c r="WCW1" s="30"/>
      <c r="WCX1" s="30"/>
      <c r="WCY1" s="30"/>
      <c r="WCZ1" s="30"/>
      <c r="WDA1" s="30"/>
      <c r="WDB1" s="30"/>
      <c r="WDC1" s="30"/>
      <c r="WDD1" s="30"/>
      <c r="WDE1" s="30"/>
      <c r="WDF1" s="30"/>
      <c r="WDG1" s="30"/>
      <c r="WDH1" s="30"/>
      <c r="WDI1" s="30"/>
      <c r="WDJ1" s="30"/>
      <c r="WDK1" s="30"/>
      <c r="WDL1" s="30"/>
      <c r="WDM1" s="30"/>
      <c r="WDN1" s="30"/>
      <c r="WDO1" s="30"/>
      <c r="WDP1" s="30"/>
      <c r="WDQ1" s="30"/>
      <c r="WDR1" s="30"/>
      <c r="WDS1" s="30"/>
      <c r="WDT1" s="30"/>
      <c r="WDU1" s="30"/>
      <c r="WDV1" s="30"/>
      <c r="WDW1" s="30"/>
      <c r="WDX1" s="30"/>
      <c r="WDY1" s="30"/>
      <c r="WDZ1" s="30"/>
      <c r="WEA1" s="30"/>
      <c r="WEB1" s="30"/>
      <c r="WEC1" s="30"/>
      <c r="WED1" s="30"/>
      <c r="WEE1" s="30"/>
      <c r="WEF1" s="30"/>
      <c r="WEG1" s="30"/>
      <c r="WEH1" s="30"/>
      <c r="WEI1" s="30"/>
      <c r="WEJ1" s="30"/>
      <c r="WEK1" s="30"/>
      <c r="WEL1" s="30"/>
      <c r="WEM1" s="30"/>
      <c r="WEN1" s="30"/>
      <c r="WEO1" s="30"/>
      <c r="WEP1" s="30"/>
      <c r="WEQ1" s="30"/>
      <c r="WER1" s="30"/>
      <c r="WES1" s="30"/>
      <c r="WET1" s="30"/>
      <c r="WEU1" s="30"/>
      <c r="WEV1" s="30"/>
      <c r="WEW1" s="30"/>
      <c r="WEX1" s="30"/>
      <c r="WEY1" s="30"/>
      <c r="WEZ1" s="30"/>
      <c r="WFA1" s="30"/>
      <c r="WFB1" s="30"/>
      <c r="WFC1" s="30"/>
      <c r="WFD1" s="30"/>
      <c r="WFE1" s="30"/>
      <c r="WFF1" s="30"/>
      <c r="WFG1" s="30"/>
      <c r="WFH1" s="30"/>
      <c r="WFI1" s="30"/>
      <c r="WFJ1" s="30"/>
      <c r="WFK1" s="30"/>
      <c r="WFL1" s="30"/>
      <c r="WFM1" s="30"/>
      <c r="WFN1" s="30"/>
      <c r="WFO1" s="30"/>
      <c r="WFP1" s="30"/>
      <c r="WFQ1" s="30"/>
      <c r="WFR1" s="30"/>
      <c r="WFS1" s="30"/>
      <c r="WFT1" s="30"/>
      <c r="WFU1" s="30"/>
      <c r="WFV1" s="30"/>
      <c r="WFW1" s="30"/>
      <c r="WFX1" s="30"/>
      <c r="WFY1" s="30"/>
      <c r="WFZ1" s="30"/>
      <c r="WGA1" s="30"/>
      <c r="WGB1" s="30"/>
      <c r="WGC1" s="30"/>
      <c r="WGD1" s="30"/>
      <c r="WGE1" s="30"/>
      <c r="WGF1" s="30"/>
      <c r="WGG1" s="30"/>
      <c r="WGH1" s="30"/>
      <c r="WGI1" s="30"/>
      <c r="WGJ1" s="30"/>
      <c r="WGK1" s="30"/>
      <c r="WGL1" s="30"/>
      <c r="WGM1" s="30"/>
      <c r="WGN1" s="30"/>
      <c r="WGO1" s="30"/>
      <c r="WGP1" s="30"/>
      <c r="WGQ1" s="30"/>
      <c r="WGR1" s="30"/>
      <c r="WGS1" s="30"/>
      <c r="WGT1" s="30"/>
      <c r="WGU1" s="30"/>
      <c r="WGV1" s="30"/>
      <c r="WGW1" s="30"/>
      <c r="WGX1" s="30"/>
      <c r="WGY1" s="30"/>
      <c r="WGZ1" s="30"/>
      <c r="WHA1" s="30"/>
      <c r="WHB1" s="30"/>
      <c r="WHC1" s="30"/>
      <c r="WHD1" s="30"/>
      <c r="WHE1" s="30"/>
      <c r="WHF1" s="30"/>
      <c r="WHG1" s="30"/>
      <c r="WHH1" s="30"/>
      <c r="WHI1" s="30"/>
      <c r="WHJ1" s="30"/>
      <c r="WHK1" s="30"/>
      <c r="WHL1" s="30"/>
      <c r="WHM1" s="30"/>
      <c r="WHN1" s="30"/>
      <c r="WHO1" s="30"/>
      <c r="WHP1" s="30"/>
      <c r="WHQ1" s="30"/>
      <c r="WHR1" s="30"/>
      <c r="WHS1" s="30"/>
      <c r="WHT1" s="30"/>
      <c r="WHU1" s="30"/>
      <c r="WHV1" s="30"/>
      <c r="WHW1" s="30"/>
      <c r="WHX1" s="30"/>
      <c r="WHY1" s="30"/>
      <c r="WHZ1" s="30"/>
      <c r="WIA1" s="30"/>
      <c r="WIB1" s="30"/>
      <c r="WIC1" s="30"/>
      <c r="WID1" s="30"/>
      <c r="WIE1" s="30"/>
      <c r="WIF1" s="30"/>
      <c r="WIG1" s="30"/>
      <c r="WIH1" s="30"/>
      <c r="WII1" s="30"/>
      <c r="WIJ1" s="30"/>
      <c r="WIK1" s="30"/>
      <c r="WIL1" s="30"/>
      <c r="WIM1" s="30"/>
      <c r="WIN1" s="30"/>
      <c r="WIO1" s="30"/>
      <c r="WIP1" s="30"/>
      <c r="WIQ1" s="30"/>
      <c r="WIR1" s="30"/>
      <c r="WIS1" s="30"/>
      <c r="WIT1" s="30"/>
      <c r="WIU1" s="30"/>
      <c r="WIV1" s="30"/>
      <c r="WIW1" s="30"/>
      <c r="WIX1" s="30"/>
      <c r="WIY1" s="30"/>
      <c r="WIZ1" s="30"/>
      <c r="WJA1" s="30"/>
      <c r="WJB1" s="30"/>
      <c r="WJC1" s="30"/>
      <c r="WJD1" s="30"/>
      <c r="WJE1" s="30"/>
      <c r="WJF1" s="30"/>
      <c r="WJG1" s="30"/>
      <c r="WJH1" s="30"/>
      <c r="WJI1" s="30"/>
      <c r="WJJ1" s="30"/>
      <c r="WJK1" s="30"/>
      <c r="WJL1" s="30"/>
      <c r="WJM1" s="30"/>
      <c r="WJN1" s="30"/>
      <c r="WJO1" s="30"/>
      <c r="WJP1" s="30"/>
      <c r="WJQ1" s="30"/>
      <c r="WJR1" s="30"/>
      <c r="WJS1" s="30"/>
      <c r="WJT1" s="30"/>
      <c r="WJU1" s="30"/>
      <c r="WJV1" s="30"/>
      <c r="WJW1" s="30"/>
      <c r="WJX1" s="30"/>
      <c r="WJY1" s="30"/>
      <c r="WJZ1" s="30"/>
      <c r="WKA1" s="30"/>
      <c r="WKB1" s="30"/>
      <c r="WKC1" s="30"/>
      <c r="WKD1" s="30"/>
      <c r="WKE1" s="30"/>
      <c r="WKF1" s="30"/>
      <c r="WKG1" s="30"/>
      <c r="WKH1" s="30"/>
      <c r="WKI1" s="30"/>
      <c r="WKJ1" s="30"/>
      <c r="WKK1" s="30"/>
      <c r="WKL1" s="30"/>
      <c r="WKM1" s="30"/>
      <c r="WKN1" s="30"/>
      <c r="WKO1" s="30"/>
      <c r="WKP1" s="30"/>
      <c r="WKQ1" s="30"/>
      <c r="WKR1" s="30"/>
      <c r="WKS1" s="30"/>
      <c r="WKT1" s="30"/>
      <c r="WKU1" s="30"/>
      <c r="WKV1" s="30"/>
      <c r="WKW1" s="30"/>
      <c r="WKX1" s="30"/>
      <c r="WKY1" s="30"/>
      <c r="WKZ1" s="30"/>
      <c r="WLA1" s="30"/>
      <c r="WLB1" s="30"/>
      <c r="WLC1" s="30"/>
      <c r="WLD1" s="30"/>
      <c r="WLE1" s="30"/>
      <c r="WLF1" s="30"/>
      <c r="WLG1" s="30"/>
      <c r="WLH1" s="30"/>
      <c r="WLI1" s="30"/>
      <c r="WLJ1" s="30"/>
      <c r="WLK1" s="30"/>
      <c r="WLL1" s="30"/>
      <c r="WLM1" s="30"/>
      <c r="WLN1" s="30"/>
      <c r="WLO1" s="30"/>
      <c r="WLP1" s="30"/>
      <c r="WLQ1" s="30"/>
      <c r="WLR1" s="30"/>
      <c r="WLS1" s="30"/>
      <c r="WLT1" s="30"/>
      <c r="WLU1" s="30"/>
      <c r="WLV1" s="30"/>
      <c r="WLW1" s="30"/>
      <c r="WLX1" s="30"/>
      <c r="WLY1" s="30"/>
      <c r="WLZ1" s="30"/>
      <c r="WMA1" s="30"/>
      <c r="WMB1" s="30"/>
      <c r="WMC1" s="30"/>
      <c r="WMD1" s="30"/>
      <c r="WME1" s="30"/>
      <c r="WMF1" s="30"/>
      <c r="WMG1" s="30"/>
      <c r="WMH1" s="30"/>
      <c r="WMI1" s="30"/>
      <c r="WMJ1" s="30"/>
      <c r="WMK1" s="30"/>
      <c r="WML1" s="30"/>
      <c r="WMM1" s="30"/>
      <c r="WMN1" s="30"/>
      <c r="WMO1" s="30"/>
      <c r="WMP1" s="30"/>
      <c r="WMQ1" s="30"/>
      <c r="WMR1" s="30"/>
      <c r="WMS1" s="30"/>
      <c r="WMT1" s="30"/>
      <c r="WMU1" s="30"/>
      <c r="WMV1" s="30"/>
      <c r="WMW1" s="30"/>
      <c r="WMX1" s="30"/>
      <c r="WMY1" s="30"/>
      <c r="WMZ1" s="30"/>
      <c r="WNA1" s="30"/>
      <c r="WNB1" s="30"/>
      <c r="WNC1" s="30"/>
      <c r="WND1" s="30"/>
      <c r="WNE1" s="30"/>
      <c r="WNF1" s="30"/>
      <c r="WNG1" s="30"/>
      <c r="WNH1" s="30"/>
      <c r="WNI1" s="30"/>
      <c r="WNJ1" s="30"/>
      <c r="WNK1" s="30"/>
      <c r="WNL1" s="30"/>
      <c r="WNM1" s="30"/>
      <c r="WNN1" s="30"/>
      <c r="WNO1" s="30"/>
      <c r="WNP1" s="30"/>
      <c r="WNQ1" s="30"/>
      <c r="WNR1" s="30"/>
      <c r="WNS1" s="30"/>
      <c r="WNT1" s="30"/>
      <c r="WNU1" s="30"/>
      <c r="WNV1" s="30"/>
      <c r="WNW1" s="30"/>
      <c r="WNX1" s="30"/>
      <c r="WNY1" s="30"/>
      <c r="WNZ1" s="30"/>
      <c r="WOA1" s="30"/>
      <c r="WOB1" s="30"/>
      <c r="WOC1" s="30"/>
      <c r="WOD1" s="30"/>
      <c r="WOE1" s="30"/>
      <c r="WOF1" s="30"/>
      <c r="WOG1" s="30"/>
      <c r="WOH1" s="30"/>
      <c r="WOI1" s="30"/>
      <c r="WOJ1" s="30"/>
      <c r="WOK1" s="30"/>
      <c r="WOL1" s="30"/>
      <c r="WOM1" s="30"/>
      <c r="WON1" s="30"/>
      <c r="WOO1" s="30"/>
      <c r="WOP1" s="30"/>
      <c r="WOQ1" s="30"/>
      <c r="WOR1" s="30"/>
      <c r="WOS1" s="30"/>
      <c r="WOT1" s="30"/>
      <c r="WOU1" s="30"/>
      <c r="WOV1" s="30"/>
      <c r="WOW1" s="30"/>
      <c r="WOX1" s="30"/>
      <c r="WOY1" s="30"/>
      <c r="WOZ1" s="30"/>
      <c r="WPA1" s="30"/>
      <c r="WPB1" s="30"/>
      <c r="WPC1" s="30"/>
      <c r="WPD1" s="30"/>
      <c r="WPE1" s="30"/>
      <c r="WPF1" s="30"/>
      <c r="WPG1" s="30"/>
      <c r="WPH1" s="30"/>
      <c r="WPI1" s="30"/>
      <c r="WPJ1" s="30"/>
      <c r="WPK1" s="30"/>
      <c r="WPL1" s="30"/>
      <c r="WPM1" s="30"/>
      <c r="WPN1" s="30"/>
      <c r="WPO1" s="30"/>
      <c r="WPP1" s="30"/>
      <c r="WPQ1" s="30"/>
      <c r="WPR1" s="30"/>
      <c r="WPS1" s="30"/>
      <c r="WPT1" s="30"/>
      <c r="WPU1" s="30"/>
      <c r="WPV1" s="30"/>
      <c r="WPW1" s="30"/>
      <c r="WPX1" s="30"/>
      <c r="WPY1" s="30"/>
      <c r="WPZ1" s="30"/>
      <c r="WQA1" s="30"/>
      <c r="WQB1" s="30"/>
      <c r="WQC1" s="30"/>
      <c r="WQD1" s="30"/>
      <c r="WQE1" s="30"/>
      <c r="WQF1" s="30"/>
      <c r="WQG1" s="30"/>
      <c r="WQH1" s="30"/>
      <c r="WQI1" s="30"/>
      <c r="WQJ1" s="30"/>
      <c r="WQK1" s="30"/>
      <c r="WQL1" s="30"/>
      <c r="WQM1" s="30"/>
      <c r="WQN1" s="30"/>
      <c r="WQO1" s="30"/>
      <c r="WQP1" s="30"/>
      <c r="WQQ1" s="30"/>
      <c r="WQR1" s="30"/>
      <c r="WQS1" s="30"/>
      <c r="WQT1" s="30"/>
      <c r="WQU1" s="30"/>
      <c r="WQV1" s="30"/>
      <c r="WQW1" s="30"/>
      <c r="WQX1" s="30"/>
      <c r="WQY1" s="30"/>
      <c r="WQZ1" s="30"/>
      <c r="WRA1" s="30"/>
      <c r="WRB1" s="30"/>
      <c r="WRC1" s="30"/>
      <c r="WRD1" s="30"/>
      <c r="WRE1" s="30"/>
      <c r="WRF1" s="30"/>
      <c r="WRG1" s="30"/>
      <c r="WRH1" s="30"/>
      <c r="WRI1" s="30"/>
      <c r="WRJ1" s="30"/>
      <c r="WRK1" s="30"/>
      <c r="WRL1" s="30"/>
      <c r="WRM1" s="30"/>
      <c r="WRN1" s="30"/>
      <c r="WRO1" s="30"/>
      <c r="WRP1" s="30"/>
      <c r="WRQ1" s="30"/>
      <c r="WRR1" s="30"/>
      <c r="WRS1" s="30"/>
      <c r="WRT1" s="30"/>
      <c r="WRU1" s="30"/>
      <c r="WRV1" s="30"/>
      <c r="WRW1" s="30"/>
      <c r="WRX1" s="30"/>
      <c r="WRY1" s="30"/>
      <c r="WRZ1" s="30"/>
      <c r="WSA1" s="30"/>
      <c r="WSB1" s="30"/>
      <c r="WSC1" s="30"/>
      <c r="WSD1" s="30"/>
      <c r="WSE1" s="30"/>
      <c r="WSF1" s="30"/>
      <c r="WSG1" s="30"/>
      <c r="WSH1" s="30"/>
      <c r="WSI1" s="30"/>
      <c r="WSJ1" s="30"/>
      <c r="WSK1" s="30"/>
      <c r="WSL1" s="30"/>
      <c r="WSM1" s="30"/>
      <c r="WSN1" s="30"/>
      <c r="WSO1" s="30"/>
      <c r="WSP1" s="30"/>
      <c r="WSQ1" s="30"/>
      <c r="WSR1" s="30"/>
      <c r="WSS1" s="30"/>
      <c r="WST1" s="30"/>
      <c r="WSU1" s="30"/>
      <c r="WSV1" s="30"/>
      <c r="WSW1" s="30"/>
      <c r="WSX1" s="30"/>
      <c r="WSY1" s="30"/>
      <c r="WSZ1" s="30"/>
      <c r="WTA1" s="30"/>
      <c r="WTB1" s="30"/>
      <c r="WTC1" s="30"/>
      <c r="WTD1" s="30"/>
      <c r="WTE1" s="30"/>
      <c r="WTF1" s="30"/>
      <c r="WTG1" s="30"/>
      <c r="WTH1" s="30"/>
      <c r="WTI1" s="30"/>
      <c r="WTJ1" s="30"/>
      <c r="WTK1" s="30"/>
      <c r="WTL1" s="30"/>
      <c r="WTM1" s="30"/>
      <c r="WTN1" s="30"/>
      <c r="WTO1" s="30"/>
      <c r="WTP1" s="30"/>
      <c r="WTQ1" s="30"/>
      <c r="WTR1" s="30"/>
      <c r="WTS1" s="30"/>
      <c r="WTT1" s="30"/>
      <c r="WTU1" s="30"/>
      <c r="WTV1" s="30"/>
      <c r="WTW1" s="30"/>
      <c r="WTX1" s="30"/>
      <c r="WTY1" s="30"/>
      <c r="WTZ1" s="30"/>
      <c r="WUA1" s="30"/>
      <c r="WUB1" s="30"/>
      <c r="WUC1" s="30"/>
      <c r="WUD1" s="30"/>
      <c r="WUE1" s="30"/>
      <c r="WUF1" s="30"/>
      <c r="WUG1" s="30"/>
      <c r="WUH1" s="30"/>
      <c r="WUI1" s="30"/>
      <c r="WUJ1" s="30"/>
      <c r="WUK1" s="30"/>
      <c r="WUL1" s="30"/>
      <c r="WUM1" s="30"/>
      <c r="WUN1" s="30"/>
      <c r="WUO1" s="30"/>
      <c r="WUP1" s="30"/>
      <c r="WUQ1" s="30"/>
      <c r="WUR1" s="30"/>
      <c r="WUS1" s="30"/>
      <c r="WUT1" s="30"/>
      <c r="WUU1" s="30"/>
      <c r="WUV1" s="30"/>
      <c r="WUW1" s="30"/>
      <c r="WUX1" s="30"/>
      <c r="WUY1" s="30"/>
      <c r="WUZ1" s="30"/>
      <c r="WVA1" s="30"/>
      <c r="WVB1" s="30"/>
      <c r="WVC1" s="30"/>
      <c r="WVD1" s="30"/>
      <c r="WVE1" s="30"/>
      <c r="WVF1" s="30"/>
      <c r="WVG1" s="30"/>
      <c r="WVH1" s="30"/>
      <c r="WVI1" s="30"/>
      <c r="WVJ1" s="30"/>
      <c r="WVK1" s="30"/>
      <c r="WVL1" s="30"/>
      <c r="WVM1" s="30"/>
      <c r="WVN1" s="30"/>
      <c r="WVO1" s="30"/>
      <c r="WVP1" s="30"/>
      <c r="WVQ1" s="30"/>
      <c r="WVR1" s="30"/>
      <c r="WVS1" s="30"/>
      <c r="WVT1" s="30"/>
      <c r="WVU1" s="30"/>
      <c r="WVV1" s="30"/>
      <c r="WVW1" s="30"/>
      <c r="WVX1" s="30"/>
      <c r="WVY1" s="30"/>
      <c r="WVZ1" s="30"/>
      <c r="WWA1" s="30"/>
      <c r="WWB1" s="30"/>
      <c r="WWC1" s="30"/>
      <c r="WWD1" s="30"/>
      <c r="WWE1" s="30"/>
      <c r="WWF1" s="30"/>
      <c r="WWG1" s="30"/>
      <c r="WWH1" s="30"/>
      <c r="WWI1" s="30"/>
      <c r="WWJ1" s="30"/>
      <c r="WWK1" s="30"/>
      <c r="WWL1" s="30"/>
      <c r="WWM1" s="30"/>
      <c r="WWN1" s="30"/>
      <c r="WWO1" s="30"/>
      <c r="WWP1" s="30"/>
      <c r="WWQ1" s="30"/>
      <c r="WWR1" s="30"/>
      <c r="WWS1" s="30"/>
      <c r="WWT1" s="30"/>
      <c r="WWU1" s="30"/>
      <c r="WWV1" s="30"/>
      <c r="WWW1" s="30"/>
      <c r="WWX1" s="30"/>
      <c r="WWY1" s="30"/>
      <c r="WWZ1" s="30"/>
      <c r="WXA1" s="30"/>
      <c r="WXB1" s="30"/>
      <c r="WXC1" s="30"/>
      <c r="WXD1" s="30"/>
      <c r="WXE1" s="30"/>
      <c r="WXF1" s="30"/>
      <c r="WXG1" s="30"/>
      <c r="WXH1" s="30"/>
      <c r="WXI1" s="30"/>
      <c r="WXJ1" s="30"/>
      <c r="WXK1" s="30"/>
      <c r="WXL1" s="30"/>
      <c r="WXM1" s="30"/>
      <c r="WXN1" s="30"/>
      <c r="WXO1" s="30"/>
      <c r="WXP1" s="30"/>
      <c r="WXQ1" s="30"/>
      <c r="WXR1" s="30"/>
      <c r="WXS1" s="30"/>
      <c r="WXT1" s="30"/>
      <c r="WXU1" s="30"/>
      <c r="WXV1" s="30"/>
      <c r="WXW1" s="30"/>
      <c r="WXX1" s="30"/>
      <c r="WXY1" s="30"/>
      <c r="WXZ1" s="30"/>
      <c r="WYA1" s="30"/>
      <c r="WYB1" s="30"/>
      <c r="WYC1" s="30"/>
      <c r="WYD1" s="30"/>
      <c r="WYE1" s="30"/>
      <c r="WYF1" s="30"/>
      <c r="WYG1" s="30"/>
      <c r="WYH1" s="30"/>
      <c r="WYI1" s="30"/>
      <c r="WYJ1" s="30"/>
      <c r="WYK1" s="30"/>
      <c r="WYL1" s="30"/>
      <c r="WYM1" s="30"/>
      <c r="WYN1" s="30"/>
      <c r="WYO1" s="30"/>
      <c r="WYP1" s="30"/>
      <c r="WYQ1" s="30"/>
      <c r="WYR1" s="30"/>
      <c r="WYS1" s="30"/>
      <c r="WYT1" s="30"/>
      <c r="WYU1" s="30"/>
      <c r="WYV1" s="30"/>
      <c r="WYW1" s="30"/>
      <c r="WYX1" s="30"/>
      <c r="WYY1" s="30"/>
      <c r="WYZ1" s="30"/>
      <c r="WZA1" s="30"/>
      <c r="WZB1" s="30"/>
      <c r="WZC1" s="30"/>
      <c r="WZD1" s="30"/>
      <c r="WZE1" s="30"/>
      <c r="WZF1" s="30"/>
      <c r="WZG1" s="30"/>
      <c r="WZH1" s="30"/>
      <c r="WZI1" s="30"/>
      <c r="WZJ1" s="30"/>
      <c r="WZK1" s="30"/>
      <c r="WZL1" s="30"/>
      <c r="WZM1" s="30"/>
      <c r="WZN1" s="30"/>
      <c r="WZO1" s="30"/>
      <c r="WZP1" s="30"/>
      <c r="WZQ1" s="30"/>
      <c r="WZR1" s="30"/>
      <c r="WZS1" s="30"/>
      <c r="WZT1" s="30"/>
      <c r="WZU1" s="30"/>
      <c r="WZV1" s="30"/>
      <c r="WZW1" s="30"/>
      <c r="WZX1" s="30"/>
      <c r="WZY1" s="30"/>
      <c r="WZZ1" s="30"/>
      <c r="XAA1" s="30"/>
      <c r="XAB1" s="30"/>
      <c r="XAC1" s="30"/>
      <c r="XAD1" s="30"/>
      <c r="XAE1" s="30"/>
      <c r="XAF1" s="30"/>
      <c r="XAG1" s="30"/>
      <c r="XAH1" s="30"/>
      <c r="XAI1" s="30"/>
      <c r="XAJ1" s="30"/>
      <c r="XAK1" s="30"/>
      <c r="XAL1" s="30"/>
      <c r="XAM1" s="30"/>
      <c r="XAN1" s="30"/>
      <c r="XAO1" s="30"/>
      <c r="XAP1" s="30"/>
      <c r="XAQ1" s="30"/>
      <c r="XAR1" s="30"/>
      <c r="XAS1" s="30"/>
      <c r="XAT1" s="30"/>
      <c r="XAU1" s="30"/>
      <c r="XAV1" s="30"/>
      <c r="XAW1" s="30"/>
      <c r="XAX1" s="30"/>
      <c r="XAY1" s="30"/>
      <c r="XAZ1" s="30"/>
      <c r="XBA1" s="30"/>
      <c r="XBB1" s="30"/>
      <c r="XBC1" s="30"/>
      <c r="XBD1" s="30"/>
      <c r="XBE1" s="30"/>
      <c r="XBF1" s="30"/>
      <c r="XBG1" s="30"/>
      <c r="XBH1" s="30"/>
      <c r="XBI1" s="30"/>
      <c r="XBJ1" s="30"/>
      <c r="XBK1" s="30"/>
      <c r="XBL1" s="30"/>
      <c r="XBM1" s="30"/>
      <c r="XBN1" s="30"/>
      <c r="XBO1" s="30"/>
      <c r="XBP1" s="30"/>
      <c r="XBQ1" s="30"/>
      <c r="XBR1" s="30"/>
      <c r="XBS1" s="30"/>
      <c r="XBT1" s="30"/>
      <c r="XBU1" s="30"/>
      <c r="XBV1" s="30"/>
      <c r="XBW1" s="30"/>
      <c r="XBX1" s="30"/>
      <c r="XBY1" s="30"/>
      <c r="XBZ1" s="30"/>
      <c r="XCA1" s="30"/>
      <c r="XCB1" s="30"/>
      <c r="XCC1" s="30"/>
      <c r="XCD1" s="30"/>
      <c r="XCE1" s="30"/>
      <c r="XCF1" s="30"/>
      <c r="XCG1" s="30"/>
      <c r="XCH1" s="30"/>
      <c r="XCI1" s="30"/>
      <c r="XCJ1" s="30"/>
      <c r="XCK1" s="30"/>
      <c r="XCL1" s="30"/>
      <c r="XCM1" s="30"/>
      <c r="XCN1" s="30"/>
      <c r="XCO1" s="30"/>
      <c r="XCP1" s="30"/>
      <c r="XCQ1" s="30"/>
      <c r="XCR1" s="30"/>
      <c r="XCS1" s="30"/>
      <c r="XCT1" s="30"/>
      <c r="XCU1" s="30"/>
      <c r="XCV1" s="30"/>
      <c r="XCW1" s="30"/>
      <c r="XCX1" s="30"/>
      <c r="XCY1" s="30"/>
      <c r="XCZ1" s="30"/>
      <c r="XDA1" s="30"/>
      <c r="XDB1" s="30"/>
      <c r="XDC1" s="30"/>
      <c r="XDD1" s="30"/>
      <c r="XDE1" s="30"/>
      <c r="XDF1" s="30"/>
      <c r="XDG1" s="30"/>
      <c r="XDH1" s="30"/>
      <c r="XDI1" s="30"/>
      <c r="XDJ1" s="30"/>
      <c r="XDK1" s="30"/>
      <c r="XDL1" s="30"/>
      <c r="XDM1" s="30"/>
      <c r="XDN1" s="30"/>
      <c r="XDO1" s="30"/>
      <c r="XDP1" s="30"/>
      <c r="XDQ1" s="30"/>
      <c r="XDR1" s="30"/>
      <c r="XDS1" s="30"/>
      <c r="XDT1" s="30"/>
      <c r="XDU1" s="30"/>
      <c r="XDV1" s="30"/>
      <c r="XDW1" s="30"/>
      <c r="XDX1" s="30"/>
      <c r="XDY1" s="30"/>
      <c r="XDZ1" s="30"/>
      <c r="XEA1" s="30"/>
      <c r="XEB1" s="30"/>
      <c r="XEC1" s="30"/>
      <c r="XED1" s="30"/>
      <c r="XEE1" s="30"/>
      <c r="XEF1" s="30"/>
      <c r="XEG1" s="30"/>
      <c r="XEH1" s="30"/>
      <c r="XEI1" s="30"/>
      <c r="XEJ1" s="30"/>
      <c r="XEK1" s="30"/>
      <c r="XEL1" s="30"/>
      <c r="XEM1" s="30"/>
      <c r="XEN1" s="30"/>
      <c r="XEO1" s="30"/>
      <c r="XEP1" s="30"/>
      <c r="XEQ1" s="30"/>
    </row>
    <row r="2" spans="1:16371" ht="50.25" customHeight="1" x14ac:dyDescent="0.25">
      <c r="A2" s="451" t="s">
        <v>288</v>
      </c>
      <c r="B2" s="452" t="s">
        <v>383</v>
      </c>
      <c r="C2" s="452" t="s">
        <v>335</v>
      </c>
      <c r="D2" s="452" t="s">
        <v>337</v>
      </c>
      <c r="E2" s="451" t="s">
        <v>610</v>
      </c>
      <c r="F2" s="451" t="s">
        <v>310</v>
      </c>
      <c r="G2" s="452" t="s">
        <v>469</v>
      </c>
      <c r="H2" s="452" t="s">
        <v>611</v>
      </c>
      <c r="I2" s="452" t="s">
        <v>566</v>
      </c>
      <c r="J2" s="452" t="s">
        <v>1477</v>
      </c>
    </row>
    <row r="3" spans="1:16371" x14ac:dyDescent="0.25">
      <c r="A3" s="5">
        <v>1</v>
      </c>
      <c r="B3" s="5" t="s">
        <v>634</v>
      </c>
      <c r="C3" s="1" t="s">
        <v>234</v>
      </c>
      <c r="D3" s="2" t="s">
        <v>235</v>
      </c>
      <c r="E3" s="33">
        <v>194313.622906868</v>
      </c>
      <c r="F3" s="7">
        <v>4.2945622809280852</v>
      </c>
      <c r="G3" s="7" t="s">
        <v>470</v>
      </c>
      <c r="H3" s="5" t="s">
        <v>327</v>
      </c>
      <c r="I3" s="5" t="s">
        <v>963</v>
      </c>
      <c r="J3" s="5" t="s">
        <v>1473</v>
      </c>
    </row>
    <row r="4" spans="1:16371" x14ac:dyDescent="0.25">
      <c r="A4" s="5">
        <v>2</v>
      </c>
      <c r="B4" s="5" t="s">
        <v>635</v>
      </c>
      <c r="C4" s="5" t="s">
        <v>210</v>
      </c>
      <c r="D4" s="5" t="s">
        <v>211</v>
      </c>
      <c r="E4" s="33">
        <v>185293.02100259563</v>
      </c>
      <c r="F4" s="7">
        <v>2.104183173575167</v>
      </c>
      <c r="G4" s="7" t="s">
        <v>470</v>
      </c>
      <c r="H4" s="5" t="s">
        <v>311</v>
      </c>
      <c r="I4" s="5" t="s">
        <v>964</v>
      </c>
      <c r="J4" s="5" t="s">
        <v>1473</v>
      </c>
    </row>
    <row r="5" spans="1:16371" x14ac:dyDescent="0.25">
      <c r="A5" s="5">
        <v>3</v>
      </c>
      <c r="B5" s="5" t="s">
        <v>636</v>
      </c>
      <c r="C5" s="5" t="s">
        <v>558</v>
      </c>
      <c r="D5" s="10" t="s">
        <v>559</v>
      </c>
      <c r="E5" s="33">
        <v>87749.732274265567</v>
      </c>
      <c r="F5" s="7">
        <v>2.0863987987407802</v>
      </c>
      <c r="G5" s="7" t="s">
        <v>470</v>
      </c>
      <c r="H5" s="5" t="s">
        <v>327</v>
      </c>
      <c r="I5" s="5" t="s">
        <v>964</v>
      </c>
      <c r="J5" s="5" t="s">
        <v>471</v>
      </c>
    </row>
    <row r="6" spans="1:16371" x14ac:dyDescent="0.25">
      <c r="A6" s="5">
        <v>4</v>
      </c>
      <c r="B6" s="5" t="s">
        <v>637</v>
      </c>
      <c r="C6" s="5" t="s">
        <v>196</v>
      </c>
      <c r="D6" s="5" t="s">
        <v>312</v>
      </c>
      <c r="E6" s="33">
        <v>528359.73192578461</v>
      </c>
      <c r="F6" s="7">
        <v>1.747680172022114</v>
      </c>
      <c r="G6" s="7" t="s">
        <v>470</v>
      </c>
      <c r="H6" s="5" t="s">
        <v>311</v>
      </c>
      <c r="I6" s="5" t="s">
        <v>963</v>
      </c>
      <c r="J6" s="5" t="s">
        <v>471</v>
      </c>
    </row>
    <row r="7" spans="1:16371" x14ac:dyDescent="0.25">
      <c r="A7" s="5">
        <v>5</v>
      </c>
      <c r="B7" s="5" t="s">
        <v>638</v>
      </c>
      <c r="C7" s="5" t="s">
        <v>202</v>
      </c>
      <c r="D7" s="5" t="s">
        <v>203</v>
      </c>
      <c r="E7" s="33">
        <v>98725.808833108196</v>
      </c>
      <c r="F7" s="7">
        <v>1.7408829669191319</v>
      </c>
      <c r="G7" s="7" t="s">
        <v>470</v>
      </c>
      <c r="H7" s="5" t="s">
        <v>311</v>
      </c>
      <c r="I7" s="8" t="s">
        <v>965</v>
      </c>
      <c r="J7" s="5" t="s">
        <v>1473</v>
      </c>
    </row>
    <row r="8" spans="1:16371" x14ac:dyDescent="0.25">
      <c r="A8" s="5">
        <v>6</v>
      </c>
      <c r="B8" s="5" t="s">
        <v>639</v>
      </c>
      <c r="C8" s="5" t="s">
        <v>284</v>
      </c>
      <c r="D8" s="5" t="s">
        <v>313</v>
      </c>
      <c r="E8" s="33">
        <v>298276.65924390411</v>
      </c>
      <c r="F8" s="7">
        <v>1.7339661370419208</v>
      </c>
      <c r="G8" s="7" t="s">
        <v>470</v>
      </c>
      <c r="H8" s="5" t="s">
        <v>311</v>
      </c>
      <c r="J8" s="5" t="s">
        <v>471</v>
      </c>
    </row>
    <row r="9" spans="1:16371" x14ac:dyDescent="0.25">
      <c r="A9" s="5">
        <v>7</v>
      </c>
      <c r="B9" s="5" t="s">
        <v>640</v>
      </c>
      <c r="C9" s="5" t="s">
        <v>274</v>
      </c>
      <c r="D9" s="5" t="s">
        <v>330</v>
      </c>
      <c r="E9" s="33">
        <v>261250.31482940607</v>
      </c>
      <c r="F9" s="7">
        <v>1.6415089959780573</v>
      </c>
      <c r="G9" s="7" t="s">
        <v>470</v>
      </c>
      <c r="H9" s="5" t="s">
        <v>327</v>
      </c>
      <c r="J9" s="5" t="s">
        <v>471</v>
      </c>
    </row>
    <row r="10" spans="1:16371" x14ac:dyDescent="0.25">
      <c r="A10" s="5">
        <v>8</v>
      </c>
      <c r="B10" s="5" t="s">
        <v>641</v>
      </c>
      <c r="C10" s="5" t="s">
        <v>4</v>
      </c>
      <c r="D10" s="19" t="s">
        <v>5</v>
      </c>
      <c r="E10" s="33">
        <v>249534.49672519456</v>
      </c>
      <c r="F10" s="7">
        <v>1.2249743444979746</v>
      </c>
      <c r="G10" s="7" t="s">
        <v>470</v>
      </c>
      <c r="H10" s="5" t="s">
        <v>314</v>
      </c>
      <c r="I10" s="8"/>
      <c r="J10" s="5" t="s">
        <v>1473</v>
      </c>
    </row>
    <row r="11" spans="1:16371" x14ac:dyDescent="0.25">
      <c r="A11" s="5">
        <v>9</v>
      </c>
      <c r="B11" s="5" t="s">
        <v>642</v>
      </c>
      <c r="C11" s="5" t="s">
        <v>204</v>
      </c>
      <c r="D11" s="5" t="s">
        <v>315</v>
      </c>
      <c r="E11" s="33">
        <v>455142.74870299886</v>
      </c>
      <c r="F11" s="7">
        <v>1.1276092039490273</v>
      </c>
      <c r="G11" s="7" t="s">
        <v>470</v>
      </c>
      <c r="H11" s="5" t="s">
        <v>311</v>
      </c>
      <c r="I11" s="8" t="s">
        <v>966</v>
      </c>
      <c r="J11" s="5" t="s">
        <v>1473</v>
      </c>
    </row>
    <row r="12" spans="1:16371" x14ac:dyDescent="0.25">
      <c r="A12" s="5">
        <v>10</v>
      </c>
      <c r="B12" s="5" t="s">
        <v>643</v>
      </c>
      <c r="C12" s="5" t="s">
        <v>194</v>
      </c>
      <c r="D12" s="5" t="s">
        <v>316</v>
      </c>
      <c r="E12" s="33">
        <v>236074.67803352428</v>
      </c>
      <c r="F12" s="7">
        <v>1.1173279225143853</v>
      </c>
      <c r="G12" s="7" t="s">
        <v>470</v>
      </c>
      <c r="H12" s="5" t="s">
        <v>311</v>
      </c>
      <c r="J12" s="5" t="s">
        <v>471</v>
      </c>
    </row>
    <row r="13" spans="1:16371" x14ac:dyDescent="0.25">
      <c r="A13" s="45">
        <v>11</v>
      </c>
      <c r="B13" s="45" t="s">
        <v>644</v>
      </c>
      <c r="C13" s="45" t="s">
        <v>2</v>
      </c>
      <c r="D13" s="50" t="s">
        <v>3</v>
      </c>
      <c r="E13" s="453">
        <v>279257.82242115278</v>
      </c>
      <c r="F13" s="47">
        <v>1.0522077209439276</v>
      </c>
      <c r="G13" s="47" t="s">
        <v>470</v>
      </c>
      <c r="H13" s="45" t="s">
        <v>314</v>
      </c>
      <c r="I13" s="48"/>
      <c r="J13" s="45" t="s">
        <v>1473</v>
      </c>
    </row>
    <row r="14" spans="1:16371" x14ac:dyDescent="0.25">
      <c r="A14" s="5">
        <v>12</v>
      </c>
      <c r="B14" s="5" t="s">
        <v>645</v>
      </c>
      <c r="C14" s="5" t="s">
        <v>390</v>
      </c>
      <c r="D14" s="5" t="s">
        <v>317</v>
      </c>
      <c r="E14" s="33">
        <v>316481.58767828258</v>
      </c>
      <c r="F14" s="81">
        <v>0.98053405961426088</v>
      </c>
      <c r="G14" s="81" t="s">
        <v>471</v>
      </c>
      <c r="H14" s="5" t="s">
        <v>311</v>
      </c>
      <c r="J14" s="5" t="s">
        <v>471</v>
      </c>
    </row>
    <row r="15" spans="1:16371" x14ac:dyDescent="0.25">
      <c r="A15" s="5">
        <v>13</v>
      </c>
      <c r="B15" s="5" t="s">
        <v>646</v>
      </c>
      <c r="C15" s="5" t="s">
        <v>272</v>
      </c>
      <c r="D15" s="5" t="s">
        <v>328</v>
      </c>
      <c r="E15" s="33">
        <v>164459.43281312907</v>
      </c>
      <c r="F15" s="7">
        <v>0.91266069164089347</v>
      </c>
      <c r="G15" s="7" t="s">
        <v>471</v>
      </c>
      <c r="H15" s="5" t="s">
        <v>327</v>
      </c>
      <c r="J15" s="5" t="s">
        <v>471</v>
      </c>
    </row>
    <row r="16" spans="1:16371" x14ac:dyDescent="0.25">
      <c r="A16" s="5">
        <v>14</v>
      </c>
      <c r="B16" s="5" t="s">
        <v>647</v>
      </c>
      <c r="C16" s="5" t="s">
        <v>0</v>
      </c>
      <c r="D16" s="19" t="s">
        <v>1</v>
      </c>
      <c r="E16" s="33">
        <v>67299.68914681446</v>
      </c>
      <c r="F16" s="7">
        <v>0.87613316634384464</v>
      </c>
      <c r="G16" s="7" t="s">
        <v>471</v>
      </c>
      <c r="H16" s="5" t="s">
        <v>311</v>
      </c>
      <c r="I16" s="8"/>
      <c r="J16" s="8" t="s">
        <v>1473</v>
      </c>
    </row>
    <row r="17" spans="1:10" x14ac:dyDescent="0.25">
      <c r="A17" s="5">
        <v>15</v>
      </c>
      <c r="B17" s="5" t="s">
        <v>648</v>
      </c>
      <c r="C17" s="5" t="s">
        <v>46</v>
      </c>
      <c r="D17" s="5" t="s">
        <v>324</v>
      </c>
      <c r="E17" s="33">
        <v>77096.479403959791</v>
      </c>
      <c r="F17" s="7">
        <v>0.81553189780442148</v>
      </c>
      <c r="G17" s="7" t="s">
        <v>471</v>
      </c>
      <c r="H17" s="5" t="s">
        <v>325</v>
      </c>
      <c r="J17" s="5" t="s">
        <v>1473</v>
      </c>
    </row>
    <row r="18" spans="1:10" x14ac:dyDescent="0.25">
      <c r="A18" s="5">
        <v>16</v>
      </c>
      <c r="B18" s="5" t="s">
        <v>649</v>
      </c>
      <c r="C18" s="5" t="s">
        <v>198</v>
      </c>
      <c r="D18" s="5" t="s">
        <v>318</v>
      </c>
      <c r="E18" s="33">
        <v>343303.7905486573</v>
      </c>
      <c r="F18" s="7">
        <v>0.78224303319570065</v>
      </c>
      <c r="G18" s="7" t="s">
        <v>471</v>
      </c>
      <c r="H18" s="5" t="s">
        <v>311</v>
      </c>
      <c r="J18" s="5" t="s">
        <v>471</v>
      </c>
    </row>
    <row r="19" spans="1:10" x14ac:dyDescent="0.25">
      <c r="A19" s="5">
        <v>17</v>
      </c>
      <c r="B19" s="5" t="s">
        <v>650</v>
      </c>
      <c r="C19" s="5" t="s">
        <v>391</v>
      </c>
      <c r="D19" s="5" t="s">
        <v>319</v>
      </c>
      <c r="E19" s="33">
        <v>55222.629324316556</v>
      </c>
      <c r="F19" s="7">
        <v>0.72044270608626515</v>
      </c>
      <c r="G19" s="7" t="s">
        <v>471</v>
      </c>
      <c r="H19" s="5" t="s">
        <v>311</v>
      </c>
      <c r="J19" s="5" t="s">
        <v>471</v>
      </c>
    </row>
    <row r="20" spans="1:10" x14ac:dyDescent="0.25">
      <c r="A20" s="5">
        <v>18</v>
      </c>
      <c r="B20" s="5" t="s">
        <v>651</v>
      </c>
      <c r="C20" s="5" t="s">
        <v>389</v>
      </c>
      <c r="D20" s="5" t="s">
        <v>322</v>
      </c>
      <c r="E20" s="33">
        <v>77565.06734688711</v>
      </c>
      <c r="F20" s="7">
        <v>0.70217827530603016</v>
      </c>
      <c r="G20" s="7" t="s">
        <v>471</v>
      </c>
      <c r="H20" s="5" t="s">
        <v>326</v>
      </c>
      <c r="J20" s="5" t="s">
        <v>471</v>
      </c>
    </row>
    <row r="21" spans="1:10" x14ac:dyDescent="0.25">
      <c r="A21" s="5">
        <v>19</v>
      </c>
      <c r="B21" s="5" t="s">
        <v>652</v>
      </c>
      <c r="C21" s="5" t="s">
        <v>387</v>
      </c>
      <c r="D21" s="5" t="s">
        <v>329</v>
      </c>
      <c r="E21" s="33">
        <v>216126.52381818864</v>
      </c>
      <c r="F21" s="7">
        <v>0.7</v>
      </c>
      <c r="G21" s="7" t="s">
        <v>471</v>
      </c>
      <c r="H21" s="5" t="s">
        <v>560</v>
      </c>
      <c r="J21" s="5" t="s">
        <v>471</v>
      </c>
    </row>
    <row r="22" spans="1:10" x14ac:dyDescent="0.25">
      <c r="A22" s="5">
        <v>20</v>
      </c>
      <c r="B22" s="5" t="s">
        <v>653</v>
      </c>
      <c r="C22" s="5" t="s">
        <v>388</v>
      </c>
      <c r="D22" s="5" t="s">
        <v>323</v>
      </c>
      <c r="E22" s="33">
        <v>92152.690221262441</v>
      </c>
      <c r="F22" s="7">
        <v>0.61561649812173647</v>
      </c>
      <c r="G22" s="7" t="s">
        <v>471</v>
      </c>
      <c r="H22" s="5" t="s">
        <v>325</v>
      </c>
      <c r="J22" s="5" t="s">
        <v>471</v>
      </c>
    </row>
    <row r="23" spans="1:10" x14ac:dyDescent="0.25">
      <c r="A23" s="5">
        <v>21</v>
      </c>
      <c r="B23" s="5" t="s">
        <v>654</v>
      </c>
      <c r="C23" s="5" t="s">
        <v>200</v>
      </c>
      <c r="D23" s="5" t="s">
        <v>320</v>
      </c>
      <c r="E23" s="33">
        <v>264378.50070552836</v>
      </c>
      <c r="F23" s="7">
        <v>0.52819892241256217</v>
      </c>
      <c r="G23" s="7" t="s">
        <v>471</v>
      </c>
      <c r="H23" s="5" t="s">
        <v>311</v>
      </c>
      <c r="J23" s="5" t="s">
        <v>471</v>
      </c>
    </row>
    <row r="24" spans="1:10" x14ac:dyDescent="0.25">
      <c r="A24" s="5">
        <v>22</v>
      </c>
      <c r="B24" s="5" t="s">
        <v>655</v>
      </c>
      <c r="C24" s="5" t="s">
        <v>208</v>
      </c>
      <c r="D24" s="5" t="s">
        <v>321</v>
      </c>
      <c r="E24" s="33">
        <v>354594.49324209907</v>
      </c>
      <c r="F24" s="7">
        <v>0.37025291192402421</v>
      </c>
      <c r="G24" s="7" t="s">
        <v>471</v>
      </c>
      <c r="H24" s="5" t="s">
        <v>311</v>
      </c>
      <c r="J24" s="5" t="s">
        <v>471</v>
      </c>
    </row>
    <row r="25" spans="1:10" x14ac:dyDescent="0.25">
      <c r="A25" s="5">
        <v>23</v>
      </c>
      <c r="B25" s="5" t="s">
        <v>656</v>
      </c>
      <c r="C25" s="22" t="s">
        <v>236</v>
      </c>
      <c r="D25" s="2" t="s">
        <v>237</v>
      </c>
      <c r="E25" s="33">
        <v>488293.84917023871</v>
      </c>
      <c r="F25" s="7">
        <v>0.34497694001707718</v>
      </c>
      <c r="G25" s="7" t="s">
        <v>471</v>
      </c>
      <c r="H25" s="5" t="s">
        <v>327</v>
      </c>
      <c r="J25" s="5" t="s">
        <v>471</v>
      </c>
    </row>
    <row r="26" spans="1:10" x14ac:dyDescent="0.25">
      <c r="C26" s="22"/>
      <c r="E26" s="34"/>
      <c r="F26" s="6"/>
      <c r="G26" s="6"/>
    </row>
    <row r="27" spans="1:10" x14ac:dyDescent="0.25">
      <c r="E27" s="34"/>
      <c r="F27" s="6"/>
      <c r="G27" s="6"/>
    </row>
    <row r="28" spans="1:10" x14ac:dyDescent="0.25">
      <c r="A28" s="8"/>
    </row>
    <row r="29" spans="1:10" x14ac:dyDescent="0.25">
      <c r="A29" s="8"/>
    </row>
  </sheetData>
  <autoFilter ref="A2:J2"/>
  <sortState ref="A3:H25">
    <sortCondition ref="G3:G25"/>
    <sortCondition descending="1" ref="F3:F25"/>
  </sortState>
  <conditionalFormatting sqref="F3:F25">
    <cfRule type="cellIs" dxfId="5" priority="1" operator="lessThan">
      <formula>1</formula>
    </cfRule>
    <cfRule type="cellIs" dxfId="4" priority="2" operator="greaterThan">
      <formula>1</formula>
    </cfRule>
  </conditionalFormatting>
  <conditionalFormatting sqref="F3:F25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{74F79371-8914-44BB-ACA3-E5586B3D79BF}</x14:id>
        </ext>
      </extLst>
    </cfRule>
  </conditionalFormatting>
  <pageMargins left="0.7" right="0.7" top="0.75" bottom="0.75" header="0.3" footer="0.3"/>
  <pageSetup paperSize="9" scale="89" fitToHeight="0" orientation="landscape" r:id="rId1"/>
  <headerFooter>
    <oddFooter>&amp;LPríloha č. 1_3b TENT modernizácie&amp;R&amp;P l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F79371-8914-44BB-ACA3-E5586B3D79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F3:F25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8"/>
  <sheetViews>
    <sheetView zoomScaleNormal="100" workbookViewId="0">
      <selection activeCell="K19" sqref="K19"/>
    </sheetView>
  </sheetViews>
  <sheetFormatPr defaultColWidth="9.140625" defaultRowHeight="15" x14ac:dyDescent="0.25"/>
  <cols>
    <col min="1" max="1" width="9.140625" style="8"/>
    <col min="2" max="2" width="9.42578125" style="8" bestFit="1" customWidth="1"/>
    <col min="3" max="3" width="8.140625" style="22" customWidth="1"/>
    <col min="4" max="4" width="31.85546875" style="19" customWidth="1"/>
    <col min="5" max="5" width="15.7109375" style="19" customWidth="1"/>
    <col min="6" max="6" width="10.85546875" style="5" bestFit="1" customWidth="1"/>
    <col min="7" max="7" width="8.140625" style="5" customWidth="1"/>
    <col min="8" max="8" width="9.140625" style="5"/>
    <col min="9" max="9" width="14.42578125" style="5" customWidth="1"/>
    <col min="10" max="16384" width="9.140625" style="5"/>
  </cols>
  <sheetData>
    <row r="1" spans="1:9" ht="18.75" x14ac:dyDescent="0.25">
      <c r="A1" s="82" t="s">
        <v>620</v>
      </c>
      <c r="C1" s="24"/>
      <c r="D1" s="24"/>
      <c r="E1" s="24"/>
    </row>
    <row r="2" spans="1:9" ht="45" x14ac:dyDescent="0.25">
      <c r="A2" s="454" t="s">
        <v>288</v>
      </c>
      <c r="B2" s="455" t="s">
        <v>383</v>
      </c>
      <c r="C2" s="455" t="s">
        <v>335</v>
      </c>
      <c r="D2" s="455" t="s">
        <v>337</v>
      </c>
      <c r="E2" s="455" t="s">
        <v>474</v>
      </c>
      <c r="F2" s="454" t="s">
        <v>610</v>
      </c>
      <c r="G2" s="454" t="s">
        <v>310</v>
      </c>
      <c r="H2" s="455" t="s">
        <v>469</v>
      </c>
      <c r="I2" s="454" t="s">
        <v>1477</v>
      </c>
    </row>
    <row r="3" spans="1:9" x14ac:dyDescent="0.25">
      <c r="A3" s="8">
        <v>1</v>
      </c>
      <c r="B3" s="8" t="s">
        <v>475</v>
      </c>
      <c r="C3" s="22" t="s">
        <v>6</v>
      </c>
      <c r="D3" s="19" t="s">
        <v>7</v>
      </c>
      <c r="E3" s="23" t="s">
        <v>386</v>
      </c>
      <c r="F3" s="42">
        <v>2346825.7780563082</v>
      </c>
      <c r="G3" s="7">
        <v>11.276847520179059</v>
      </c>
      <c r="H3" s="7" t="s">
        <v>470</v>
      </c>
      <c r="I3" s="456" t="s">
        <v>1473</v>
      </c>
    </row>
    <row r="4" spans="1:9" x14ac:dyDescent="0.25">
      <c r="A4" s="8">
        <v>2</v>
      </c>
      <c r="B4" s="8" t="s">
        <v>476</v>
      </c>
      <c r="C4" s="22" t="s">
        <v>244</v>
      </c>
      <c r="D4" s="19" t="s">
        <v>245</v>
      </c>
      <c r="E4" s="23" t="s">
        <v>386</v>
      </c>
      <c r="F4" s="42">
        <v>21589614.381581429</v>
      </c>
      <c r="G4" s="7">
        <v>3.6546333684682843</v>
      </c>
      <c r="H4" s="7" t="s">
        <v>470</v>
      </c>
      <c r="I4" s="456" t="s">
        <v>1473</v>
      </c>
    </row>
    <row r="5" spans="1:9" x14ac:dyDescent="0.25">
      <c r="A5" s="8">
        <v>3</v>
      </c>
      <c r="B5" s="8" t="s">
        <v>477</v>
      </c>
      <c r="C5" s="22" t="s">
        <v>246</v>
      </c>
      <c r="D5" s="19" t="s">
        <v>247</v>
      </c>
      <c r="E5" s="23" t="s">
        <v>386</v>
      </c>
      <c r="F5" s="42">
        <v>10604577.297819328</v>
      </c>
      <c r="G5" s="7">
        <v>2.9944657905513483</v>
      </c>
      <c r="H5" s="7" t="s">
        <v>470</v>
      </c>
      <c r="I5" s="457" t="s">
        <v>1473</v>
      </c>
    </row>
    <row r="6" spans="1:9" x14ac:dyDescent="0.25">
      <c r="A6" s="8">
        <v>4</v>
      </c>
      <c r="B6" s="8" t="s">
        <v>478</v>
      </c>
      <c r="C6" s="22" t="s">
        <v>70</v>
      </c>
      <c r="D6" s="19" t="s">
        <v>71</v>
      </c>
      <c r="E6" s="23" t="s">
        <v>386</v>
      </c>
      <c r="F6" s="42">
        <v>20771527.27709309</v>
      </c>
      <c r="G6" s="7">
        <v>2.2987596881929426</v>
      </c>
      <c r="H6" s="7" t="s">
        <v>470</v>
      </c>
      <c r="I6" s="457" t="s">
        <v>471</v>
      </c>
    </row>
    <row r="7" spans="1:9" x14ac:dyDescent="0.25">
      <c r="A7" s="8">
        <v>5</v>
      </c>
      <c r="B7" s="8" t="s">
        <v>480</v>
      </c>
      <c r="C7" s="22" t="s">
        <v>72</v>
      </c>
      <c r="D7" s="19" t="s">
        <v>73</v>
      </c>
      <c r="E7" s="23" t="s">
        <v>386</v>
      </c>
      <c r="F7" s="42">
        <v>19521815.444982473</v>
      </c>
      <c r="G7" s="7">
        <v>1.5279780136992676</v>
      </c>
      <c r="H7" s="7" t="s">
        <v>470</v>
      </c>
      <c r="I7" s="457" t="s">
        <v>471</v>
      </c>
    </row>
    <row r="8" spans="1:9" x14ac:dyDescent="0.25">
      <c r="A8" s="8">
        <v>6</v>
      </c>
      <c r="B8" s="8" t="s">
        <v>481</v>
      </c>
      <c r="C8" s="22" t="s">
        <v>136</v>
      </c>
      <c r="D8" s="19" t="s">
        <v>137</v>
      </c>
      <c r="E8" s="23" t="s">
        <v>386</v>
      </c>
      <c r="F8" s="42">
        <v>15577166.987149058</v>
      </c>
      <c r="G8" s="7">
        <v>1.4271487236296696</v>
      </c>
      <c r="H8" s="7" t="s">
        <v>470</v>
      </c>
      <c r="I8" s="457" t="s">
        <v>471</v>
      </c>
    </row>
    <row r="9" spans="1:9" x14ac:dyDescent="0.25">
      <c r="A9" s="8">
        <v>7</v>
      </c>
      <c r="B9" s="8" t="s">
        <v>482</v>
      </c>
      <c r="C9" s="22" t="s">
        <v>168</v>
      </c>
      <c r="D9" s="19" t="s">
        <v>169</v>
      </c>
      <c r="E9" s="23" t="s">
        <v>386</v>
      </c>
      <c r="F9" s="42">
        <v>55068242.240913443</v>
      </c>
      <c r="G9" s="7">
        <v>1.3058438449101499</v>
      </c>
      <c r="H9" s="7" t="s">
        <v>470</v>
      </c>
      <c r="I9" s="457" t="s">
        <v>471</v>
      </c>
    </row>
    <row r="10" spans="1:9" x14ac:dyDescent="0.25">
      <c r="A10" s="8">
        <v>8</v>
      </c>
      <c r="B10" s="8" t="s">
        <v>483</v>
      </c>
      <c r="C10" s="22" t="s">
        <v>74</v>
      </c>
      <c r="D10" s="19" t="s">
        <v>75</v>
      </c>
      <c r="E10" s="23" t="s">
        <v>386</v>
      </c>
      <c r="F10" s="42">
        <v>47740586.763655685</v>
      </c>
      <c r="G10" s="7">
        <v>1.2585171343558592</v>
      </c>
      <c r="H10" s="7" t="s">
        <v>470</v>
      </c>
      <c r="I10" s="457" t="s">
        <v>471</v>
      </c>
    </row>
    <row r="11" spans="1:9" x14ac:dyDescent="0.25">
      <c r="A11" s="48">
        <v>9</v>
      </c>
      <c r="B11" s="48" t="s">
        <v>484</v>
      </c>
      <c r="C11" s="49" t="s">
        <v>134</v>
      </c>
      <c r="D11" s="50" t="s">
        <v>135</v>
      </c>
      <c r="E11" s="51" t="s">
        <v>386</v>
      </c>
      <c r="F11" s="52">
        <v>79670349.035355076</v>
      </c>
      <c r="G11" s="47">
        <v>1.1048488297302221</v>
      </c>
      <c r="H11" s="47" t="s">
        <v>470</v>
      </c>
      <c r="I11" s="458" t="s">
        <v>471</v>
      </c>
    </row>
    <row r="12" spans="1:9" x14ac:dyDescent="0.25">
      <c r="A12" s="8">
        <v>10</v>
      </c>
      <c r="B12" s="8" t="s">
        <v>485</v>
      </c>
      <c r="C12" s="22" t="s">
        <v>98</v>
      </c>
      <c r="D12" s="19" t="s">
        <v>99</v>
      </c>
      <c r="E12" s="23" t="s">
        <v>386</v>
      </c>
      <c r="F12" s="42">
        <v>7320401.1144998753</v>
      </c>
      <c r="G12" s="81">
        <v>0.97385213819281935</v>
      </c>
      <c r="H12" s="81" t="s">
        <v>471</v>
      </c>
      <c r="I12" s="457" t="s">
        <v>471</v>
      </c>
    </row>
    <row r="13" spans="1:9" x14ac:dyDescent="0.25">
      <c r="A13" s="8">
        <v>11</v>
      </c>
      <c r="B13" s="8" t="s">
        <v>486</v>
      </c>
      <c r="C13" s="22" t="s">
        <v>102</v>
      </c>
      <c r="D13" s="19" t="s">
        <v>103</v>
      </c>
      <c r="E13" s="23" t="s">
        <v>386</v>
      </c>
      <c r="F13" s="42">
        <v>43461853.216585733</v>
      </c>
      <c r="G13" s="81">
        <v>0.95503948811773132</v>
      </c>
      <c r="H13" s="81" t="s">
        <v>471</v>
      </c>
      <c r="I13" s="457" t="s">
        <v>471</v>
      </c>
    </row>
    <row r="14" spans="1:9" x14ac:dyDescent="0.25">
      <c r="A14" s="8">
        <v>12</v>
      </c>
      <c r="B14" s="8" t="s">
        <v>487</v>
      </c>
      <c r="C14" s="22" t="s">
        <v>104</v>
      </c>
      <c r="D14" s="19" t="s">
        <v>105</v>
      </c>
      <c r="E14" s="23" t="s">
        <v>386</v>
      </c>
      <c r="F14" s="42">
        <v>30537594.862225287</v>
      </c>
      <c r="G14" s="7">
        <v>0.92905953608561864</v>
      </c>
      <c r="H14" s="7" t="s">
        <v>471</v>
      </c>
      <c r="I14" s="457" t="s">
        <v>471</v>
      </c>
    </row>
    <row r="15" spans="1:9" x14ac:dyDescent="0.25">
      <c r="A15" s="8">
        <v>13</v>
      </c>
      <c r="B15" s="8" t="s">
        <v>488</v>
      </c>
      <c r="C15" s="22" t="s">
        <v>256</v>
      </c>
      <c r="D15" s="19" t="s">
        <v>257</v>
      </c>
      <c r="E15" s="23" t="s">
        <v>386</v>
      </c>
      <c r="F15" s="42">
        <v>9715523.6011344101</v>
      </c>
      <c r="G15" s="7">
        <v>0.92056413320691244</v>
      </c>
      <c r="H15" s="7" t="s">
        <v>471</v>
      </c>
      <c r="I15" s="457" t="s">
        <v>471</v>
      </c>
    </row>
    <row r="16" spans="1:9" x14ac:dyDescent="0.25">
      <c r="A16" s="8">
        <v>14</v>
      </c>
      <c r="B16" s="8" t="s">
        <v>489</v>
      </c>
      <c r="C16" s="22" t="s">
        <v>100</v>
      </c>
      <c r="D16" s="19" t="s">
        <v>101</v>
      </c>
      <c r="E16" s="23" t="s">
        <v>386</v>
      </c>
      <c r="F16" s="42">
        <v>30019854.146266691</v>
      </c>
      <c r="G16" s="7">
        <v>0.90366069190498199</v>
      </c>
      <c r="H16" s="7" t="s">
        <v>471</v>
      </c>
      <c r="I16" s="457" t="s">
        <v>471</v>
      </c>
    </row>
    <row r="17" spans="1:9" x14ac:dyDescent="0.25">
      <c r="A17" s="8">
        <v>15</v>
      </c>
      <c r="B17" s="8" t="s">
        <v>490</v>
      </c>
      <c r="C17" s="22" t="s">
        <v>140</v>
      </c>
      <c r="D17" s="19" t="s">
        <v>141</v>
      </c>
      <c r="E17" s="23" t="s">
        <v>386</v>
      </c>
      <c r="F17" s="42">
        <v>29480172.925553992</v>
      </c>
      <c r="G17" s="7">
        <v>0.8370421595864197</v>
      </c>
      <c r="H17" s="7" t="s">
        <v>471</v>
      </c>
      <c r="I17" s="457" t="s">
        <v>471</v>
      </c>
    </row>
    <row r="18" spans="1:9" x14ac:dyDescent="0.25">
      <c r="A18" s="8">
        <v>16</v>
      </c>
      <c r="B18" s="8" t="s">
        <v>491</v>
      </c>
      <c r="C18" s="22" t="s">
        <v>142</v>
      </c>
      <c r="D18" s="19" t="s">
        <v>143</v>
      </c>
      <c r="E18" s="23" t="s">
        <v>386</v>
      </c>
      <c r="F18" s="42">
        <v>126179694.99381353</v>
      </c>
      <c r="G18" s="7">
        <v>0.81789568961137427</v>
      </c>
      <c r="H18" s="7" t="s">
        <v>471</v>
      </c>
      <c r="I18" s="457" t="s">
        <v>471</v>
      </c>
    </row>
    <row r="19" spans="1:9" x14ac:dyDescent="0.25">
      <c r="A19" s="8">
        <v>17</v>
      </c>
      <c r="B19" s="8" t="s">
        <v>492</v>
      </c>
      <c r="C19" s="22" t="s">
        <v>138</v>
      </c>
      <c r="D19" s="19" t="s">
        <v>139</v>
      </c>
      <c r="E19" s="23" t="s">
        <v>386</v>
      </c>
      <c r="F19" s="42">
        <v>44263933.411945298</v>
      </c>
      <c r="G19" s="7">
        <v>0.80919329751017455</v>
      </c>
      <c r="H19" s="7" t="s">
        <v>471</v>
      </c>
      <c r="I19" s="457" t="s">
        <v>471</v>
      </c>
    </row>
    <row r="20" spans="1:9" x14ac:dyDescent="0.25">
      <c r="A20" s="8">
        <v>18</v>
      </c>
      <c r="B20" s="8" t="s">
        <v>493</v>
      </c>
      <c r="C20" s="22" t="s">
        <v>170</v>
      </c>
      <c r="D20" s="19" t="s">
        <v>171</v>
      </c>
      <c r="E20" s="23" t="s">
        <v>386</v>
      </c>
      <c r="F20" s="42">
        <v>39019797.942752257</v>
      </c>
      <c r="G20" s="7">
        <v>0.77838258215259459</v>
      </c>
      <c r="H20" s="7" t="s">
        <v>471</v>
      </c>
      <c r="I20" s="457" t="s">
        <v>471</v>
      </c>
    </row>
    <row r="21" spans="1:9" x14ac:dyDescent="0.25">
      <c r="A21" s="8">
        <v>19</v>
      </c>
      <c r="B21" s="8" t="s">
        <v>494</v>
      </c>
      <c r="C21" s="22" t="s">
        <v>96</v>
      </c>
      <c r="D21" s="19" t="s">
        <v>97</v>
      </c>
      <c r="E21" s="23" t="s">
        <v>386</v>
      </c>
      <c r="F21" s="42">
        <v>23685001.580896802</v>
      </c>
      <c r="G21" s="7">
        <v>0.59626433841754767</v>
      </c>
      <c r="H21" s="7" t="s">
        <v>471</v>
      </c>
      <c r="I21" s="457" t="s">
        <v>471</v>
      </c>
    </row>
    <row r="22" spans="1:9" x14ac:dyDescent="0.25">
      <c r="A22" s="8">
        <v>20</v>
      </c>
      <c r="B22" s="8" t="s">
        <v>495</v>
      </c>
      <c r="C22" s="22" t="s">
        <v>146</v>
      </c>
      <c r="D22" s="19" t="s">
        <v>147</v>
      </c>
      <c r="E22" s="23" t="s">
        <v>386</v>
      </c>
      <c r="F22" s="42">
        <v>491266.23448081705</v>
      </c>
      <c r="G22" s="7">
        <v>0.45760721888810829</v>
      </c>
      <c r="H22" s="7" t="s">
        <v>471</v>
      </c>
      <c r="I22" s="457" t="s">
        <v>471</v>
      </c>
    </row>
    <row r="23" spans="1:9" x14ac:dyDescent="0.25">
      <c r="A23" s="8">
        <v>21</v>
      </c>
      <c r="B23" s="8" t="s">
        <v>496</v>
      </c>
      <c r="C23" s="22" t="s">
        <v>144</v>
      </c>
      <c r="D23" s="19" t="s">
        <v>145</v>
      </c>
      <c r="E23" s="23" t="s">
        <v>386</v>
      </c>
      <c r="F23" s="42">
        <v>31047884.086003244</v>
      </c>
      <c r="G23" s="7">
        <v>0.4492837484393184</v>
      </c>
      <c r="H23" s="7" t="s">
        <v>471</v>
      </c>
      <c r="I23" s="457" t="s">
        <v>471</v>
      </c>
    </row>
    <row r="24" spans="1:9" x14ac:dyDescent="0.25">
      <c r="A24" s="8">
        <v>79</v>
      </c>
      <c r="B24" s="8" t="s">
        <v>479</v>
      </c>
      <c r="C24" s="22" t="s">
        <v>12</v>
      </c>
      <c r="D24" s="19" t="s">
        <v>13</v>
      </c>
      <c r="E24" s="23" t="s">
        <v>386</v>
      </c>
      <c r="F24" s="42">
        <v>7186125.649991177</v>
      </c>
      <c r="G24" s="7">
        <v>0.43435985406086391</v>
      </c>
      <c r="H24" s="7" t="s">
        <v>471</v>
      </c>
      <c r="I24" s="457" t="s">
        <v>471</v>
      </c>
    </row>
    <row r="25" spans="1:9" x14ac:dyDescent="0.25">
      <c r="A25" s="8">
        <v>22</v>
      </c>
      <c r="B25" s="8" t="s">
        <v>497</v>
      </c>
      <c r="C25" s="22" t="s">
        <v>178</v>
      </c>
      <c r="D25" s="19" t="s">
        <v>179</v>
      </c>
      <c r="E25" s="23" t="s">
        <v>386</v>
      </c>
      <c r="F25" s="42">
        <v>44730637.320349179</v>
      </c>
      <c r="G25" s="7">
        <v>0.42747210902408689</v>
      </c>
      <c r="H25" s="7" t="s">
        <v>471</v>
      </c>
      <c r="I25" s="457" t="s">
        <v>471</v>
      </c>
    </row>
    <row r="26" spans="1:9" x14ac:dyDescent="0.25">
      <c r="A26" s="8">
        <v>23</v>
      </c>
      <c r="B26" s="8" t="s">
        <v>498</v>
      </c>
      <c r="C26" s="22" t="s">
        <v>248</v>
      </c>
      <c r="D26" s="19" t="s">
        <v>249</v>
      </c>
      <c r="E26" s="23" t="s">
        <v>386</v>
      </c>
      <c r="F26" s="42">
        <v>40240029.069687888</v>
      </c>
      <c r="G26" s="7">
        <v>0.38231015111526923</v>
      </c>
      <c r="H26" s="7" t="s">
        <v>471</v>
      </c>
      <c r="I26" s="457" t="s">
        <v>471</v>
      </c>
    </row>
    <row r="27" spans="1:9" x14ac:dyDescent="0.25">
      <c r="A27" s="8">
        <v>24</v>
      </c>
      <c r="B27" s="8" t="s">
        <v>499</v>
      </c>
      <c r="C27" s="22" t="s">
        <v>258</v>
      </c>
      <c r="D27" s="19" t="s">
        <v>259</v>
      </c>
      <c r="E27" s="23" t="s">
        <v>386</v>
      </c>
      <c r="F27" s="42">
        <v>50200978.802168787</v>
      </c>
      <c r="G27" s="7">
        <v>0.36268784159851081</v>
      </c>
      <c r="H27" s="7" t="s">
        <v>471</v>
      </c>
      <c r="I27" s="457" t="s">
        <v>471</v>
      </c>
    </row>
    <row r="28" spans="1:9" x14ac:dyDescent="0.25">
      <c r="A28" s="8">
        <v>25</v>
      </c>
      <c r="B28" s="8" t="s">
        <v>500</v>
      </c>
      <c r="C28" s="22" t="s">
        <v>260</v>
      </c>
      <c r="D28" s="19" t="s">
        <v>261</v>
      </c>
      <c r="E28" s="23" t="s">
        <v>386</v>
      </c>
      <c r="F28" s="42">
        <v>33855007.066223472</v>
      </c>
      <c r="G28" s="7">
        <v>0.36068480236174821</v>
      </c>
      <c r="H28" s="7" t="s">
        <v>471</v>
      </c>
      <c r="I28" s="457" t="s">
        <v>471</v>
      </c>
    </row>
    <row r="29" spans="1:9" x14ac:dyDescent="0.25">
      <c r="A29" s="8">
        <v>26</v>
      </c>
      <c r="B29" s="8" t="s">
        <v>501</v>
      </c>
      <c r="C29" s="22" t="s">
        <v>112</v>
      </c>
      <c r="D29" s="19" t="s">
        <v>113</v>
      </c>
      <c r="E29" s="23" t="s">
        <v>386</v>
      </c>
      <c r="F29" s="42">
        <v>37107080.723045111</v>
      </c>
      <c r="G29" s="7">
        <v>0.35976848227143604</v>
      </c>
      <c r="H29" s="7" t="s">
        <v>471</v>
      </c>
      <c r="I29" s="457" t="s">
        <v>471</v>
      </c>
    </row>
    <row r="30" spans="1:9" x14ac:dyDescent="0.25">
      <c r="A30" s="8">
        <v>27</v>
      </c>
      <c r="B30" s="8" t="s">
        <v>502</v>
      </c>
      <c r="C30" s="22" t="s">
        <v>176</v>
      </c>
      <c r="D30" s="19" t="s">
        <v>177</v>
      </c>
      <c r="E30" s="23" t="s">
        <v>386</v>
      </c>
      <c r="F30" s="42">
        <v>8734804.7228622455</v>
      </c>
      <c r="G30" s="7">
        <v>0.30078157440615222</v>
      </c>
      <c r="H30" s="7" t="s">
        <v>471</v>
      </c>
      <c r="I30" s="457" t="s">
        <v>471</v>
      </c>
    </row>
    <row r="31" spans="1:9" x14ac:dyDescent="0.25">
      <c r="A31" s="8">
        <v>28</v>
      </c>
      <c r="B31" s="8" t="s">
        <v>503</v>
      </c>
      <c r="C31" s="22" t="s">
        <v>174</v>
      </c>
      <c r="D31" s="19" t="s">
        <v>175</v>
      </c>
      <c r="E31" s="23" t="s">
        <v>386</v>
      </c>
      <c r="F31" s="42">
        <v>45587164.662277333</v>
      </c>
      <c r="G31" s="7">
        <v>0.25730622612595772</v>
      </c>
      <c r="H31" s="7" t="s">
        <v>471</v>
      </c>
      <c r="I31" s="457" t="s">
        <v>471</v>
      </c>
    </row>
    <row r="32" spans="1:9" x14ac:dyDescent="0.25">
      <c r="A32" s="8">
        <v>29</v>
      </c>
      <c r="B32" s="8" t="s">
        <v>504</v>
      </c>
      <c r="C32" s="22" t="s">
        <v>44</v>
      </c>
      <c r="D32" s="19" t="s">
        <v>45</v>
      </c>
      <c r="E32" s="23" t="s">
        <v>386</v>
      </c>
      <c r="F32" s="42">
        <v>20606924.209081583</v>
      </c>
      <c r="G32" s="7">
        <v>0.23838323508589906</v>
      </c>
      <c r="H32" s="7" t="s">
        <v>471</v>
      </c>
      <c r="I32" s="457" t="s">
        <v>471</v>
      </c>
    </row>
    <row r="33" spans="1:9" x14ac:dyDescent="0.25">
      <c r="A33" s="8">
        <v>30</v>
      </c>
      <c r="B33" s="8" t="s">
        <v>505</v>
      </c>
      <c r="C33" s="22" t="s">
        <v>212</v>
      </c>
      <c r="D33" s="19" t="s">
        <v>213</v>
      </c>
      <c r="E33" s="23" t="s">
        <v>386</v>
      </c>
      <c r="F33" s="42">
        <v>56094911.987632886</v>
      </c>
      <c r="G33" s="7">
        <v>0.23166223586103124</v>
      </c>
      <c r="H33" s="7" t="s">
        <v>471</v>
      </c>
      <c r="I33" s="457" t="s">
        <v>471</v>
      </c>
    </row>
    <row r="34" spans="1:9" x14ac:dyDescent="0.25">
      <c r="A34" s="8">
        <v>31</v>
      </c>
      <c r="B34" s="8" t="s">
        <v>506</v>
      </c>
      <c r="C34" s="22" t="s">
        <v>186</v>
      </c>
      <c r="D34" s="19" t="s">
        <v>187</v>
      </c>
      <c r="E34" s="23" t="s">
        <v>386</v>
      </c>
      <c r="F34" s="42">
        <v>39817186.457849935</v>
      </c>
      <c r="G34" s="7">
        <v>0.23110246051302963</v>
      </c>
      <c r="H34" s="7" t="s">
        <v>471</v>
      </c>
      <c r="I34" s="457" t="s">
        <v>471</v>
      </c>
    </row>
    <row r="35" spans="1:9" x14ac:dyDescent="0.25">
      <c r="A35" s="8">
        <v>32</v>
      </c>
      <c r="B35" s="8" t="s">
        <v>507</v>
      </c>
      <c r="C35" s="22" t="s">
        <v>214</v>
      </c>
      <c r="D35" s="19" t="s">
        <v>215</v>
      </c>
      <c r="E35" s="23" t="s">
        <v>386</v>
      </c>
      <c r="F35" s="42">
        <v>23503741.076661371</v>
      </c>
      <c r="G35" s="7">
        <v>0.22641997213120812</v>
      </c>
      <c r="H35" s="7" t="s">
        <v>471</v>
      </c>
      <c r="I35" s="457" t="s">
        <v>471</v>
      </c>
    </row>
    <row r="36" spans="1:9" x14ac:dyDescent="0.25">
      <c r="A36" s="8">
        <v>33</v>
      </c>
      <c r="B36" s="8" t="s">
        <v>508</v>
      </c>
      <c r="C36" s="22" t="s">
        <v>38</v>
      </c>
      <c r="D36" s="19" t="s">
        <v>39</v>
      </c>
      <c r="E36" s="23" t="s">
        <v>386</v>
      </c>
      <c r="F36" s="42">
        <v>11398171.07152871</v>
      </c>
      <c r="G36" s="7">
        <v>0.16520883777567685</v>
      </c>
      <c r="H36" s="7" t="s">
        <v>471</v>
      </c>
      <c r="I36" s="457" t="s">
        <v>471</v>
      </c>
    </row>
    <row r="37" spans="1:9" x14ac:dyDescent="0.25">
      <c r="A37" s="8">
        <v>34</v>
      </c>
      <c r="B37" s="8" t="s">
        <v>509</v>
      </c>
      <c r="C37" s="22" t="s">
        <v>216</v>
      </c>
      <c r="D37" s="19" t="s">
        <v>217</v>
      </c>
      <c r="E37" s="23" t="s">
        <v>386</v>
      </c>
      <c r="F37" s="42">
        <v>23017817.04953758</v>
      </c>
      <c r="G37" s="7">
        <v>0.15759382509774855</v>
      </c>
      <c r="H37" s="7" t="s">
        <v>471</v>
      </c>
      <c r="I37" s="457" t="s">
        <v>471</v>
      </c>
    </row>
    <row r="38" spans="1:9" x14ac:dyDescent="0.25">
      <c r="A38" s="8">
        <v>35</v>
      </c>
      <c r="B38" s="8" t="s">
        <v>510</v>
      </c>
      <c r="C38" s="22" t="s">
        <v>8</v>
      </c>
      <c r="D38" s="19" t="s">
        <v>9</v>
      </c>
      <c r="E38" s="23" t="s">
        <v>386</v>
      </c>
      <c r="F38" s="42">
        <v>34517687.190272443</v>
      </c>
      <c r="G38" s="7">
        <v>0.15075613520902667</v>
      </c>
      <c r="H38" s="7" t="s">
        <v>471</v>
      </c>
      <c r="I38" s="457" t="s">
        <v>471</v>
      </c>
    </row>
    <row r="39" spans="1:9" x14ac:dyDescent="0.25">
      <c r="A39" s="8">
        <v>36</v>
      </c>
      <c r="B39" s="8" t="s">
        <v>511</v>
      </c>
      <c r="C39" s="22" t="s">
        <v>52</v>
      </c>
      <c r="D39" s="19" t="s">
        <v>53</v>
      </c>
      <c r="E39" s="23" t="s">
        <v>386</v>
      </c>
      <c r="F39" s="42">
        <v>13686695.822801303</v>
      </c>
      <c r="G39" s="7">
        <v>0.14078300041591954</v>
      </c>
      <c r="H39" s="7" t="s">
        <v>471</v>
      </c>
      <c r="I39" s="457" t="s">
        <v>471</v>
      </c>
    </row>
    <row r="40" spans="1:9" x14ac:dyDescent="0.25">
      <c r="A40" s="8">
        <v>37</v>
      </c>
      <c r="B40" s="8" t="s">
        <v>512</v>
      </c>
      <c r="C40" s="22" t="s">
        <v>54</v>
      </c>
      <c r="D40" s="19" t="s">
        <v>55</v>
      </c>
      <c r="E40" s="23" t="s">
        <v>386</v>
      </c>
      <c r="F40" s="42">
        <v>11867191.250650126</v>
      </c>
      <c r="G40" s="7">
        <v>0.13781716907862263</v>
      </c>
      <c r="H40" s="7" t="s">
        <v>471</v>
      </c>
      <c r="I40" s="457" t="s">
        <v>471</v>
      </c>
    </row>
    <row r="41" spans="1:9" x14ac:dyDescent="0.25">
      <c r="A41" s="8">
        <v>38</v>
      </c>
      <c r="B41" s="8" t="s">
        <v>513</v>
      </c>
      <c r="C41" s="22" t="s">
        <v>188</v>
      </c>
      <c r="D41" s="19" t="s">
        <v>189</v>
      </c>
      <c r="E41" s="23" t="s">
        <v>386</v>
      </c>
      <c r="F41" s="42">
        <v>10521782.940256655</v>
      </c>
      <c r="G41" s="7">
        <v>0.13078277500950181</v>
      </c>
      <c r="H41" s="7" t="s">
        <v>471</v>
      </c>
      <c r="I41" s="457" t="s">
        <v>471</v>
      </c>
    </row>
    <row r="42" spans="1:9" x14ac:dyDescent="0.25">
      <c r="A42" s="8">
        <v>39</v>
      </c>
      <c r="B42" s="8" t="s">
        <v>514</v>
      </c>
      <c r="C42" s="22" t="s">
        <v>34</v>
      </c>
      <c r="D42" s="19" t="s">
        <v>35</v>
      </c>
      <c r="E42" s="23" t="s">
        <v>386</v>
      </c>
      <c r="F42" s="42">
        <v>35936693.770656459</v>
      </c>
      <c r="G42" s="7">
        <v>0.1168233824979195</v>
      </c>
      <c r="H42" s="7" t="s">
        <v>471</v>
      </c>
      <c r="I42" s="457" t="s">
        <v>471</v>
      </c>
    </row>
    <row r="43" spans="1:9" x14ac:dyDescent="0.25">
      <c r="A43" s="8">
        <v>40</v>
      </c>
      <c r="B43" s="8" t="s">
        <v>515</v>
      </c>
      <c r="C43" s="22" t="s">
        <v>150</v>
      </c>
      <c r="D43" s="19" t="s">
        <v>151</v>
      </c>
      <c r="E43" s="23" t="s">
        <v>386</v>
      </c>
      <c r="F43" s="42">
        <v>18147734.660047356</v>
      </c>
      <c r="G43" s="7">
        <v>0.11573304608259677</v>
      </c>
      <c r="H43" s="7" t="s">
        <v>471</v>
      </c>
      <c r="I43" s="457" t="s">
        <v>471</v>
      </c>
    </row>
    <row r="44" spans="1:9" x14ac:dyDescent="0.25">
      <c r="A44" s="8">
        <v>41</v>
      </c>
      <c r="B44" s="8" t="s">
        <v>516</v>
      </c>
      <c r="C44" s="22" t="s">
        <v>220</v>
      </c>
      <c r="D44" s="19" t="s">
        <v>221</v>
      </c>
      <c r="E44" s="23" t="s">
        <v>386</v>
      </c>
      <c r="F44" s="42">
        <v>8831398.1400187016</v>
      </c>
      <c r="G44" s="7">
        <v>0.11292320245685221</v>
      </c>
      <c r="H44" s="7" t="s">
        <v>471</v>
      </c>
      <c r="I44" s="457" t="s">
        <v>471</v>
      </c>
    </row>
    <row r="45" spans="1:9" x14ac:dyDescent="0.25">
      <c r="A45" s="8">
        <v>42</v>
      </c>
      <c r="B45" s="8" t="s">
        <v>517</v>
      </c>
      <c r="C45" s="22" t="s">
        <v>180</v>
      </c>
      <c r="D45" s="19" t="s">
        <v>181</v>
      </c>
      <c r="E45" s="23" t="s">
        <v>386</v>
      </c>
      <c r="F45" s="42">
        <v>38547672.975222245</v>
      </c>
      <c r="G45" s="7">
        <v>0.1059108338984258</v>
      </c>
      <c r="H45" s="7" t="s">
        <v>471</v>
      </c>
      <c r="I45" s="457" t="s">
        <v>471</v>
      </c>
    </row>
    <row r="46" spans="1:9" x14ac:dyDescent="0.25">
      <c r="A46" s="8">
        <v>43</v>
      </c>
      <c r="B46" s="8" t="s">
        <v>518</v>
      </c>
      <c r="C46" s="22" t="s">
        <v>152</v>
      </c>
      <c r="D46" s="19" t="s">
        <v>153</v>
      </c>
      <c r="E46" s="23" t="s">
        <v>386</v>
      </c>
      <c r="F46" s="42">
        <v>22064696.290452968</v>
      </c>
      <c r="G46" s="7">
        <v>9.7032866533892689E-2</v>
      </c>
      <c r="H46" s="7" t="s">
        <v>471</v>
      </c>
      <c r="I46" s="457" t="s">
        <v>471</v>
      </c>
    </row>
    <row r="47" spans="1:9" x14ac:dyDescent="0.25">
      <c r="A47" s="8">
        <v>44</v>
      </c>
      <c r="B47" s="8" t="s">
        <v>519</v>
      </c>
      <c r="C47" s="22" t="s">
        <v>184</v>
      </c>
      <c r="D47" s="19" t="s">
        <v>185</v>
      </c>
      <c r="E47" s="23" t="s">
        <v>386</v>
      </c>
      <c r="F47" s="42">
        <v>51769143.360290416</v>
      </c>
      <c r="G47" s="7">
        <v>9.4565443600049107E-2</v>
      </c>
      <c r="H47" s="7" t="s">
        <v>471</v>
      </c>
      <c r="I47" s="457" t="s">
        <v>471</v>
      </c>
    </row>
    <row r="48" spans="1:9" x14ac:dyDescent="0.25">
      <c r="A48" s="8">
        <v>45</v>
      </c>
      <c r="B48" s="8" t="s">
        <v>520</v>
      </c>
      <c r="C48" s="22" t="s">
        <v>130</v>
      </c>
      <c r="D48" s="19" t="s">
        <v>131</v>
      </c>
      <c r="E48" s="23" t="s">
        <v>386</v>
      </c>
      <c r="F48" s="42">
        <v>32957082.545513988</v>
      </c>
      <c r="G48" s="7">
        <v>9.2464482884332136E-2</v>
      </c>
      <c r="H48" s="7" t="s">
        <v>471</v>
      </c>
      <c r="I48" s="457" t="s">
        <v>471</v>
      </c>
    </row>
    <row r="49" spans="1:9" x14ac:dyDescent="0.25">
      <c r="A49" s="8">
        <v>46</v>
      </c>
      <c r="B49" s="8" t="s">
        <v>521</v>
      </c>
      <c r="C49" s="22" t="s">
        <v>110</v>
      </c>
      <c r="D49" s="19" t="s">
        <v>111</v>
      </c>
      <c r="E49" s="23" t="s">
        <v>386</v>
      </c>
      <c r="F49" s="42">
        <v>47303915.522810549</v>
      </c>
      <c r="G49" s="7">
        <v>7.9536157638708291E-2</v>
      </c>
      <c r="H49" s="7" t="s">
        <v>471</v>
      </c>
      <c r="I49" s="457" t="s">
        <v>471</v>
      </c>
    </row>
    <row r="50" spans="1:9" x14ac:dyDescent="0.25">
      <c r="A50" s="8">
        <v>47</v>
      </c>
      <c r="B50" s="8" t="s">
        <v>522</v>
      </c>
      <c r="C50" s="22" t="s">
        <v>158</v>
      </c>
      <c r="D50" s="19" t="s">
        <v>159</v>
      </c>
      <c r="E50" s="23" t="s">
        <v>386</v>
      </c>
      <c r="F50" s="42">
        <v>40033043.175781198</v>
      </c>
      <c r="G50" s="7">
        <v>7.9159458352133186E-2</v>
      </c>
      <c r="H50" s="7" t="s">
        <v>471</v>
      </c>
      <c r="I50" s="457" t="s">
        <v>471</v>
      </c>
    </row>
    <row r="51" spans="1:9" x14ac:dyDescent="0.25">
      <c r="A51" s="8">
        <v>48</v>
      </c>
      <c r="B51" s="8" t="s">
        <v>523</v>
      </c>
      <c r="C51" s="22" t="s">
        <v>122</v>
      </c>
      <c r="D51" s="19" t="s">
        <v>123</v>
      </c>
      <c r="E51" s="23" t="s">
        <v>386</v>
      </c>
      <c r="F51" s="42">
        <v>34585371.57757993</v>
      </c>
      <c r="G51" s="7">
        <v>7.8558585348358356E-2</v>
      </c>
      <c r="H51" s="7" t="s">
        <v>471</v>
      </c>
      <c r="I51" s="457" t="s">
        <v>471</v>
      </c>
    </row>
    <row r="52" spans="1:9" x14ac:dyDescent="0.25">
      <c r="A52" s="8">
        <v>49</v>
      </c>
      <c r="B52" s="8" t="s">
        <v>524</v>
      </c>
      <c r="C52" s="22" t="s">
        <v>124</v>
      </c>
      <c r="D52" s="19" t="s">
        <v>125</v>
      </c>
      <c r="E52" s="23" t="s">
        <v>386</v>
      </c>
      <c r="F52" s="42">
        <v>50241390.333836295</v>
      </c>
      <c r="G52" s="7">
        <v>7.4006628960836915E-2</v>
      </c>
      <c r="H52" s="7" t="s">
        <v>471</v>
      </c>
      <c r="I52" s="457" t="s">
        <v>471</v>
      </c>
    </row>
    <row r="53" spans="1:9" x14ac:dyDescent="0.25">
      <c r="A53" s="8">
        <v>50</v>
      </c>
      <c r="B53" s="8" t="s">
        <v>525</v>
      </c>
      <c r="C53" s="22" t="s">
        <v>190</v>
      </c>
      <c r="D53" s="19" t="s">
        <v>191</v>
      </c>
      <c r="E53" s="23" t="s">
        <v>386</v>
      </c>
      <c r="F53" s="42">
        <v>38164256.247937955</v>
      </c>
      <c r="G53" s="7">
        <v>6.5049785023601411E-2</v>
      </c>
      <c r="H53" s="7" t="s">
        <v>471</v>
      </c>
      <c r="I53" s="457" t="s">
        <v>471</v>
      </c>
    </row>
    <row r="54" spans="1:9" x14ac:dyDescent="0.25">
      <c r="A54" s="8">
        <v>51</v>
      </c>
      <c r="B54" s="8" t="s">
        <v>526</v>
      </c>
      <c r="C54" s="22" t="s">
        <v>36</v>
      </c>
      <c r="D54" s="19" t="s">
        <v>37</v>
      </c>
      <c r="E54" s="23" t="s">
        <v>386</v>
      </c>
      <c r="F54" s="42">
        <v>8281407.0504952138</v>
      </c>
      <c r="G54" s="7">
        <v>5.5474482834282156E-2</v>
      </c>
      <c r="H54" s="7" t="s">
        <v>471</v>
      </c>
      <c r="I54" s="457" t="s">
        <v>471</v>
      </c>
    </row>
    <row r="55" spans="1:9" x14ac:dyDescent="0.25">
      <c r="A55" s="8">
        <v>52</v>
      </c>
      <c r="B55" s="8" t="s">
        <v>527</v>
      </c>
      <c r="C55" s="22" t="s">
        <v>10</v>
      </c>
      <c r="D55" s="19" t="s">
        <v>11</v>
      </c>
      <c r="E55" s="23" t="s">
        <v>386</v>
      </c>
      <c r="F55" s="42">
        <v>13907480.776301771</v>
      </c>
      <c r="G55" s="7">
        <v>5.3860760129153265E-2</v>
      </c>
      <c r="H55" s="7" t="s">
        <v>471</v>
      </c>
      <c r="I55" s="457" t="s">
        <v>471</v>
      </c>
    </row>
    <row r="56" spans="1:9" x14ac:dyDescent="0.25">
      <c r="A56" s="8">
        <v>53</v>
      </c>
      <c r="B56" s="8" t="s">
        <v>528</v>
      </c>
      <c r="C56" s="22" t="s">
        <v>254</v>
      </c>
      <c r="D56" s="19" t="s">
        <v>255</v>
      </c>
      <c r="E56" s="23" t="s">
        <v>386</v>
      </c>
      <c r="F56" s="42">
        <v>30888209.253560942</v>
      </c>
      <c r="G56" s="7">
        <v>5.1170245090468802E-2</v>
      </c>
      <c r="H56" s="7" t="s">
        <v>471</v>
      </c>
      <c r="I56" s="457" t="s">
        <v>471</v>
      </c>
    </row>
    <row r="57" spans="1:9" x14ac:dyDescent="0.25">
      <c r="A57" s="8">
        <v>54</v>
      </c>
      <c r="B57" s="8" t="s">
        <v>529</v>
      </c>
      <c r="C57" s="22" t="s">
        <v>128</v>
      </c>
      <c r="D57" s="19" t="s">
        <v>129</v>
      </c>
      <c r="E57" s="23" t="s">
        <v>386</v>
      </c>
      <c r="F57" s="42">
        <v>38898563.347749785</v>
      </c>
      <c r="G57" s="7">
        <v>4.9877475030620511E-2</v>
      </c>
      <c r="H57" s="7" t="s">
        <v>471</v>
      </c>
      <c r="I57" s="457" t="s">
        <v>471</v>
      </c>
    </row>
    <row r="58" spans="1:9" x14ac:dyDescent="0.25">
      <c r="A58" s="8">
        <v>55</v>
      </c>
      <c r="B58" s="8" t="s">
        <v>530</v>
      </c>
      <c r="C58" s="22" t="s">
        <v>162</v>
      </c>
      <c r="D58" s="19" t="s">
        <v>163</v>
      </c>
      <c r="E58" s="23" t="s">
        <v>386</v>
      </c>
      <c r="F58" s="42">
        <v>25510518.60044241</v>
      </c>
      <c r="G58" s="7">
        <v>3.5573021559642523E-2</v>
      </c>
      <c r="H58" s="7" t="s">
        <v>471</v>
      </c>
      <c r="I58" s="457" t="s">
        <v>471</v>
      </c>
    </row>
    <row r="59" spans="1:9" x14ac:dyDescent="0.25">
      <c r="A59" s="8">
        <v>56</v>
      </c>
      <c r="B59" s="8" t="s">
        <v>531</v>
      </c>
      <c r="C59" s="22" t="s">
        <v>250</v>
      </c>
      <c r="D59" s="19" t="s">
        <v>251</v>
      </c>
      <c r="E59" s="23" t="s">
        <v>386</v>
      </c>
      <c r="F59" s="42">
        <v>13884810.892683418</v>
      </c>
      <c r="G59" s="7">
        <v>2.8815927033218298E-2</v>
      </c>
      <c r="H59" s="7" t="s">
        <v>471</v>
      </c>
      <c r="I59" s="457" t="s">
        <v>471</v>
      </c>
    </row>
    <row r="60" spans="1:9" x14ac:dyDescent="0.25">
      <c r="A60" s="8">
        <v>57</v>
      </c>
      <c r="B60" s="8" t="s">
        <v>532</v>
      </c>
      <c r="C60" s="22" t="s">
        <v>132</v>
      </c>
      <c r="D60" s="19" t="s">
        <v>133</v>
      </c>
      <c r="E60" s="23" t="s">
        <v>386</v>
      </c>
      <c r="F60" s="42">
        <v>19515812.854059182</v>
      </c>
      <c r="G60" s="7">
        <v>2.8016093813539391E-2</v>
      </c>
      <c r="H60" s="7" t="s">
        <v>471</v>
      </c>
      <c r="I60" s="457" t="s">
        <v>471</v>
      </c>
    </row>
    <row r="61" spans="1:9" x14ac:dyDescent="0.25">
      <c r="A61" s="8">
        <v>58</v>
      </c>
      <c r="B61" s="8" t="s">
        <v>533</v>
      </c>
      <c r="C61" s="22" t="s">
        <v>126</v>
      </c>
      <c r="D61" s="19" t="s">
        <v>127</v>
      </c>
      <c r="E61" s="23" t="s">
        <v>386</v>
      </c>
      <c r="F61" s="42">
        <v>31397788.811416928</v>
      </c>
      <c r="G61" s="7">
        <v>2.5979505130851569E-2</v>
      </c>
      <c r="H61" s="7" t="s">
        <v>471</v>
      </c>
      <c r="I61" s="457" t="s">
        <v>471</v>
      </c>
    </row>
    <row r="62" spans="1:9" x14ac:dyDescent="0.25">
      <c r="A62" s="8">
        <v>59</v>
      </c>
      <c r="B62" s="8" t="s">
        <v>534</v>
      </c>
      <c r="C62" s="22" t="s">
        <v>182</v>
      </c>
      <c r="D62" s="19" t="s">
        <v>183</v>
      </c>
      <c r="E62" s="23" t="s">
        <v>386</v>
      </c>
      <c r="F62" s="42">
        <v>1804719.8654435535</v>
      </c>
      <c r="G62" s="7">
        <v>2.5691796229773484E-2</v>
      </c>
      <c r="H62" s="7" t="s">
        <v>471</v>
      </c>
      <c r="I62" s="457" t="s">
        <v>471</v>
      </c>
    </row>
    <row r="63" spans="1:9" x14ac:dyDescent="0.25">
      <c r="A63" s="8">
        <v>60</v>
      </c>
      <c r="B63" s="8" t="s">
        <v>535</v>
      </c>
      <c r="C63" s="22" t="s">
        <v>84</v>
      </c>
      <c r="D63" s="19" t="s">
        <v>85</v>
      </c>
      <c r="E63" s="23" t="s">
        <v>386</v>
      </c>
      <c r="F63" s="42">
        <v>18516593.379460208</v>
      </c>
      <c r="G63" s="7">
        <v>2.2803854337287897E-2</v>
      </c>
      <c r="H63" s="7" t="s">
        <v>471</v>
      </c>
      <c r="I63" s="457" t="s">
        <v>471</v>
      </c>
    </row>
    <row r="64" spans="1:9" x14ac:dyDescent="0.25">
      <c r="A64" s="8">
        <v>61</v>
      </c>
      <c r="B64" s="8" t="s">
        <v>536</v>
      </c>
      <c r="C64" s="22" t="s">
        <v>192</v>
      </c>
      <c r="D64" s="19" t="s">
        <v>193</v>
      </c>
      <c r="E64" s="23" t="s">
        <v>386</v>
      </c>
      <c r="F64" s="42">
        <v>27587277.06930618</v>
      </c>
      <c r="G64" s="7">
        <v>1.740444414782091E-2</v>
      </c>
      <c r="H64" s="7" t="s">
        <v>471</v>
      </c>
      <c r="I64" s="457" t="s">
        <v>471</v>
      </c>
    </row>
    <row r="65" spans="1:9" x14ac:dyDescent="0.25">
      <c r="A65" s="8">
        <v>62</v>
      </c>
      <c r="B65" s="8" t="s">
        <v>537</v>
      </c>
      <c r="C65" s="22" t="s">
        <v>218</v>
      </c>
      <c r="D65" s="19" t="s">
        <v>219</v>
      </c>
      <c r="E65" s="23" t="s">
        <v>386</v>
      </c>
      <c r="F65" s="42">
        <v>15406650.036454499</v>
      </c>
      <c r="G65" s="7">
        <v>1.4071470607447534E-2</v>
      </c>
      <c r="H65" s="7" t="s">
        <v>471</v>
      </c>
      <c r="I65" s="457" t="s">
        <v>471</v>
      </c>
    </row>
    <row r="66" spans="1:9" x14ac:dyDescent="0.25">
      <c r="A66" s="8">
        <v>63</v>
      </c>
      <c r="B66" s="8" t="s">
        <v>538</v>
      </c>
      <c r="C66" s="22" t="s">
        <v>164</v>
      </c>
      <c r="D66" s="19" t="s">
        <v>165</v>
      </c>
      <c r="E66" s="23" t="s">
        <v>386</v>
      </c>
      <c r="F66" s="42">
        <v>14865529.770955583</v>
      </c>
      <c r="G66" s="7">
        <v>1.3526647423253864E-2</v>
      </c>
      <c r="H66" s="7" t="s">
        <v>471</v>
      </c>
      <c r="I66" s="457" t="s">
        <v>471</v>
      </c>
    </row>
    <row r="67" spans="1:9" x14ac:dyDescent="0.25">
      <c r="A67" s="8">
        <v>64</v>
      </c>
      <c r="B67" s="8" t="s">
        <v>539</v>
      </c>
      <c r="C67" s="22" t="s">
        <v>160</v>
      </c>
      <c r="D67" s="19" t="s">
        <v>161</v>
      </c>
      <c r="E67" s="23" t="s">
        <v>386</v>
      </c>
      <c r="F67" s="42">
        <v>23201147.412712071</v>
      </c>
      <c r="G67" s="7">
        <v>8.5438211637494429E-3</v>
      </c>
      <c r="H67" s="7" t="s">
        <v>471</v>
      </c>
      <c r="I67" s="457" t="s">
        <v>471</v>
      </c>
    </row>
    <row r="68" spans="1:9" x14ac:dyDescent="0.25">
      <c r="A68" s="8">
        <v>65</v>
      </c>
      <c r="B68" s="8" t="s">
        <v>540</v>
      </c>
      <c r="C68" s="22" t="s">
        <v>222</v>
      </c>
      <c r="D68" s="19" t="s">
        <v>223</v>
      </c>
      <c r="E68" s="23" t="s">
        <v>386</v>
      </c>
      <c r="F68" s="42">
        <v>12250607.977934422</v>
      </c>
      <c r="G68" s="7">
        <v>8.2885829413929784E-3</v>
      </c>
      <c r="H68" s="7" t="s">
        <v>471</v>
      </c>
      <c r="I68" s="457" t="s">
        <v>471</v>
      </c>
    </row>
    <row r="69" spans="1:9" x14ac:dyDescent="0.25">
      <c r="A69" s="8">
        <v>66</v>
      </c>
      <c r="B69" s="8" t="s">
        <v>541</v>
      </c>
      <c r="C69" s="22" t="s">
        <v>148</v>
      </c>
      <c r="D69" s="19" t="s">
        <v>149</v>
      </c>
      <c r="E69" s="23" t="s">
        <v>386</v>
      </c>
      <c r="F69" s="42">
        <v>25280862.822917372</v>
      </c>
      <c r="G69" s="7">
        <v>7.9091463248138535E-3</v>
      </c>
      <c r="H69" s="7" t="s">
        <v>471</v>
      </c>
      <c r="I69" s="457" t="s">
        <v>471</v>
      </c>
    </row>
    <row r="70" spans="1:9" x14ac:dyDescent="0.25">
      <c r="A70" s="8">
        <v>67</v>
      </c>
      <c r="B70" s="8" t="s">
        <v>542</v>
      </c>
      <c r="C70" s="22" t="s">
        <v>106</v>
      </c>
      <c r="D70" s="19" t="s">
        <v>107</v>
      </c>
      <c r="E70" s="23" t="s">
        <v>386</v>
      </c>
      <c r="F70" s="42">
        <v>51881507.131268345</v>
      </c>
      <c r="G70" s="7">
        <v>4.7514611378478948E-3</v>
      </c>
      <c r="H70" s="7" t="s">
        <v>471</v>
      </c>
      <c r="I70" s="457" t="s">
        <v>471</v>
      </c>
    </row>
    <row r="71" spans="1:9" x14ac:dyDescent="0.25">
      <c r="A71" s="8">
        <v>68</v>
      </c>
      <c r="B71" s="8" t="s">
        <v>543</v>
      </c>
      <c r="C71" s="22" t="s">
        <v>114</v>
      </c>
      <c r="D71" s="19" t="s">
        <v>115</v>
      </c>
      <c r="E71" s="23" t="s">
        <v>386</v>
      </c>
      <c r="F71" s="42">
        <v>10311899.243835272</v>
      </c>
      <c r="G71" s="7">
        <v>4.4245513226553457E-3</v>
      </c>
      <c r="H71" s="7" t="s">
        <v>471</v>
      </c>
      <c r="I71" s="457" t="s">
        <v>471</v>
      </c>
    </row>
    <row r="72" spans="1:9" x14ac:dyDescent="0.25">
      <c r="A72" s="8">
        <v>69</v>
      </c>
      <c r="B72" s="8" t="s">
        <v>544</v>
      </c>
      <c r="C72" s="22" t="s">
        <v>224</v>
      </c>
      <c r="D72" s="19" t="s">
        <v>225</v>
      </c>
      <c r="E72" s="23" t="s">
        <v>386</v>
      </c>
      <c r="F72" s="42">
        <v>9330135.5796224345</v>
      </c>
      <c r="G72" s="7">
        <v>1.560163733117913E-3</v>
      </c>
      <c r="H72" s="7" t="s">
        <v>471</v>
      </c>
      <c r="I72" s="457" t="s">
        <v>471</v>
      </c>
    </row>
    <row r="73" spans="1:9" x14ac:dyDescent="0.25">
      <c r="A73" s="8">
        <v>70</v>
      </c>
      <c r="B73" s="8" t="s">
        <v>545</v>
      </c>
      <c r="C73" s="22" t="s">
        <v>18</v>
      </c>
      <c r="D73" s="19" t="s">
        <v>19</v>
      </c>
      <c r="E73" s="23" t="s">
        <v>386</v>
      </c>
      <c r="F73" s="42">
        <v>11486731.46470736</v>
      </c>
      <c r="G73" s="7">
        <v>1.2915011095698098E-3</v>
      </c>
      <c r="H73" s="7" t="s">
        <v>471</v>
      </c>
      <c r="I73" s="457" t="s">
        <v>471</v>
      </c>
    </row>
    <row r="74" spans="1:9" x14ac:dyDescent="0.25">
      <c r="A74" s="8">
        <v>71</v>
      </c>
      <c r="B74" s="8" t="s">
        <v>546</v>
      </c>
      <c r="C74" s="22" t="s">
        <v>156</v>
      </c>
      <c r="D74" s="19" t="s">
        <v>157</v>
      </c>
      <c r="E74" s="23" t="s">
        <v>386</v>
      </c>
      <c r="F74" s="42">
        <v>10739610.952415599</v>
      </c>
      <c r="G74" s="7">
        <v>0</v>
      </c>
      <c r="H74" s="7" t="s">
        <v>471</v>
      </c>
      <c r="I74" s="457" t="s">
        <v>471</v>
      </c>
    </row>
    <row r="75" spans="1:9" x14ac:dyDescent="0.25">
      <c r="A75" s="8">
        <v>72</v>
      </c>
      <c r="B75" s="8" t="s">
        <v>547</v>
      </c>
      <c r="C75" s="22" t="s">
        <v>40</v>
      </c>
      <c r="D75" s="19" t="s">
        <v>41</v>
      </c>
      <c r="E75" s="23" t="s">
        <v>386</v>
      </c>
      <c r="F75" s="42">
        <v>16871144.23114229</v>
      </c>
      <c r="G75" s="7">
        <v>0</v>
      </c>
      <c r="H75" s="7" t="s">
        <v>471</v>
      </c>
      <c r="I75" s="457" t="s">
        <v>471</v>
      </c>
    </row>
    <row r="76" spans="1:9" x14ac:dyDescent="0.25">
      <c r="A76" s="8">
        <v>73</v>
      </c>
      <c r="B76" s="8" t="s">
        <v>548</v>
      </c>
      <c r="C76" s="22" t="s">
        <v>90</v>
      </c>
      <c r="D76" s="19" t="s">
        <v>91</v>
      </c>
      <c r="E76" s="23" t="s">
        <v>386</v>
      </c>
      <c r="F76" s="42">
        <v>25536145.425402287</v>
      </c>
      <c r="G76" s="7">
        <v>0</v>
      </c>
      <c r="H76" s="7" t="s">
        <v>471</v>
      </c>
      <c r="I76" s="457" t="s">
        <v>471</v>
      </c>
    </row>
    <row r="77" spans="1:9" x14ac:dyDescent="0.25">
      <c r="A77" s="8">
        <v>74</v>
      </c>
      <c r="B77" s="8" t="s">
        <v>549</v>
      </c>
      <c r="C77" s="22" t="s">
        <v>108</v>
      </c>
      <c r="D77" s="19" t="s">
        <v>109</v>
      </c>
      <c r="E77" s="23" t="s">
        <v>386</v>
      </c>
      <c r="F77" s="42">
        <v>20003708.175410666</v>
      </c>
      <c r="G77" s="7">
        <v>0</v>
      </c>
      <c r="H77" s="7" t="s">
        <v>471</v>
      </c>
      <c r="I77" s="457" t="s">
        <v>471</v>
      </c>
    </row>
    <row r="78" spans="1:9" x14ac:dyDescent="0.25">
      <c r="A78" s="8">
        <v>75</v>
      </c>
      <c r="B78" s="8" t="s">
        <v>550</v>
      </c>
      <c r="C78" s="22" t="s">
        <v>154</v>
      </c>
      <c r="D78" s="19" t="s">
        <v>155</v>
      </c>
      <c r="E78" s="23" t="s">
        <v>386</v>
      </c>
      <c r="F78" s="42">
        <v>9682011.599263804</v>
      </c>
      <c r="G78" s="7">
        <v>0</v>
      </c>
      <c r="H78" s="7" t="s">
        <v>471</v>
      </c>
      <c r="I78" s="457" t="s">
        <v>471</v>
      </c>
    </row>
    <row r="79" spans="1:9" x14ac:dyDescent="0.25">
      <c r="A79" s="8">
        <v>76</v>
      </c>
      <c r="B79" s="8" t="s">
        <v>551</v>
      </c>
      <c r="C79" s="22" t="s">
        <v>264</v>
      </c>
      <c r="D79" s="19" t="s">
        <v>265</v>
      </c>
      <c r="E79" s="23" t="s">
        <v>386</v>
      </c>
      <c r="F79" s="42">
        <v>26428156.063428722</v>
      </c>
      <c r="G79" s="7">
        <v>0</v>
      </c>
      <c r="H79" s="7" t="s">
        <v>471</v>
      </c>
      <c r="I79" s="457" t="s">
        <v>471</v>
      </c>
    </row>
    <row r="80" spans="1:9" x14ac:dyDescent="0.25">
      <c r="A80" s="8">
        <v>77</v>
      </c>
      <c r="B80" s="8" t="s">
        <v>552</v>
      </c>
      <c r="C80" s="22" t="s">
        <v>266</v>
      </c>
      <c r="D80" s="19" t="s">
        <v>267</v>
      </c>
      <c r="E80" s="23" t="s">
        <v>386</v>
      </c>
      <c r="F80" s="42">
        <v>7691004.4293042319</v>
      </c>
      <c r="G80" s="7">
        <v>0</v>
      </c>
      <c r="H80" s="7" t="s">
        <v>471</v>
      </c>
      <c r="I80" s="457" t="s">
        <v>471</v>
      </c>
    </row>
    <row r="81" spans="5:5" x14ac:dyDescent="0.25">
      <c r="E81" s="23"/>
    </row>
    <row r="82" spans="5:5" x14ac:dyDescent="0.25">
      <c r="E82" s="23"/>
    </row>
    <row r="83" spans="5:5" x14ac:dyDescent="0.25">
      <c r="E83" s="23"/>
    </row>
    <row r="84" spans="5:5" x14ac:dyDescent="0.25">
      <c r="E84" s="23"/>
    </row>
    <row r="85" spans="5:5" x14ac:dyDescent="0.25">
      <c r="E85" s="23"/>
    </row>
    <row r="86" spans="5:5" x14ac:dyDescent="0.25">
      <c r="E86" s="23"/>
    </row>
    <row r="87" spans="5:5" x14ac:dyDescent="0.25">
      <c r="E87" s="23"/>
    </row>
    <row r="88" spans="5:5" x14ac:dyDescent="0.25">
      <c r="E88" s="23"/>
    </row>
    <row r="89" spans="5:5" x14ac:dyDescent="0.25">
      <c r="E89" s="23"/>
    </row>
    <row r="90" spans="5:5" x14ac:dyDescent="0.25">
      <c r="E90" s="23"/>
    </row>
    <row r="91" spans="5:5" x14ac:dyDescent="0.25">
      <c r="E91" s="23"/>
    </row>
    <row r="92" spans="5:5" x14ac:dyDescent="0.25">
      <c r="E92" s="23"/>
    </row>
    <row r="93" spans="5:5" x14ac:dyDescent="0.25">
      <c r="E93" s="23"/>
    </row>
    <row r="94" spans="5:5" x14ac:dyDescent="0.25">
      <c r="E94" s="23"/>
    </row>
    <row r="95" spans="5:5" x14ac:dyDescent="0.25">
      <c r="E95" s="23"/>
    </row>
    <row r="96" spans="5:5" x14ac:dyDescent="0.25">
      <c r="E96" s="23"/>
    </row>
    <row r="97" spans="5:5" x14ac:dyDescent="0.25">
      <c r="E97" s="23"/>
    </row>
    <row r="98" spans="5:5" x14ac:dyDescent="0.25">
      <c r="E98" s="23"/>
    </row>
    <row r="99" spans="5:5" x14ac:dyDescent="0.25">
      <c r="E99" s="23"/>
    </row>
    <row r="100" spans="5:5" x14ac:dyDescent="0.25">
      <c r="E100" s="23"/>
    </row>
    <row r="101" spans="5:5" x14ac:dyDescent="0.25">
      <c r="E101" s="23"/>
    </row>
    <row r="102" spans="5:5" x14ac:dyDescent="0.25">
      <c r="E102" s="23"/>
    </row>
    <row r="103" spans="5:5" x14ac:dyDescent="0.25">
      <c r="E103" s="23"/>
    </row>
    <row r="104" spans="5:5" x14ac:dyDescent="0.25">
      <c r="E104" s="23"/>
    </row>
    <row r="105" spans="5:5" x14ac:dyDescent="0.25">
      <c r="E105" s="23"/>
    </row>
    <row r="106" spans="5:5" x14ac:dyDescent="0.25">
      <c r="E106" s="23"/>
    </row>
    <row r="107" spans="5:5" x14ac:dyDescent="0.25">
      <c r="E107" s="23"/>
    </row>
    <row r="108" spans="5:5" x14ac:dyDescent="0.25">
      <c r="E108" s="23"/>
    </row>
    <row r="109" spans="5:5" x14ac:dyDescent="0.25">
      <c r="E109" s="23"/>
    </row>
    <row r="110" spans="5:5" x14ac:dyDescent="0.25">
      <c r="E110" s="23"/>
    </row>
    <row r="111" spans="5:5" x14ac:dyDescent="0.25">
      <c r="E111" s="23"/>
    </row>
    <row r="112" spans="5:5" x14ac:dyDescent="0.25">
      <c r="E112" s="23"/>
    </row>
    <row r="113" spans="5:5" x14ac:dyDescent="0.25">
      <c r="E113" s="23"/>
    </row>
    <row r="114" spans="5:5" x14ac:dyDescent="0.25">
      <c r="E114" s="23"/>
    </row>
    <row r="115" spans="5:5" x14ac:dyDescent="0.25">
      <c r="E115" s="23"/>
    </row>
    <row r="116" spans="5:5" x14ac:dyDescent="0.25">
      <c r="E116" s="23"/>
    </row>
    <row r="117" spans="5:5" x14ac:dyDescent="0.25">
      <c r="E117" s="23"/>
    </row>
    <row r="118" spans="5:5" x14ac:dyDescent="0.25">
      <c r="E118" s="23"/>
    </row>
    <row r="119" spans="5:5" x14ac:dyDescent="0.25">
      <c r="E119" s="23"/>
    </row>
    <row r="120" spans="5:5" x14ac:dyDescent="0.25">
      <c r="E120" s="23"/>
    </row>
    <row r="121" spans="5:5" x14ac:dyDescent="0.25">
      <c r="E121" s="23"/>
    </row>
    <row r="122" spans="5:5" x14ac:dyDescent="0.25">
      <c r="E122" s="23"/>
    </row>
    <row r="123" spans="5:5" x14ac:dyDescent="0.25">
      <c r="E123" s="23"/>
    </row>
    <row r="124" spans="5:5" x14ac:dyDescent="0.25">
      <c r="E124" s="23"/>
    </row>
    <row r="125" spans="5:5" x14ac:dyDescent="0.25">
      <c r="E125" s="23"/>
    </row>
    <row r="126" spans="5:5" x14ac:dyDescent="0.25">
      <c r="E126" s="23"/>
    </row>
    <row r="127" spans="5:5" x14ac:dyDescent="0.25">
      <c r="E127" s="23"/>
    </row>
    <row r="128" spans="5:5" x14ac:dyDescent="0.25">
      <c r="E128" s="23"/>
    </row>
    <row r="129" spans="5:5" x14ac:dyDescent="0.25">
      <c r="E129" s="23"/>
    </row>
    <row r="130" spans="5:5" x14ac:dyDescent="0.25">
      <c r="E130" s="23"/>
    </row>
    <row r="131" spans="5:5" x14ac:dyDescent="0.25">
      <c r="E131" s="23"/>
    </row>
    <row r="132" spans="5:5" x14ac:dyDescent="0.25">
      <c r="E132" s="23"/>
    </row>
    <row r="133" spans="5:5" x14ac:dyDescent="0.25">
      <c r="E133" s="23"/>
    </row>
    <row r="134" spans="5:5" x14ac:dyDescent="0.25">
      <c r="E134" s="23"/>
    </row>
    <row r="135" spans="5:5" x14ac:dyDescent="0.25">
      <c r="E135" s="23"/>
    </row>
    <row r="136" spans="5:5" x14ac:dyDescent="0.25">
      <c r="E136" s="23"/>
    </row>
    <row r="137" spans="5:5" x14ac:dyDescent="0.25">
      <c r="E137" s="23"/>
    </row>
    <row r="138" spans="5:5" x14ac:dyDescent="0.25">
      <c r="E138" s="23"/>
    </row>
    <row r="139" spans="5:5" x14ac:dyDescent="0.25">
      <c r="E139" s="23"/>
    </row>
    <row r="140" spans="5:5" x14ac:dyDescent="0.25">
      <c r="E140" s="23"/>
    </row>
    <row r="141" spans="5:5" x14ac:dyDescent="0.25">
      <c r="E141" s="23"/>
    </row>
    <row r="142" spans="5:5" x14ac:dyDescent="0.25">
      <c r="E142" s="23"/>
    </row>
    <row r="143" spans="5:5" x14ac:dyDescent="0.25">
      <c r="E143" s="23"/>
    </row>
    <row r="144" spans="5:5" x14ac:dyDescent="0.25">
      <c r="E144" s="23"/>
    </row>
    <row r="145" spans="5:5" x14ac:dyDescent="0.25">
      <c r="E145" s="23"/>
    </row>
    <row r="146" spans="5:5" x14ac:dyDescent="0.25">
      <c r="E146" s="23"/>
    </row>
    <row r="147" spans="5:5" x14ac:dyDescent="0.25">
      <c r="E147" s="23"/>
    </row>
    <row r="148" spans="5:5" x14ac:dyDescent="0.25">
      <c r="E148" s="23"/>
    </row>
  </sheetData>
  <autoFilter ref="A2:I2"/>
  <sortState ref="A3:G80">
    <sortCondition descending="1" ref="G4"/>
  </sortState>
  <conditionalFormatting sqref="G3:G80">
    <cfRule type="cellIs" dxfId="3" priority="1" operator="lessThan">
      <formula>1</formula>
    </cfRule>
    <cfRule type="cellIs" dxfId="2" priority="2" operator="greaterThan">
      <formula>1</formula>
    </cfRule>
  </conditionalFormatting>
  <conditionalFormatting sqref="G3:G80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{8AD0FA57-9CD4-4983-B8A4-F54312A8D5E8}</x14:id>
        </ext>
      </extLst>
    </cfRule>
  </conditionalFormatting>
  <pageMargins left="0.7" right="0.7" top="0.75" bottom="0.75" header="0.3" footer="0.3"/>
  <pageSetup paperSize="9" scale="74" fitToHeight="0" orientation="portrait" r:id="rId1"/>
  <headerFooter>
    <oddFooter>&amp;LPríloha č. 1_4a Elektrifikácie&amp;R&amp;P l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D0FA57-9CD4-4983-B8A4-F54312A8D5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G3:G80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opLeftCell="A55" zoomScaleNormal="100" workbookViewId="0">
      <selection activeCell="N7" sqref="N7"/>
    </sheetView>
  </sheetViews>
  <sheetFormatPr defaultColWidth="9.140625" defaultRowHeight="15" x14ac:dyDescent="0.25"/>
  <cols>
    <col min="1" max="3" width="9.140625" style="13"/>
    <col min="4" max="4" width="38.28515625" style="13" customWidth="1"/>
    <col min="5" max="5" width="37.140625" style="13" customWidth="1"/>
    <col min="6" max="6" width="11" style="13" customWidth="1"/>
    <col min="7" max="7" width="6.140625" style="13" customWidth="1"/>
    <col min="8" max="8" width="9.140625" style="13"/>
    <col min="9" max="9" width="23.5703125" style="13" bestFit="1" customWidth="1"/>
    <col min="10" max="10" width="15.5703125" style="13" customWidth="1"/>
    <col min="11" max="16384" width="9.140625" style="13"/>
  </cols>
  <sheetData>
    <row r="1" spans="1:10" ht="18.75" x14ac:dyDescent="0.25">
      <c r="A1" s="82" t="s">
        <v>608</v>
      </c>
    </row>
    <row r="2" spans="1:10" ht="45" x14ac:dyDescent="0.25">
      <c r="A2" s="459" t="s">
        <v>288</v>
      </c>
      <c r="B2" s="460" t="s">
        <v>383</v>
      </c>
      <c r="C2" s="460" t="s">
        <v>335</v>
      </c>
      <c r="D2" s="460" t="s">
        <v>337</v>
      </c>
      <c r="E2" s="460" t="s">
        <v>338</v>
      </c>
      <c r="F2" s="459" t="s">
        <v>610</v>
      </c>
      <c r="G2" s="459" t="s">
        <v>310</v>
      </c>
      <c r="H2" s="75" t="s">
        <v>469</v>
      </c>
      <c r="I2" s="460" t="s">
        <v>566</v>
      </c>
      <c r="J2" s="460" t="s">
        <v>1477</v>
      </c>
    </row>
    <row r="3" spans="1:10" x14ac:dyDescent="0.25">
      <c r="A3" s="62" t="s">
        <v>460</v>
      </c>
    </row>
    <row r="4" spans="1:10" x14ac:dyDescent="0.25">
      <c r="A4" s="13">
        <v>1</v>
      </c>
      <c r="B4" s="13" t="s">
        <v>657</v>
      </c>
      <c r="C4" s="56" t="s">
        <v>417</v>
      </c>
      <c r="D4" s="27" t="s">
        <v>336</v>
      </c>
      <c r="E4" s="27" t="s">
        <v>398</v>
      </c>
      <c r="F4" s="63">
        <v>102191.693474742</v>
      </c>
      <c r="G4" s="7">
        <v>4.17</v>
      </c>
      <c r="H4" s="65" t="s">
        <v>470</v>
      </c>
      <c r="I4" s="13" t="s">
        <v>431</v>
      </c>
      <c r="J4" s="13" t="s">
        <v>1473</v>
      </c>
    </row>
    <row r="5" spans="1:10" x14ac:dyDescent="0.25">
      <c r="A5" s="13">
        <v>2</v>
      </c>
      <c r="B5" s="13" t="s">
        <v>658</v>
      </c>
      <c r="C5" s="26" t="s">
        <v>58</v>
      </c>
      <c r="D5" s="27" t="s">
        <v>59</v>
      </c>
      <c r="E5" s="13" t="s">
        <v>410</v>
      </c>
      <c r="F5" s="63">
        <v>165669.45022071074</v>
      </c>
      <c r="G5" s="7">
        <v>3.5558819522812386</v>
      </c>
      <c r="H5" s="66" t="s">
        <v>470</v>
      </c>
      <c r="I5" s="13" t="s">
        <v>432</v>
      </c>
      <c r="J5" s="13" t="s">
        <v>471</v>
      </c>
    </row>
    <row r="6" spans="1:10" x14ac:dyDescent="0.25">
      <c r="A6" s="13">
        <v>3</v>
      </c>
      <c r="B6" s="13" t="s">
        <v>659</v>
      </c>
      <c r="C6" s="26" t="s">
        <v>60</v>
      </c>
      <c r="D6" s="27" t="s">
        <v>61</v>
      </c>
      <c r="E6" s="13" t="s">
        <v>410</v>
      </c>
      <c r="F6" s="63">
        <v>226133.0360406065</v>
      </c>
      <c r="G6" s="7">
        <v>3.305638801591908</v>
      </c>
      <c r="H6" s="66" t="s">
        <v>470</v>
      </c>
      <c r="I6" s="13" t="s">
        <v>432</v>
      </c>
      <c r="J6" s="13" t="s">
        <v>471</v>
      </c>
    </row>
    <row r="7" spans="1:10" x14ac:dyDescent="0.25">
      <c r="A7" s="13">
        <v>4</v>
      </c>
      <c r="B7" s="13" t="s">
        <v>660</v>
      </c>
      <c r="C7" s="26" t="s">
        <v>62</v>
      </c>
      <c r="D7" s="27" t="s">
        <v>63</v>
      </c>
      <c r="E7" s="13" t="s">
        <v>410</v>
      </c>
      <c r="F7" s="63">
        <v>312416.9559024435</v>
      </c>
      <c r="G7" s="7">
        <v>2.657327961728607</v>
      </c>
      <c r="H7" s="66" t="s">
        <v>470</v>
      </c>
      <c r="I7" s="13" t="s">
        <v>432</v>
      </c>
      <c r="J7" s="13" t="s">
        <v>471</v>
      </c>
    </row>
    <row r="8" spans="1:10" x14ac:dyDescent="0.25">
      <c r="A8" s="13">
        <v>5</v>
      </c>
      <c r="B8" s="13" t="s">
        <v>661</v>
      </c>
      <c r="C8" s="56" t="s">
        <v>415</v>
      </c>
      <c r="D8" s="27" t="s">
        <v>402</v>
      </c>
      <c r="E8" s="27" t="s">
        <v>399</v>
      </c>
      <c r="F8" s="63">
        <v>143299.97694015873</v>
      </c>
      <c r="G8" s="7">
        <v>1.8</v>
      </c>
      <c r="H8" s="66" t="s">
        <v>470</v>
      </c>
      <c r="I8" s="13" t="s">
        <v>431</v>
      </c>
      <c r="J8" s="13" t="s">
        <v>471</v>
      </c>
    </row>
    <row r="9" spans="1:10" x14ac:dyDescent="0.25">
      <c r="A9" s="13">
        <v>6</v>
      </c>
      <c r="B9" s="13" t="s">
        <v>662</v>
      </c>
      <c r="C9" s="56" t="s">
        <v>418</v>
      </c>
      <c r="D9" s="27" t="s">
        <v>407</v>
      </c>
      <c r="E9" s="27" t="s">
        <v>408</v>
      </c>
      <c r="F9" s="63">
        <v>93881.310101610812</v>
      </c>
      <c r="G9" s="7">
        <v>1.48</v>
      </c>
      <c r="H9" s="66" t="s">
        <v>470</v>
      </c>
      <c r="I9" s="13" t="s">
        <v>432</v>
      </c>
      <c r="J9" s="13" t="s">
        <v>471</v>
      </c>
    </row>
    <row r="10" spans="1:10" x14ac:dyDescent="0.25">
      <c r="A10" s="13">
        <v>7</v>
      </c>
      <c r="B10" s="13" t="s">
        <v>663</v>
      </c>
      <c r="C10" s="26" t="s">
        <v>64</v>
      </c>
      <c r="D10" s="27" t="s">
        <v>65</v>
      </c>
      <c r="E10" s="13" t="s">
        <v>410</v>
      </c>
      <c r="F10" s="63">
        <v>96298.867215119681</v>
      </c>
      <c r="G10" s="7">
        <v>1.3818091391809337</v>
      </c>
      <c r="H10" s="66" t="s">
        <v>470</v>
      </c>
      <c r="I10" s="13" t="s">
        <v>432</v>
      </c>
      <c r="J10" s="13" t="s">
        <v>471</v>
      </c>
    </row>
    <row r="11" spans="1:10" x14ac:dyDescent="0.25">
      <c r="A11" s="13">
        <v>8</v>
      </c>
      <c r="B11" s="13" t="s">
        <v>664</v>
      </c>
      <c r="C11" s="56" t="s">
        <v>418</v>
      </c>
      <c r="D11" s="27" t="s">
        <v>405</v>
      </c>
      <c r="E11" s="27" t="s">
        <v>406</v>
      </c>
      <c r="F11" s="63">
        <v>553261.70127842494</v>
      </c>
      <c r="G11" s="7">
        <v>1.35</v>
      </c>
      <c r="H11" s="66" t="s">
        <v>470</v>
      </c>
      <c r="I11" s="13" t="s">
        <v>432</v>
      </c>
      <c r="J11" s="13" t="s">
        <v>471</v>
      </c>
    </row>
    <row r="12" spans="1:10" x14ac:dyDescent="0.25">
      <c r="A12" s="13">
        <v>9</v>
      </c>
      <c r="B12" s="13" t="s">
        <v>665</v>
      </c>
      <c r="C12" s="56" t="s">
        <v>144</v>
      </c>
      <c r="D12" s="27" t="s">
        <v>401</v>
      </c>
      <c r="E12" s="27" t="s">
        <v>289</v>
      </c>
      <c r="F12" s="63">
        <v>60936.249999999993</v>
      </c>
      <c r="G12" s="7">
        <v>1.24</v>
      </c>
      <c r="H12" s="66" t="s">
        <v>470</v>
      </c>
      <c r="I12" s="13" t="s">
        <v>432</v>
      </c>
      <c r="J12" s="13" t="s">
        <v>1473</v>
      </c>
    </row>
    <row r="13" spans="1:10" x14ac:dyDescent="0.25">
      <c r="A13" s="13">
        <v>10</v>
      </c>
      <c r="B13" s="13" t="s">
        <v>666</v>
      </c>
      <c r="C13" s="56" t="s">
        <v>418</v>
      </c>
      <c r="D13" s="27" t="s">
        <v>409</v>
      </c>
      <c r="E13" s="27" t="s">
        <v>394</v>
      </c>
      <c r="F13" s="63">
        <v>23971.635491964706</v>
      </c>
      <c r="G13" s="7">
        <v>1.1557792207792212</v>
      </c>
      <c r="H13" s="66" t="s">
        <v>470</v>
      </c>
      <c r="I13" s="13" t="s">
        <v>432</v>
      </c>
      <c r="J13" s="13" t="s">
        <v>471</v>
      </c>
    </row>
    <row r="14" spans="1:10" x14ac:dyDescent="0.25">
      <c r="A14" s="13">
        <v>11</v>
      </c>
      <c r="B14" s="13" t="s">
        <v>667</v>
      </c>
      <c r="C14" s="56" t="s">
        <v>418</v>
      </c>
      <c r="D14" s="27" t="s">
        <v>412</v>
      </c>
      <c r="E14" s="27" t="s">
        <v>347</v>
      </c>
      <c r="F14" s="63">
        <v>4101.6106355072689</v>
      </c>
      <c r="G14" s="7">
        <v>1.1557792207792212</v>
      </c>
      <c r="H14" s="66" t="s">
        <v>470</v>
      </c>
      <c r="I14" s="13" t="s">
        <v>432</v>
      </c>
      <c r="J14" s="13" t="s">
        <v>471</v>
      </c>
    </row>
    <row r="15" spans="1:10" x14ac:dyDescent="0.25">
      <c r="A15" s="53">
        <v>12</v>
      </c>
      <c r="B15" s="53" t="s">
        <v>668</v>
      </c>
      <c r="C15" s="74" t="s">
        <v>416</v>
      </c>
      <c r="D15" s="60" t="s">
        <v>403</v>
      </c>
      <c r="E15" s="60" t="s">
        <v>399</v>
      </c>
      <c r="F15" s="64">
        <v>240874.99999999997</v>
      </c>
      <c r="G15" s="47">
        <v>1.03</v>
      </c>
      <c r="H15" s="67" t="s">
        <v>470</v>
      </c>
      <c r="I15" s="53" t="s">
        <v>413</v>
      </c>
      <c r="J15" s="53" t="s">
        <v>471</v>
      </c>
    </row>
    <row r="16" spans="1:10" x14ac:dyDescent="0.25">
      <c r="A16" s="68">
        <v>13</v>
      </c>
      <c r="B16" s="68" t="s">
        <v>669</v>
      </c>
      <c r="C16" s="69" t="s">
        <v>66</v>
      </c>
      <c r="D16" s="70" t="s">
        <v>67</v>
      </c>
      <c r="E16" s="68" t="s">
        <v>410</v>
      </c>
      <c r="F16" s="71">
        <v>447954.38491040998</v>
      </c>
      <c r="G16" s="7">
        <v>0.96253282708770693</v>
      </c>
      <c r="H16" s="73" t="s">
        <v>471</v>
      </c>
      <c r="I16" s="68" t="s">
        <v>432</v>
      </c>
      <c r="J16" s="13" t="s">
        <v>1473</v>
      </c>
    </row>
    <row r="17" spans="1:10" x14ac:dyDescent="0.25">
      <c r="A17" s="13">
        <v>14</v>
      </c>
      <c r="B17" s="13" t="s">
        <v>670</v>
      </c>
      <c r="C17" s="56" t="s">
        <v>414</v>
      </c>
      <c r="D17" s="27" t="s">
        <v>404</v>
      </c>
      <c r="E17" s="27" t="s">
        <v>347</v>
      </c>
      <c r="F17" s="63">
        <v>133534.4375</v>
      </c>
      <c r="G17" s="7">
        <v>0.66</v>
      </c>
      <c r="H17" s="66" t="s">
        <v>471</v>
      </c>
      <c r="I17" s="13" t="s">
        <v>432</v>
      </c>
      <c r="J17" s="13" t="s">
        <v>471</v>
      </c>
    </row>
    <row r="18" spans="1:10" x14ac:dyDescent="0.25">
      <c r="A18" s="13">
        <v>15</v>
      </c>
      <c r="B18" s="13" t="s">
        <v>671</v>
      </c>
      <c r="C18" s="26" t="s">
        <v>68</v>
      </c>
      <c r="D18" s="27" t="s">
        <v>69</v>
      </c>
      <c r="E18" s="27" t="s">
        <v>410</v>
      </c>
      <c r="F18" s="63">
        <v>125780.14448435535</v>
      </c>
      <c r="G18" s="7">
        <v>0.56504540553311977</v>
      </c>
      <c r="H18" s="66" t="s">
        <v>471</v>
      </c>
      <c r="I18" s="13" t="s">
        <v>432</v>
      </c>
      <c r="J18" s="13" t="s">
        <v>471</v>
      </c>
    </row>
    <row r="19" spans="1:10" x14ac:dyDescent="0.25">
      <c r="A19" s="13">
        <v>16</v>
      </c>
      <c r="B19" s="13" t="s">
        <v>672</v>
      </c>
      <c r="C19" s="56" t="s">
        <v>104</v>
      </c>
      <c r="D19" s="27" t="s">
        <v>400</v>
      </c>
      <c r="E19" s="27" t="s">
        <v>399</v>
      </c>
      <c r="F19" s="63">
        <v>138262.25</v>
      </c>
      <c r="G19" s="7">
        <v>0.48</v>
      </c>
      <c r="H19" s="66" t="s">
        <v>471</v>
      </c>
      <c r="I19" s="13" t="s">
        <v>432</v>
      </c>
      <c r="J19" s="13" t="s">
        <v>471</v>
      </c>
    </row>
    <row r="20" spans="1:10" x14ac:dyDescent="0.25">
      <c r="A20" s="13">
        <v>17</v>
      </c>
      <c r="B20" s="13" t="s">
        <v>673</v>
      </c>
      <c r="C20" s="56" t="s">
        <v>96</v>
      </c>
      <c r="D20" s="27" t="s">
        <v>97</v>
      </c>
      <c r="E20" s="27" t="s">
        <v>399</v>
      </c>
      <c r="F20" s="63">
        <v>57364.124999999993</v>
      </c>
      <c r="G20" s="7">
        <v>0.31</v>
      </c>
      <c r="H20" s="66" t="s">
        <v>471</v>
      </c>
      <c r="I20" s="13" t="s">
        <v>432</v>
      </c>
      <c r="J20" s="13" t="s">
        <v>471</v>
      </c>
    </row>
    <row r="21" spans="1:10" x14ac:dyDescent="0.25">
      <c r="A21" s="13">
        <v>18</v>
      </c>
      <c r="B21" s="13" t="s">
        <v>674</v>
      </c>
      <c r="C21" s="26" t="s">
        <v>86</v>
      </c>
      <c r="D21" s="27" t="s">
        <v>87</v>
      </c>
      <c r="E21" s="27" t="s">
        <v>411</v>
      </c>
      <c r="F21" s="63">
        <v>190330.14297735799</v>
      </c>
      <c r="G21" s="7">
        <v>0.28416908303588445</v>
      </c>
      <c r="H21" s="66" t="s">
        <v>471</v>
      </c>
      <c r="I21" s="13" t="s">
        <v>432</v>
      </c>
      <c r="J21" s="13" t="s">
        <v>471</v>
      </c>
    </row>
    <row r="22" spans="1:10" x14ac:dyDescent="0.25">
      <c r="A22" s="13">
        <v>19</v>
      </c>
      <c r="B22" s="13" t="s">
        <v>675</v>
      </c>
      <c r="C22" s="26" t="s">
        <v>88</v>
      </c>
      <c r="D22" s="27" t="s">
        <v>89</v>
      </c>
      <c r="E22" s="27" t="s">
        <v>411</v>
      </c>
      <c r="F22" s="63">
        <v>28539.292949480619</v>
      </c>
      <c r="G22" s="7">
        <v>0</v>
      </c>
      <c r="H22" s="66" t="s">
        <v>471</v>
      </c>
      <c r="I22" s="13" t="s">
        <v>432</v>
      </c>
      <c r="J22" s="13" t="s">
        <v>471</v>
      </c>
    </row>
    <row r="24" spans="1:10" x14ac:dyDescent="0.25">
      <c r="A24" s="62" t="s">
        <v>461</v>
      </c>
    </row>
    <row r="25" spans="1:10" ht="45" x14ac:dyDescent="0.25">
      <c r="A25" s="460" t="s">
        <v>288</v>
      </c>
      <c r="B25" s="460" t="s">
        <v>383</v>
      </c>
      <c r="C25" s="460" t="s">
        <v>335</v>
      </c>
      <c r="D25" s="460" t="s">
        <v>337</v>
      </c>
      <c r="E25" s="460" t="s">
        <v>338</v>
      </c>
      <c r="F25" s="459" t="s">
        <v>610</v>
      </c>
      <c r="G25" s="459" t="s">
        <v>310</v>
      </c>
      <c r="H25" s="75" t="s">
        <v>469</v>
      </c>
      <c r="I25" s="460" t="s">
        <v>566</v>
      </c>
    </row>
    <row r="26" spans="1:10" x14ac:dyDescent="0.25">
      <c r="A26" s="13" t="s">
        <v>348</v>
      </c>
      <c r="B26" s="13" t="s">
        <v>676</v>
      </c>
      <c r="C26" s="13" t="s">
        <v>70</v>
      </c>
      <c r="D26" s="13" t="s">
        <v>353</v>
      </c>
      <c r="G26" s="13" t="s">
        <v>348</v>
      </c>
      <c r="I26" s="13" t="s">
        <v>431</v>
      </c>
    </row>
    <row r="27" spans="1:10" x14ac:dyDescent="0.25">
      <c r="A27" s="13" t="s">
        <v>348</v>
      </c>
      <c r="B27" s="13" t="s">
        <v>677</v>
      </c>
      <c r="C27" s="13" t="s">
        <v>429</v>
      </c>
      <c r="D27" s="13" t="s">
        <v>354</v>
      </c>
      <c r="G27" s="13" t="s">
        <v>348</v>
      </c>
      <c r="I27" s="13" t="s">
        <v>431</v>
      </c>
    </row>
    <row r="28" spans="1:10" x14ac:dyDescent="0.25">
      <c r="A28" s="13" t="s">
        <v>348</v>
      </c>
      <c r="B28" s="13" t="s">
        <v>678</v>
      </c>
      <c r="C28" s="13" t="s">
        <v>70</v>
      </c>
      <c r="D28" s="13" t="s">
        <v>355</v>
      </c>
      <c r="G28" s="13" t="s">
        <v>348</v>
      </c>
      <c r="I28" s="13" t="s">
        <v>431</v>
      </c>
    </row>
    <row r="29" spans="1:10" x14ac:dyDescent="0.25">
      <c r="A29" s="13" t="s">
        <v>348</v>
      </c>
      <c r="B29" s="13" t="s">
        <v>679</v>
      </c>
      <c r="C29" s="13" t="s">
        <v>429</v>
      </c>
      <c r="D29" s="13" t="s">
        <v>356</v>
      </c>
      <c r="G29" s="13" t="s">
        <v>348</v>
      </c>
      <c r="I29" s="13" t="s">
        <v>431</v>
      </c>
    </row>
    <row r="31" spans="1:10" x14ac:dyDescent="0.25">
      <c r="A31" s="62" t="s">
        <v>462</v>
      </c>
    </row>
    <row r="32" spans="1:10" ht="45" x14ac:dyDescent="0.25">
      <c r="A32" s="460" t="s">
        <v>288</v>
      </c>
      <c r="B32" s="460" t="s">
        <v>383</v>
      </c>
      <c r="C32" s="460" t="s">
        <v>335</v>
      </c>
      <c r="D32" s="460" t="s">
        <v>337</v>
      </c>
      <c r="E32" s="460" t="s">
        <v>338</v>
      </c>
      <c r="F32" s="459" t="s">
        <v>610</v>
      </c>
      <c r="G32" s="459" t="s">
        <v>310</v>
      </c>
      <c r="H32" s="75" t="s">
        <v>469</v>
      </c>
      <c r="I32" s="460" t="s">
        <v>566</v>
      </c>
    </row>
    <row r="33" spans="1:5" x14ac:dyDescent="0.25">
      <c r="A33" s="62" t="s">
        <v>463</v>
      </c>
      <c r="E33" s="58"/>
    </row>
    <row r="34" spans="1:5" x14ac:dyDescent="0.25">
      <c r="A34" s="13" t="s">
        <v>348</v>
      </c>
      <c r="B34" s="13" t="s">
        <v>680</v>
      </c>
      <c r="C34" s="13" t="s">
        <v>419</v>
      </c>
      <c r="D34" s="13" t="s">
        <v>339</v>
      </c>
      <c r="E34" s="13" t="s">
        <v>340</v>
      </c>
    </row>
    <row r="35" spans="1:5" x14ac:dyDescent="0.25">
      <c r="A35" s="13" t="s">
        <v>348</v>
      </c>
      <c r="B35" s="13" t="s">
        <v>681</v>
      </c>
      <c r="C35" s="13" t="s">
        <v>420</v>
      </c>
      <c r="D35" s="13" t="s">
        <v>213</v>
      </c>
      <c r="E35" s="13" t="s">
        <v>341</v>
      </c>
    </row>
    <row r="36" spans="1:5" x14ac:dyDescent="0.25">
      <c r="A36" s="13" t="s">
        <v>348</v>
      </c>
      <c r="B36" s="13" t="s">
        <v>1467</v>
      </c>
      <c r="C36" s="13" t="s">
        <v>420</v>
      </c>
      <c r="D36" s="13" t="s">
        <v>1466</v>
      </c>
      <c r="E36" s="13" t="s">
        <v>347</v>
      </c>
    </row>
    <row r="37" spans="1:5" x14ac:dyDescent="0.25">
      <c r="A37" s="13" t="s">
        <v>348</v>
      </c>
      <c r="B37" s="13" t="s">
        <v>682</v>
      </c>
      <c r="C37" s="13" t="s">
        <v>98</v>
      </c>
      <c r="D37" s="13" t="s">
        <v>99</v>
      </c>
      <c r="E37" s="13" t="s">
        <v>604</v>
      </c>
    </row>
    <row r="38" spans="1:5" x14ac:dyDescent="0.25">
      <c r="A38" s="13" t="s">
        <v>348</v>
      </c>
      <c r="B38" s="13" t="s">
        <v>683</v>
      </c>
      <c r="C38" s="13" t="s">
        <v>416</v>
      </c>
      <c r="D38" s="13" t="s">
        <v>342</v>
      </c>
      <c r="E38" s="27" t="s">
        <v>421</v>
      </c>
    </row>
    <row r="39" spans="1:5" x14ac:dyDescent="0.25">
      <c r="A39" s="13" t="s">
        <v>348</v>
      </c>
      <c r="B39" s="13" t="s">
        <v>684</v>
      </c>
      <c r="C39" s="13" t="s">
        <v>6</v>
      </c>
      <c r="D39" s="13" t="s">
        <v>343</v>
      </c>
      <c r="E39" s="13" t="s">
        <v>344</v>
      </c>
    </row>
    <row r="40" spans="1:5" x14ac:dyDescent="0.25">
      <c r="A40" s="13" t="s">
        <v>348</v>
      </c>
      <c r="B40" s="13" t="s">
        <v>685</v>
      </c>
      <c r="C40" s="13" t="s">
        <v>422</v>
      </c>
      <c r="D40" s="13" t="s">
        <v>345</v>
      </c>
      <c r="E40" s="13" t="s">
        <v>289</v>
      </c>
    </row>
    <row r="41" spans="1:5" x14ac:dyDescent="0.25">
      <c r="A41" s="13" t="s">
        <v>348</v>
      </c>
      <c r="B41" s="13" t="s">
        <v>686</v>
      </c>
      <c r="C41" s="13" t="s">
        <v>104</v>
      </c>
      <c r="D41" s="13" t="s">
        <v>349</v>
      </c>
      <c r="E41" s="13" t="s">
        <v>289</v>
      </c>
    </row>
    <row r="42" spans="1:5" x14ac:dyDescent="0.25">
      <c r="A42" s="13" t="s">
        <v>348</v>
      </c>
      <c r="B42" s="13" t="s">
        <v>687</v>
      </c>
      <c r="C42" s="13" t="s">
        <v>423</v>
      </c>
      <c r="D42" s="13" t="s">
        <v>350</v>
      </c>
      <c r="E42" s="13" t="s">
        <v>289</v>
      </c>
    </row>
    <row r="43" spans="1:5" x14ac:dyDescent="0.25">
      <c r="A43" s="13" t="s">
        <v>348</v>
      </c>
      <c r="B43" s="13" t="s">
        <v>688</v>
      </c>
      <c r="C43" s="13" t="s">
        <v>433</v>
      </c>
      <c r="D43" s="13" t="s">
        <v>434</v>
      </c>
      <c r="E43" s="13" t="s">
        <v>609</v>
      </c>
    </row>
    <row r="44" spans="1:5" x14ac:dyDescent="0.25">
      <c r="A44" s="13" t="s">
        <v>348</v>
      </c>
      <c r="B44" s="13" t="s">
        <v>689</v>
      </c>
      <c r="C44" s="61" t="s">
        <v>172</v>
      </c>
      <c r="D44" s="13" t="s">
        <v>173</v>
      </c>
      <c r="E44" s="13" t="s">
        <v>604</v>
      </c>
    </row>
    <row r="46" spans="1:5" x14ac:dyDescent="0.25">
      <c r="A46" s="62" t="s">
        <v>464</v>
      </c>
    </row>
    <row r="47" spans="1:5" x14ac:dyDescent="0.25">
      <c r="A47" s="13" t="s">
        <v>348</v>
      </c>
      <c r="B47" s="13" t="s">
        <v>690</v>
      </c>
      <c r="C47" s="13" t="s">
        <v>427</v>
      </c>
      <c r="D47" s="13" t="s">
        <v>352</v>
      </c>
    </row>
    <row r="48" spans="1:5" x14ac:dyDescent="0.25">
      <c r="A48" s="13" t="s">
        <v>348</v>
      </c>
      <c r="B48" s="13" t="s">
        <v>691</v>
      </c>
      <c r="C48" s="13" t="s">
        <v>428</v>
      </c>
      <c r="D48" s="55" t="s">
        <v>357</v>
      </c>
    </row>
    <row r="49" spans="1:9" x14ac:dyDescent="0.25">
      <c r="A49" s="13" t="s">
        <v>348</v>
      </c>
      <c r="B49" s="13" t="s">
        <v>692</v>
      </c>
      <c r="C49" s="13" t="s">
        <v>427</v>
      </c>
      <c r="D49" s="55" t="s">
        <v>358</v>
      </c>
    </row>
    <row r="50" spans="1:9" x14ac:dyDescent="0.25">
      <c r="A50" s="13" t="s">
        <v>348</v>
      </c>
      <c r="B50" s="13" t="s">
        <v>693</v>
      </c>
      <c r="C50" s="13" t="s">
        <v>427</v>
      </c>
      <c r="D50" s="55" t="s">
        <v>359</v>
      </c>
    </row>
    <row r="51" spans="1:9" x14ac:dyDescent="0.25">
      <c r="A51" s="13" t="s">
        <v>348</v>
      </c>
      <c r="B51" s="13" t="s">
        <v>694</v>
      </c>
      <c r="C51" s="13" t="s">
        <v>92</v>
      </c>
      <c r="D51" s="55" t="s">
        <v>360</v>
      </c>
    </row>
    <row r="52" spans="1:9" x14ac:dyDescent="0.25">
      <c r="A52" s="13" t="s">
        <v>348</v>
      </c>
      <c r="B52" s="13" t="s">
        <v>695</v>
      </c>
      <c r="C52" s="13" t="s">
        <v>429</v>
      </c>
      <c r="D52" s="55" t="s">
        <v>351</v>
      </c>
    </row>
    <row r="53" spans="1:9" x14ac:dyDescent="0.25">
      <c r="A53" s="13" t="s">
        <v>348</v>
      </c>
      <c r="B53" s="13" t="s">
        <v>696</v>
      </c>
      <c r="C53" s="13" t="s">
        <v>430</v>
      </c>
      <c r="D53" s="55" t="s">
        <v>361</v>
      </c>
    </row>
    <row r="54" spans="1:9" x14ac:dyDescent="0.25">
      <c r="D54" s="55"/>
    </row>
    <row r="55" spans="1:9" x14ac:dyDescent="0.25">
      <c r="A55" s="62" t="s">
        <v>465</v>
      </c>
    </row>
    <row r="56" spans="1:9" x14ac:dyDescent="0.25">
      <c r="A56" s="13" t="s">
        <v>348</v>
      </c>
      <c r="B56" s="13" t="s">
        <v>697</v>
      </c>
      <c r="C56" s="13" t="s">
        <v>424</v>
      </c>
      <c r="D56" s="13" t="s">
        <v>362</v>
      </c>
    </row>
    <row r="57" spans="1:9" x14ac:dyDescent="0.25">
      <c r="A57" s="13" t="s">
        <v>348</v>
      </c>
      <c r="B57" s="13" t="s">
        <v>698</v>
      </c>
      <c r="C57" s="13" t="s">
        <v>425</v>
      </c>
      <c r="D57" s="13" t="s">
        <v>346</v>
      </c>
      <c r="E57" s="13" t="s">
        <v>458</v>
      </c>
    </row>
    <row r="58" spans="1:9" ht="60" x14ac:dyDescent="0.25">
      <c r="A58" s="13" t="s">
        <v>348</v>
      </c>
      <c r="B58" s="13" t="s">
        <v>699</v>
      </c>
      <c r="C58" s="13" t="s">
        <v>426</v>
      </c>
      <c r="D58" s="13" t="s">
        <v>382</v>
      </c>
      <c r="E58" s="13" t="s">
        <v>459</v>
      </c>
      <c r="I58" s="13" t="s">
        <v>1581</v>
      </c>
    </row>
    <row r="60" spans="1:9" x14ac:dyDescent="0.25">
      <c r="A60" s="62" t="s">
        <v>466</v>
      </c>
    </row>
    <row r="61" spans="1:9" x14ac:dyDescent="0.25">
      <c r="A61" s="13" t="s">
        <v>348</v>
      </c>
      <c r="B61" s="13" t="s">
        <v>700</v>
      </c>
      <c r="C61" s="461" t="s">
        <v>435</v>
      </c>
      <c r="D61" s="55" t="s">
        <v>392</v>
      </c>
      <c r="E61" s="13" t="s">
        <v>394</v>
      </c>
    </row>
    <row r="62" spans="1:9" x14ac:dyDescent="0.25">
      <c r="A62" s="13" t="s">
        <v>348</v>
      </c>
      <c r="B62" s="13" t="s">
        <v>701</v>
      </c>
      <c r="C62" s="461" t="s">
        <v>436</v>
      </c>
      <c r="D62" s="55" t="s">
        <v>393</v>
      </c>
      <c r="E62" s="13" t="s">
        <v>394</v>
      </c>
    </row>
    <row r="63" spans="1:9" x14ac:dyDescent="0.25">
      <c r="A63" s="13" t="s">
        <v>348</v>
      </c>
      <c r="B63" s="13" t="s">
        <v>702</v>
      </c>
      <c r="C63" s="461" t="s">
        <v>437</v>
      </c>
      <c r="D63" s="55" t="s">
        <v>396</v>
      </c>
      <c r="E63" s="13" t="s">
        <v>347</v>
      </c>
    </row>
    <row r="64" spans="1:9" ht="30" x14ac:dyDescent="0.25">
      <c r="A64" s="13" t="s">
        <v>348</v>
      </c>
      <c r="B64" s="13" t="s">
        <v>703</v>
      </c>
      <c r="C64" s="461" t="s">
        <v>441</v>
      </c>
      <c r="D64" s="13" t="s">
        <v>395</v>
      </c>
      <c r="E64" s="13" t="s">
        <v>347</v>
      </c>
    </row>
    <row r="65" spans="1:9" x14ac:dyDescent="0.25">
      <c r="A65" s="13" t="s">
        <v>348</v>
      </c>
      <c r="B65" s="13" t="s">
        <v>704</v>
      </c>
      <c r="C65" s="461" t="s">
        <v>438</v>
      </c>
      <c r="D65" s="13" t="s">
        <v>380</v>
      </c>
      <c r="E65" s="13" t="s">
        <v>347</v>
      </c>
    </row>
    <row r="66" spans="1:9" x14ac:dyDescent="0.25">
      <c r="A66" s="13" t="s">
        <v>348</v>
      </c>
      <c r="B66" s="13" t="s">
        <v>705</v>
      </c>
      <c r="C66" s="461" t="s">
        <v>439</v>
      </c>
      <c r="D66" s="13" t="s">
        <v>363</v>
      </c>
      <c r="E66" s="13" t="s">
        <v>397</v>
      </c>
    </row>
    <row r="67" spans="1:9" x14ac:dyDescent="0.25">
      <c r="A67" s="13" t="s">
        <v>348</v>
      </c>
      <c r="B67" s="13" t="s">
        <v>706</v>
      </c>
      <c r="C67" s="461" t="s">
        <v>440</v>
      </c>
      <c r="D67" s="13" t="s">
        <v>364</v>
      </c>
      <c r="E67" s="13" t="s">
        <v>347</v>
      </c>
    </row>
    <row r="68" spans="1:9" x14ac:dyDescent="0.25">
      <c r="A68" s="13" t="s">
        <v>348</v>
      </c>
      <c r="B68" s="13" t="s">
        <v>707</v>
      </c>
      <c r="C68" s="461" t="s">
        <v>457</v>
      </c>
      <c r="D68" s="13" t="s">
        <v>365</v>
      </c>
      <c r="E68" s="13" t="s">
        <v>347</v>
      </c>
    </row>
    <row r="69" spans="1:9" x14ac:dyDescent="0.25">
      <c r="A69" s="13" t="s">
        <v>348</v>
      </c>
      <c r="B69" s="13" t="s">
        <v>708</v>
      </c>
      <c r="C69" s="461" t="s">
        <v>456</v>
      </c>
      <c r="D69" s="13" t="s">
        <v>366</v>
      </c>
      <c r="E69" s="13" t="s">
        <v>347</v>
      </c>
    </row>
    <row r="70" spans="1:9" x14ac:dyDescent="0.25">
      <c r="A70" s="13" t="s">
        <v>348</v>
      </c>
      <c r="B70" s="13" t="s">
        <v>709</v>
      </c>
      <c r="C70" s="461" t="s">
        <v>455</v>
      </c>
      <c r="D70" s="13" t="s">
        <v>367</v>
      </c>
      <c r="E70" s="13" t="s">
        <v>347</v>
      </c>
    </row>
    <row r="71" spans="1:9" x14ac:dyDescent="0.25">
      <c r="A71" s="13" t="s">
        <v>348</v>
      </c>
      <c r="B71" s="13" t="s">
        <v>710</v>
      </c>
      <c r="C71" s="461" t="s">
        <v>454</v>
      </c>
      <c r="D71" s="13" t="s">
        <v>368</v>
      </c>
      <c r="E71" s="13" t="s">
        <v>347</v>
      </c>
    </row>
    <row r="72" spans="1:9" ht="95.25" customHeight="1" x14ac:dyDescent="0.25">
      <c r="A72" s="13" t="s">
        <v>348</v>
      </c>
      <c r="B72" s="13" t="s">
        <v>711</v>
      </c>
      <c r="C72" s="461" t="s">
        <v>452</v>
      </c>
      <c r="D72" s="13" t="s">
        <v>369</v>
      </c>
      <c r="E72" s="13" t="s">
        <v>347</v>
      </c>
      <c r="F72" s="508" t="s">
        <v>1468</v>
      </c>
      <c r="G72" s="508"/>
      <c r="H72" s="508"/>
      <c r="I72" s="508"/>
    </row>
    <row r="73" spans="1:9" x14ac:dyDescent="0.25">
      <c r="A73" s="13" t="s">
        <v>348</v>
      </c>
      <c r="B73" s="13" t="s">
        <v>712</v>
      </c>
      <c r="C73" s="461" t="s">
        <v>451</v>
      </c>
      <c r="D73" s="13" t="s">
        <v>370</v>
      </c>
      <c r="E73" s="13" t="s">
        <v>347</v>
      </c>
    </row>
    <row r="74" spans="1:9" ht="91.5" customHeight="1" x14ac:dyDescent="0.25">
      <c r="A74" s="13" t="s">
        <v>348</v>
      </c>
      <c r="B74" s="13" t="s">
        <v>713</v>
      </c>
      <c r="C74" s="461" t="s">
        <v>446</v>
      </c>
      <c r="D74" s="13" t="s">
        <v>371</v>
      </c>
      <c r="E74" s="13" t="s">
        <v>347</v>
      </c>
      <c r="F74" s="508" t="s">
        <v>1468</v>
      </c>
      <c r="G74" s="508"/>
      <c r="H74" s="508"/>
      <c r="I74" s="508"/>
    </row>
    <row r="75" spans="1:9" x14ac:dyDescent="0.25">
      <c r="A75" s="13" t="s">
        <v>348</v>
      </c>
      <c r="B75" s="13" t="s">
        <v>714</v>
      </c>
      <c r="C75" s="461" t="s">
        <v>445</v>
      </c>
      <c r="D75" s="13" t="s">
        <v>372</v>
      </c>
      <c r="E75" s="13" t="s">
        <v>347</v>
      </c>
    </row>
    <row r="76" spans="1:9" ht="96" customHeight="1" x14ac:dyDescent="0.25">
      <c r="A76" s="13" t="s">
        <v>348</v>
      </c>
      <c r="B76" s="13" t="s">
        <v>715</v>
      </c>
      <c r="C76" s="461" t="s">
        <v>450</v>
      </c>
      <c r="D76" s="13" t="s">
        <v>381</v>
      </c>
      <c r="E76" s="13" t="s">
        <v>397</v>
      </c>
      <c r="F76" s="508" t="s">
        <v>1468</v>
      </c>
      <c r="G76" s="508"/>
      <c r="H76" s="508"/>
      <c r="I76" s="508"/>
    </row>
    <row r="77" spans="1:9" ht="95.25" customHeight="1" x14ac:dyDescent="0.25">
      <c r="A77" s="13" t="s">
        <v>348</v>
      </c>
      <c r="B77" s="13" t="s">
        <v>716</v>
      </c>
      <c r="C77" s="461" t="s">
        <v>449</v>
      </c>
      <c r="D77" s="13" t="s">
        <v>373</v>
      </c>
      <c r="E77" s="13" t="s">
        <v>347</v>
      </c>
      <c r="F77" s="508" t="s">
        <v>1468</v>
      </c>
      <c r="G77" s="508"/>
      <c r="H77" s="508"/>
      <c r="I77" s="508"/>
    </row>
    <row r="78" spans="1:9" x14ac:dyDescent="0.25">
      <c r="A78" s="13" t="s">
        <v>348</v>
      </c>
      <c r="B78" s="13" t="s">
        <v>717</v>
      </c>
      <c r="C78" s="461" t="s">
        <v>448</v>
      </c>
      <c r="D78" s="13" t="s">
        <v>374</v>
      </c>
      <c r="E78" s="13" t="s">
        <v>347</v>
      </c>
    </row>
    <row r="79" spans="1:9" ht="96" customHeight="1" x14ac:dyDescent="0.25">
      <c r="A79" s="13" t="s">
        <v>348</v>
      </c>
      <c r="B79" s="13" t="s">
        <v>718</v>
      </c>
      <c r="C79" s="461" t="s">
        <v>447</v>
      </c>
      <c r="D79" s="13" t="s">
        <v>375</v>
      </c>
      <c r="E79" s="13" t="s">
        <v>347</v>
      </c>
      <c r="F79" s="508" t="s">
        <v>1468</v>
      </c>
      <c r="G79" s="508"/>
      <c r="H79" s="508"/>
      <c r="I79" s="508"/>
    </row>
    <row r="80" spans="1:9" ht="91.5" customHeight="1" x14ac:dyDescent="0.25">
      <c r="A80" s="13" t="s">
        <v>348</v>
      </c>
      <c r="B80" s="13" t="s">
        <v>719</v>
      </c>
      <c r="C80" s="461" t="s">
        <v>444</v>
      </c>
      <c r="D80" s="13" t="s">
        <v>376</v>
      </c>
      <c r="E80" s="13" t="s">
        <v>347</v>
      </c>
      <c r="F80" s="508" t="s">
        <v>1468</v>
      </c>
      <c r="G80" s="508"/>
      <c r="H80" s="508"/>
      <c r="I80" s="508"/>
    </row>
    <row r="81" spans="1:9" x14ac:dyDescent="0.25">
      <c r="A81" s="13" t="s">
        <v>348</v>
      </c>
      <c r="B81" s="13" t="s">
        <v>720</v>
      </c>
      <c r="C81" s="461" t="s">
        <v>442</v>
      </c>
      <c r="D81" s="13" t="s">
        <v>377</v>
      </c>
      <c r="E81" s="13" t="s">
        <v>347</v>
      </c>
    </row>
    <row r="82" spans="1:9" x14ac:dyDescent="0.25">
      <c r="A82" s="13" t="s">
        <v>348</v>
      </c>
      <c r="B82" s="13" t="s">
        <v>721</v>
      </c>
      <c r="C82" s="461" t="s">
        <v>443</v>
      </c>
      <c r="D82" s="13" t="s">
        <v>378</v>
      </c>
      <c r="E82" s="13" t="s">
        <v>347</v>
      </c>
    </row>
    <row r="83" spans="1:9" x14ac:dyDescent="0.25">
      <c r="A83" s="13" t="s">
        <v>348</v>
      </c>
      <c r="B83" s="13" t="s">
        <v>722</v>
      </c>
      <c r="C83" s="461" t="s">
        <v>453</v>
      </c>
      <c r="D83" s="13" t="s">
        <v>379</v>
      </c>
      <c r="E83" s="13" t="s">
        <v>347</v>
      </c>
    </row>
    <row r="84" spans="1:9" ht="90.75" customHeight="1" x14ac:dyDescent="0.25">
      <c r="A84" s="13" t="s">
        <v>348</v>
      </c>
      <c r="B84" s="13" t="s">
        <v>721</v>
      </c>
      <c r="C84" s="461" t="s">
        <v>443</v>
      </c>
      <c r="D84" s="13" t="s">
        <v>605</v>
      </c>
      <c r="E84" s="13" t="s">
        <v>347</v>
      </c>
      <c r="F84" s="508" t="s">
        <v>1468</v>
      </c>
      <c r="G84" s="508"/>
      <c r="H84" s="508"/>
      <c r="I84" s="508"/>
    </row>
    <row r="85" spans="1:9" ht="90.75" customHeight="1" x14ac:dyDescent="0.25">
      <c r="A85" s="13" t="s">
        <v>348</v>
      </c>
      <c r="B85" s="13" t="s">
        <v>723</v>
      </c>
      <c r="C85" s="461" t="s">
        <v>607</v>
      </c>
      <c r="D85" s="13" t="s">
        <v>606</v>
      </c>
      <c r="E85" s="13" t="s">
        <v>347</v>
      </c>
      <c r="F85" s="508" t="s">
        <v>1468</v>
      </c>
      <c r="G85" s="508"/>
      <c r="H85" s="508"/>
      <c r="I85" s="508"/>
    </row>
  </sheetData>
  <autoFilter ref="A2:J22"/>
  <sortState ref="B4:I22">
    <sortCondition descending="1" ref="G10"/>
  </sortState>
  <mergeCells count="8">
    <mergeCell ref="F84:I84"/>
    <mergeCell ref="F85:I85"/>
    <mergeCell ref="F72:I72"/>
    <mergeCell ref="F74:I74"/>
    <mergeCell ref="F76:I76"/>
    <mergeCell ref="F77:I77"/>
    <mergeCell ref="F79:I79"/>
    <mergeCell ref="F80:I80"/>
  </mergeCells>
  <conditionalFormatting sqref="G4:G22">
    <cfRule type="cellIs" dxfId="1" priority="1" operator="lessThan">
      <formula>1</formula>
    </cfRule>
    <cfRule type="cellIs" dxfId="0" priority="2" operator="greaterThan">
      <formula>1</formula>
    </cfRule>
  </conditionalFormatting>
  <conditionalFormatting sqref="G4:G2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{6514F2FA-D08E-42F3-8C5F-7FF0366B061B}</x14:id>
        </ext>
      </extLst>
    </cfRule>
  </conditionalFormatting>
  <pageMargins left="0.7" right="0.7" top="0.75" bottom="0.75" header="0.3" footer="0.3"/>
  <pageSetup paperSize="9" scale="77" fitToHeight="0" orientation="landscape" r:id="rId1"/>
  <headerFooter>
    <oddFooter>&amp;LPríloha č. 1_4b Ostatné&amp;R&amp;P l &amp;N</oddFooter>
  </headerFooter>
  <rowBreaks count="1" manualBreakCount="1">
    <brk id="29" max="16383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14F2FA-D08E-42F3-8C5F-7FF0366B06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G4:G22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zoomScale="90" zoomScaleNormal="90" workbookViewId="0">
      <selection activeCell="J17" sqref="J17"/>
    </sheetView>
  </sheetViews>
  <sheetFormatPr defaultRowHeight="15" x14ac:dyDescent="0.25"/>
  <cols>
    <col min="1" max="1" width="39.7109375" customWidth="1"/>
    <col min="2" max="12" width="14.7109375" customWidth="1"/>
  </cols>
  <sheetData>
    <row r="1" spans="1:12" ht="16.5" thickBot="1" x14ac:dyDescent="0.3">
      <c r="A1" s="129"/>
      <c r="B1" s="130">
        <v>2021</v>
      </c>
      <c r="C1" s="130">
        <v>2022</v>
      </c>
      <c r="D1" s="130">
        <v>2023</v>
      </c>
      <c r="E1" s="130">
        <v>2024</v>
      </c>
      <c r="F1" s="130">
        <v>2025</v>
      </c>
      <c r="G1" s="130">
        <v>2026</v>
      </c>
      <c r="H1" s="130">
        <v>2027</v>
      </c>
      <c r="I1" s="130">
        <v>2028</v>
      </c>
      <c r="J1" s="130">
        <v>2029</v>
      </c>
      <c r="K1" s="130">
        <v>2030</v>
      </c>
      <c r="L1" s="130">
        <v>2031</v>
      </c>
    </row>
    <row r="2" spans="1:12" ht="15.75" x14ac:dyDescent="0.25">
      <c r="A2" s="131" t="s">
        <v>1273</v>
      </c>
      <c r="B2" s="132">
        <v>88.030503443973586</v>
      </c>
      <c r="C2" s="133">
        <v>91.732781028815751</v>
      </c>
      <c r="D2" s="133">
        <v>96.317071582607269</v>
      </c>
      <c r="E2" s="133">
        <v>97.004364662928367</v>
      </c>
      <c r="F2" s="133">
        <v>98.556434497535221</v>
      </c>
      <c r="G2" s="133">
        <v>100.13333744949578</v>
      </c>
      <c r="H2" s="133">
        <v>101.73547084868771</v>
      </c>
      <c r="I2" s="133">
        <v>103.36323838226672</v>
      </c>
      <c r="J2" s="133">
        <v>105.01705019638298</v>
      </c>
      <c r="K2" s="133">
        <v>106.80234004972148</v>
      </c>
      <c r="L2" s="134">
        <v>108.61797983056674</v>
      </c>
    </row>
    <row r="3" spans="1:12" ht="15.75" x14ac:dyDescent="0.25">
      <c r="A3" s="135" t="s">
        <v>1072</v>
      </c>
      <c r="B3" s="136">
        <v>4.0000000000000001E-3</v>
      </c>
      <c r="C3" s="137">
        <f>$B$3</f>
        <v>4.0000000000000001E-3</v>
      </c>
      <c r="D3" s="137">
        <f t="shared" ref="D3:L3" si="0">$B$3</f>
        <v>4.0000000000000001E-3</v>
      </c>
      <c r="E3" s="137">
        <f t="shared" si="0"/>
        <v>4.0000000000000001E-3</v>
      </c>
      <c r="F3" s="137">
        <f t="shared" si="0"/>
        <v>4.0000000000000001E-3</v>
      </c>
      <c r="G3" s="137">
        <f t="shared" si="0"/>
        <v>4.0000000000000001E-3</v>
      </c>
      <c r="H3" s="137">
        <f t="shared" si="0"/>
        <v>4.0000000000000001E-3</v>
      </c>
      <c r="I3" s="137">
        <f t="shared" si="0"/>
        <v>4.0000000000000001E-3</v>
      </c>
      <c r="J3" s="137">
        <f t="shared" si="0"/>
        <v>4.0000000000000001E-3</v>
      </c>
      <c r="K3" s="137">
        <f t="shared" si="0"/>
        <v>4.0000000000000001E-3</v>
      </c>
      <c r="L3" s="138">
        <f t="shared" si="0"/>
        <v>4.0000000000000001E-3</v>
      </c>
    </row>
    <row r="4" spans="1:12" ht="48" thickBot="1" x14ac:dyDescent="0.3">
      <c r="A4" s="139" t="s">
        <v>1071</v>
      </c>
      <c r="B4" s="140">
        <f t="shared" ref="B4:L4" si="1">B2*B3*1000*1000*1000</f>
        <v>352122013.77589434</v>
      </c>
      <c r="C4" s="141">
        <f t="shared" si="1"/>
        <v>366931124.11526299</v>
      </c>
      <c r="D4" s="141">
        <f t="shared" si="1"/>
        <v>385268286.33042908</v>
      </c>
      <c r="E4" s="141">
        <f t="shared" si="1"/>
        <v>388017458.65171349</v>
      </c>
      <c r="F4" s="141">
        <f t="shared" si="1"/>
        <v>394225737.99014086</v>
      </c>
      <c r="G4" s="141">
        <f t="shared" si="1"/>
        <v>400533349.79798311</v>
      </c>
      <c r="H4" s="141">
        <f t="shared" si="1"/>
        <v>406941883.39475083</v>
      </c>
      <c r="I4" s="141">
        <f t="shared" si="1"/>
        <v>413452953.52906686</v>
      </c>
      <c r="J4" s="141">
        <f t="shared" si="1"/>
        <v>420068200.78553194</v>
      </c>
      <c r="K4" s="141">
        <f t="shared" si="1"/>
        <v>427209360.19888592</v>
      </c>
      <c r="L4" s="142">
        <f t="shared" si="1"/>
        <v>434471919.32226694</v>
      </c>
    </row>
    <row r="5" spans="1:12" s="14" customFormat="1" ht="15.75" x14ac:dyDescent="0.25">
      <c r="A5" s="139"/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1:12" x14ac:dyDescent="0.25">
      <c r="A6" s="145" t="s">
        <v>1274</v>
      </c>
    </row>
    <row r="7" spans="1:12" x14ac:dyDescent="0.25">
      <c r="A7" s="122" t="s">
        <v>1275</v>
      </c>
    </row>
    <row r="8" spans="1:12" x14ac:dyDescent="0.25">
      <c r="A8" s="122" t="s">
        <v>1276</v>
      </c>
    </row>
  </sheetData>
  <hyperlinks>
    <hyperlink ref="A8" r:id="rId1"/>
    <hyperlink ref="A7" r:id="rId2"/>
  </hyperlinks>
  <pageMargins left="0.7" right="0.7" top="0.75" bottom="0.75" header="0.3" footer="0.3"/>
  <pageSetup paperSize="9" scale="65" orientation="landscape" r:id="rId3"/>
  <headerFooter>
    <oddFooter>&amp;LPríloha č. 1_HDP&amp;R&amp;P l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8</vt:i4>
      </vt:variant>
    </vt:vector>
  </HeadingPairs>
  <TitlesOfParts>
    <vt:vector size="25" baseType="lpstr">
      <vt:lpstr>Prehľad</vt:lpstr>
      <vt:lpstr>Harmonogram</vt:lpstr>
      <vt:lpstr>Malé projekty vo výstavbe</vt:lpstr>
      <vt:lpstr>Proj. prípr. (prebieh.), štúdie</vt:lpstr>
      <vt:lpstr>TIOP</vt:lpstr>
      <vt:lpstr>IT, Budovy, iné projekty</vt:lpstr>
      <vt:lpstr>Súhrn_Prehľad</vt:lpstr>
      <vt:lpstr>Poznámky</vt:lpstr>
      <vt:lpstr>1a Sanácia havarijných stav</vt:lpstr>
      <vt:lpstr>1b Revitalizácie tratí</vt:lpstr>
      <vt:lpstr>2a Úzke miesta</vt:lpstr>
      <vt:lpstr>2b DOZZ</vt:lpstr>
      <vt:lpstr>3a TENT ETCS</vt:lpstr>
      <vt:lpstr>3b TENT modernizácie</vt:lpstr>
      <vt:lpstr>4a Elektrifikácie</vt:lpstr>
      <vt:lpstr>4b Ostatné</vt:lpstr>
      <vt:lpstr>HDP</vt:lpstr>
      <vt:lpstr>Harmonogram!Názvy_tlače</vt:lpstr>
      <vt:lpstr>Prehľad!Názvy_tlače</vt:lpstr>
      <vt:lpstr>'3a TENT ETCS'!Oblasť_tlače</vt:lpstr>
      <vt:lpstr>'3b TENT modernizácie'!Oblasť_tlače</vt:lpstr>
      <vt:lpstr>'4a Elektrifikácie'!Oblasť_tlače</vt:lpstr>
      <vt:lpstr>'4b Ostatné'!Oblasť_tlače</vt:lpstr>
      <vt:lpstr>Harmonogram!Oblasť_tlače</vt:lpstr>
      <vt:lpstr>Prehľad!Oblasť_tlače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Martin.Darmo@mindop.sk</dc:creator>
  <cp:lastModifiedBy>Darmo, Martin</cp:lastModifiedBy>
  <cp:lastPrinted>2022-02-09T12:44:07Z</cp:lastPrinted>
  <dcterms:created xsi:type="dcterms:W3CDTF">2021-02-13T15:07:00Z</dcterms:created>
  <dcterms:modified xsi:type="dcterms:W3CDTF">2022-03-01T07:50:13Z</dcterms:modified>
</cp:coreProperties>
</file>